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发放" sheetId="3" r:id="rId1"/>
    <sheet name="Sheet1" sheetId="5" r:id="rId2"/>
    <sheet name="KSO_Salary_Config" sheetId="4" state="veryHidden" r:id="rId3"/>
  </sheets>
  <externalReferences>
    <externalReference r:id="rId5"/>
  </externalReferences>
  <definedNames>
    <definedName name="_xlnm._FilterDatabase" localSheetId="0" hidden="1">发放!$A$1:$BB$46</definedName>
    <definedName name="_xlnm.Print_Area" localSheetId="0">发放!$A$1:$BB$37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admin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  <comment ref="U10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公车违章3次
</t>
        </r>
      </text>
    </comment>
    <comment ref="H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中国光大银行</t>
        </r>
      </text>
    </comment>
  </commentList>
</comments>
</file>

<file path=xl/sharedStrings.xml><?xml version="1.0" encoding="utf-8"?>
<sst xmlns="http://schemas.openxmlformats.org/spreadsheetml/2006/main" count="425" uniqueCount="323">
  <si>
    <t>成都光华智能汽车部件有限公司2024年4月工资明细表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</si>
  <si>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</si>
  <si>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</si>
  <si>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</si>
  <si>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</si>
  <si>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</si>
  <si>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</si>
  <si>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</si>
  <si>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</si>
  <si>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</si>
  <si>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</si>
  <si>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</si>
  <si>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</si>
  <si>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</si>
  <si>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</si>
  <si>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</si>
  <si>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</si>
  <si>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</si>
  <si>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</si>
  <si>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</si>
  <si>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4月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</si>
  <si>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</si>
  <si>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</si>
  <si>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</si>
  <si>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</si>
  <si>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</si>
  <si>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</si>
  <si>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</si>
  <si>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</si>
  <si>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</si>
  <si>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</si>
  <si>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</si>
  <si>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</si>
  <si>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</si>
  <si>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</si>
  <si>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4月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</si>
  <si>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</si>
  <si>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</si>
  <si>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</si>
  <si>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</si>
  <si>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</si>
  <si>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</si>
  <si>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</si>
  <si>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</si>
  <si>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</si>
  <si>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</si>
  <si>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</si>
  <si>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4、5月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</si>
  <si>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</si>
  <si>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</si>
  <si>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</si>
  <si>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</si>
  <si>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</si>
  <si>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</si>
  <si>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</si>
  <si>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</si>
  <si>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</si>
  <si>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</si>
  <si>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</si>
  <si>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</si>
  <si>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6217003800048913887</t>
  </si>
  <si>
    <t>彭远清</t>
  </si>
  <si>
    <t>保洁（兼职）</t>
  </si>
  <si>
    <t>二线</t>
  </si>
  <si>
    <t>51011219750808072X</t>
  </si>
  <si>
    <t>6217003800016709747</t>
  </si>
  <si>
    <t>综合管理科小计</t>
  </si>
  <si>
    <t>杨辉</t>
  </si>
  <si>
    <t>财务</t>
  </si>
  <si>
    <t>511025198308102623</t>
  </si>
  <si>
    <t>6217003800048913911</t>
  </si>
  <si>
    <t>陈文君</t>
  </si>
  <si>
    <t>销售</t>
  </si>
  <si>
    <t>销售内勤</t>
  </si>
  <si>
    <t>511324199404276003</t>
  </si>
  <si>
    <t>6217003800048913895</t>
  </si>
  <si>
    <t>财务管理科小计</t>
  </si>
  <si>
    <t>车月</t>
  </si>
  <si>
    <t>技术质量</t>
  </si>
  <si>
    <t>质量工程师</t>
  </si>
  <si>
    <t>510183199310080032</t>
  </si>
  <si>
    <t>6217003800048914000</t>
  </si>
  <si>
    <t>销售服务科小计</t>
  </si>
  <si>
    <t>曾超</t>
  </si>
  <si>
    <t>生产运营</t>
  </si>
  <si>
    <t>511025198611141414</t>
  </si>
  <si>
    <t>6217003800048914299</t>
  </si>
  <si>
    <t>方兰</t>
  </si>
  <si>
    <t>操作工</t>
  </si>
  <si>
    <t>直接</t>
  </si>
  <si>
    <t>一线</t>
  </si>
  <si>
    <t>510112198109290361</t>
  </si>
  <si>
    <t>6217003800048913978</t>
  </si>
  <si>
    <t>56小时</t>
  </si>
  <si>
    <t>陈平丽</t>
  </si>
  <si>
    <t>终检</t>
  </si>
  <si>
    <t>510112198006092426</t>
  </si>
  <si>
    <t>6217003800048914166</t>
  </si>
  <si>
    <t>140.5小时</t>
  </si>
  <si>
    <t>文丽</t>
  </si>
  <si>
    <t>510122198108266426</t>
  </si>
  <si>
    <t>6217003800048914125</t>
  </si>
  <si>
    <t>146.5小时</t>
  </si>
  <si>
    <t>陈义</t>
  </si>
  <si>
    <t>车间主任</t>
  </si>
  <si>
    <t>510112198007100782</t>
  </si>
  <si>
    <t>6217003800048914018</t>
  </si>
  <si>
    <t>邓春梅</t>
  </si>
  <si>
    <t>510722198003221064</t>
  </si>
  <si>
    <t>6217003800048914109</t>
  </si>
  <si>
    <t>16小时</t>
  </si>
  <si>
    <t>干达莉</t>
  </si>
  <si>
    <t>上料工</t>
  </si>
  <si>
    <t>511027197608020943</t>
  </si>
  <si>
    <t>6217003800048913986</t>
  </si>
  <si>
    <t>30小时</t>
  </si>
  <si>
    <t>陈辉</t>
  </si>
  <si>
    <t>维修电工</t>
  </si>
  <si>
    <t>510623197809204817</t>
  </si>
  <si>
    <t>6217003800048914034</t>
  </si>
  <si>
    <t>廖世金</t>
  </si>
  <si>
    <t>配料工</t>
  </si>
  <si>
    <t>6217003800048914026</t>
  </si>
  <si>
    <t>付丽</t>
  </si>
  <si>
    <t>510112198810254668</t>
  </si>
  <si>
    <t>6217003800048914059</t>
  </si>
  <si>
    <t>易小利</t>
  </si>
  <si>
    <t>522122198910025287</t>
  </si>
  <si>
    <t>6217003800048913929</t>
  </si>
  <si>
    <t>郭林凤</t>
  </si>
  <si>
    <t>采购</t>
  </si>
  <si>
    <t>632801198810060589</t>
  </si>
  <si>
    <t>6214921606917199</t>
  </si>
  <si>
    <t>袁美中</t>
  </si>
  <si>
    <t>叉车工</t>
  </si>
  <si>
    <t>510211197311109057</t>
  </si>
  <si>
    <t>6217003800048914042</t>
  </si>
  <si>
    <t>肖逍</t>
  </si>
  <si>
    <t>生产计划</t>
  </si>
  <si>
    <t>51102419910205074X</t>
  </si>
  <si>
    <t>6217004310002801002</t>
  </si>
  <si>
    <t>生产运营科小计</t>
  </si>
  <si>
    <t>谭文波</t>
  </si>
  <si>
    <t>510622198204014517</t>
  </si>
  <si>
    <t>6217003800048913903</t>
  </si>
  <si>
    <t>江云彬</t>
  </si>
  <si>
    <t>现场服务（兼职）</t>
  </si>
  <si>
    <t>510112199405274619</t>
  </si>
  <si>
    <t>6227003811841010531</t>
  </si>
  <si>
    <t/>
  </si>
  <si>
    <t>汪薛敏</t>
  </si>
  <si>
    <t>513902198504171745</t>
  </si>
  <si>
    <t>6230943800000871202</t>
  </si>
  <si>
    <t>彭强华</t>
  </si>
  <si>
    <t>513902199302225578</t>
  </si>
  <si>
    <t>6227003811841010028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</si>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</sst>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2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1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2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7" applyNumberFormat="0" applyAlignment="0" applyProtection="0">
      <alignment vertical="center"/>
    </xf>
    <xf numFmtId="0" fontId="26" fillId="6" borderId="28" applyNumberFormat="0" applyAlignment="0" applyProtection="0">
      <alignment vertical="center"/>
    </xf>
    <xf numFmtId="0" fontId="27" fillId="6" borderId="27" applyNumberFormat="0" applyAlignment="0" applyProtection="0">
      <alignment vertical="center"/>
    </xf>
    <xf numFmtId="0" fontId="28" fillId="7" borderId="29" applyNumberFormat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 applyFill="0" applyAlignment="0">
      <alignment vertical="center"/>
    </xf>
    <xf numFmtId="0" fontId="0" fillId="0" borderId="0" applyFill="0" applyAlignment="0">
      <alignment vertical="center"/>
    </xf>
    <xf numFmtId="0" fontId="36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6" fillId="0" borderId="0" applyFill="0" applyAlignment="0">
      <alignment vertical="center"/>
    </xf>
    <xf numFmtId="0" fontId="36" fillId="0" borderId="0" applyFill="0" applyAlignment="0">
      <alignment vertical="center"/>
    </xf>
    <xf numFmtId="0" fontId="0" fillId="0" borderId="0" applyAlignment="0"/>
    <xf numFmtId="0" fontId="36" fillId="0" borderId="0" applyFill="0" applyAlignment="0">
      <alignment vertical="center"/>
    </xf>
    <xf numFmtId="0" fontId="36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6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6" fillId="0" borderId="0" applyFill="0" applyAlignment="0">
      <alignment vertical="center"/>
    </xf>
    <xf numFmtId="0" fontId="36" fillId="0" borderId="0" applyFill="0" applyAlignment="0">
      <alignment vertical="center"/>
    </xf>
    <xf numFmtId="0" fontId="37" fillId="0" borderId="0" applyFill="0" applyAlignment="0">
      <alignment vertical="center"/>
    </xf>
    <xf numFmtId="0" fontId="38" fillId="0" borderId="0"/>
    <xf numFmtId="0" fontId="39" fillId="0" borderId="0" applyFill="0" applyAlignment="0">
      <alignment vertical="center"/>
    </xf>
    <xf numFmtId="0" fontId="36" fillId="0" borderId="0" applyFill="0" applyAlignment="0">
      <alignment vertical="center"/>
    </xf>
    <xf numFmtId="0" fontId="36" fillId="0" borderId="0" applyFill="0" applyAlignment="0">
      <alignment vertical="center"/>
    </xf>
    <xf numFmtId="0" fontId="36" fillId="0" borderId="0" applyFill="0" applyAlignment="0">
      <alignment vertical="center"/>
    </xf>
  </cellStyleXfs>
  <cellXfs count="121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6" fillId="0" borderId="0" xfId="0" applyNumberFormat="1" applyFont="1" applyAlignment="1">
      <alignment horizontal="center"/>
    </xf>
    <xf numFmtId="0" fontId="2" fillId="0" borderId="0" xfId="0" applyFont="1" applyAlignme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6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2" borderId="16" xfId="57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shrinkToFit="1"/>
    </xf>
    <xf numFmtId="2" fontId="13" fillId="0" borderId="1" xfId="57" applyNumberFormat="1" applyFont="1" applyBorder="1" applyAlignment="1">
      <alignment horizontal="center" vertical="center" wrapText="1"/>
    </xf>
    <xf numFmtId="2" fontId="13" fillId="0" borderId="1" xfId="57" applyNumberFormat="1" applyFont="1" applyFill="1" applyBorder="1" applyAlignment="1">
      <alignment horizontal="center" vertical="center" wrapText="1"/>
    </xf>
    <xf numFmtId="2" fontId="8" fillId="0" borderId="16" xfId="57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shrinkToFit="1"/>
    </xf>
    <xf numFmtId="2" fontId="8" fillId="3" borderId="16" xfId="57" applyNumberFormat="1" applyFont="1" applyFill="1" applyBorder="1" applyAlignment="1">
      <alignment horizontal="center" vertical="center" wrapText="1"/>
    </xf>
    <xf numFmtId="2" fontId="8" fillId="0" borderId="1" xfId="57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2" fillId="0" borderId="16" xfId="57" applyNumberFormat="1" applyFont="1" applyBorder="1" applyAlignment="1">
      <alignment horizontal="center" vertical="center" wrapText="1"/>
    </xf>
    <xf numFmtId="2" fontId="12" fillId="0" borderId="1" xfId="57" applyNumberFormat="1" applyFont="1" applyBorder="1" applyAlignment="1">
      <alignment horizontal="center" vertical="center" wrapText="1"/>
    </xf>
    <xf numFmtId="2" fontId="12" fillId="0" borderId="1" xfId="57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2" fontId="14" fillId="0" borderId="16" xfId="57" applyNumberFormat="1" applyFont="1" applyFill="1" applyBorder="1" applyAlignment="1">
      <alignment horizontal="center" vertical="center" wrapText="1"/>
    </xf>
    <xf numFmtId="0" fontId="12" fillId="0" borderId="16" xfId="57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6" fontId="15" fillId="0" borderId="16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shrinkToFit="1"/>
    </xf>
    <xf numFmtId="176" fontId="15" fillId="0" borderId="6" xfId="0" applyNumberFormat="1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176" fontId="15" fillId="0" borderId="21" xfId="0" applyNumberFormat="1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quotePrefix="1">
      <alignment horizontal="center" vertical="center" shrinkToFit="1"/>
    </xf>
    <xf numFmtId="49" fontId="8" fillId="0" borderId="1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59"/>
  <sheetViews>
    <sheetView tabSelected="1" zoomScale="110" zoomScaleNormal="110" workbookViewId="0">
      <pane xSplit="2" ySplit="3" topLeftCell="H4" activePane="bottomRight" state="frozen"/>
      <selection/>
      <selection pane="topRight"/>
      <selection pane="bottomLeft"/>
      <selection pane="bottomRight" activeCell="N16" sqref="N16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8.29166666666667" customWidth="1"/>
    <col min="7" max="7" width="17" style="17" customWidth="1"/>
    <col min="8" max="8" width="21.6916666666667" style="18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6" customWidth="1"/>
    <col min="16" max="16" width="5.25" customWidth="1"/>
    <col min="17" max="17" width="5.75" hidden="1" customWidth="1"/>
    <col min="18" max="18" width="6.75" style="16" customWidth="1"/>
    <col min="19" max="19" width="6" style="16" customWidth="1"/>
    <col min="20" max="20" width="6.375" hidden="1" customWidth="1"/>
    <col min="21" max="21" width="7.875" style="16" customWidth="1"/>
    <col min="22" max="22" width="9.5" style="19" customWidth="1"/>
    <col min="23" max="29" width="9.5" style="19" hidden="1" customWidth="1"/>
    <col min="30" max="30" width="7.875" customWidth="1"/>
    <col min="31" max="32" width="7.125" customWidth="1"/>
    <col min="33" max="33" width="8.25" customWidth="1"/>
    <col min="34" max="34" width="6.875" hidden="1" customWidth="1"/>
    <col min="35" max="35" width="8.75" customWidth="1"/>
    <col min="36" max="49" width="9.625" style="19" hidden="1" customWidth="1"/>
    <col min="50" max="50" width="6.625" style="19" hidden="1" customWidth="1"/>
    <col min="51" max="51" width="7.5" customWidth="1"/>
    <col min="52" max="52" width="6.375" customWidth="1"/>
    <col min="53" max="53" width="11.125" style="19" customWidth="1"/>
    <col min="54" max="54" width="18.25" customWidth="1"/>
  </cols>
  <sheetData>
    <row r="1" s="11" customFormat="1" ht="41.1" customHeight="1" spans="1:54">
      <c r="A1" s="20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  <c r="M1" s="20"/>
      <c r="N1" s="20"/>
      <c r="O1" s="53"/>
      <c r="P1" s="20"/>
      <c r="Q1" s="20"/>
      <c r="R1" s="53"/>
      <c r="S1" s="53"/>
      <c r="T1" s="20"/>
      <c r="U1" s="53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</row>
    <row r="2" s="12" customFormat="1" ht="22" customHeight="1" spans="1:54">
      <c r="A2" s="22" t="s">
        <v>1</v>
      </c>
      <c r="B2" s="23" t="s">
        <v>2</v>
      </c>
      <c r="C2" s="24" t="s">
        <v>3</v>
      </c>
      <c r="D2" s="24" t="s">
        <v>4</v>
      </c>
      <c r="E2" s="24"/>
      <c r="F2" s="24"/>
      <c r="G2" s="25" t="s">
        <v>5</v>
      </c>
      <c r="H2" s="25" t="s">
        <v>6</v>
      </c>
      <c r="I2" s="24" t="s">
        <v>7</v>
      </c>
      <c r="J2" s="23" t="s">
        <v>8</v>
      </c>
      <c r="K2" s="23" t="s">
        <v>9</v>
      </c>
      <c r="L2" s="54" t="s">
        <v>10</v>
      </c>
      <c r="M2" s="54" t="s">
        <v>11</v>
      </c>
      <c r="N2" s="55" t="s">
        <v>12</v>
      </c>
      <c r="O2" s="55" t="s">
        <v>13</v>
      </c>
      <c r="P2" s="54" t="s">
        <v>14</v>
      </c>
      <c r="Q2" s="54" t="s">
        <v>15</v>
      </c>
      <c r="R2" s="54" t="s">
        <v>16</v>
      </c>
      <c r="S2" s="54" t="s">
        <v>17</v>
      </c>
      <c r="T2" s="55" t="s">
        <v>18</v>
      </c>
      <c r="U2" s="54" t="s">
        <v>19</v>
      </c>
      <c r="V2" s="23" t="s">
        <v>20</v>
      </c>
      <c r="W2" s="66" t="s">
        <v>21</v>
      </c>
      <c r="X2" s="67"/>
      <c r="Y2" s="67"/>
      <c r="Z2" s="67"/>
      <c r="AA2" s="67"/>
      <c r="AB2" s="67"/>
      <c r="AC2" s="77"/>
      <c r="AD2" s="23" t="s">
        <v>22</v>
      </c>
      <c r="AE2" s="23"/>
      <c r="AF2" s="23"/>
      <c r="AG2" s="23"/>
      <c r="AH2" s="23"/>
      <c r="AI2" s="23"/>
      <c r="AJ2" s="80" t="s">
        <v>23</v>
      </c>
      <c r="AK2" s="80" t="s">
        <v>24</v>
      </c>
      <c r="AL2" s="80" t="s">
        <v>25</v>
      </c>
      <c r="AM2" s="81" t="s">
        <v>26</v>
      </c>
      <c r="AN2" s="82"/>
      <c r="AO2" s="82"/>
      <c r="AP2" s="82"/>
      <c r="AQ2" s="92"/>
      <c r="AR2" s="93" t="s">
        <v>27</v>
      </c>
      <c r="AS2" s="93" t="s">
        <v>28</v>
      </c>
      <c r="AT2" s="93" t="s">
        <v>29</v>
      </c>
      <c r="AU2" s="93"/>
      <c r="AV2" s="93" t="s">
        <v>30</v>
      </c>
      <c r="AW2" s="80" t="s">
        <v>31</v>
      </c>
      <c r="AX2" s="80" t="s">
        <v>32</v>
      </c>
      <c r="AY2" s="101" t="s">
        <v>33</v>
      </c>
      <c r="AZ2" s="23" t="s">
        <v>34</v>
      </c>
      <c r="BA2" s="23" t="s">
        <v>35</v>
      </c>
      <c r="BB2" s="102" t="s">
        <v>36</v>
      </c>
    </row>
    <row r="3" s="12" customFormat="1" ht="30" customHeight="1" spans="1:54">
      <c r="A3" s="26"/>
      <c r="B3" s="27"/>
      <c r="C3" s="28"/>
      <c r="D3" s="28"/>
      <c r="E3" s="28" t="s">
        <v>37</v>
      </c>
      <c r="F3" s="28" t="s">
        <v>38</v>
      </c>
      <c r="G3" s="29"/>
      <c r="H3" s="29"/>
      <c r="I3" s="28"/>
      <c r="J3" s="27"/>
      <c r="K3" s="27"/>
      <c r="L3" s="56"/>
      <c r="M3" s="56"/>
      <c r="N3" s="57"/>
      <c r="O3" s="57"/>
      <c r="P3" s="56"/>
      <c r="Q3" s="56"/>
      <c r="R3" s="56"/>
      <c r="S3" s="56"/>
      <c r="T3" s="57"/>
      <c r="U3" s="56"/>
      <c r="V3" s="27"/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39</v>
      </c>
      <c r="AE3" s="27" t="s">
        <v>41</v>
      </c>
      <c r="AF3" s="27" t="s">
        <v>40</v>
      </c>
      <c r="AG3" s="27" t="s">
        <v>45</v>
      </c>
      <c r="AH3" s="27" t="s">
        <v>46</v>
      </c>
      <c r="AI3" s="27" t="s">
        <v>47</v>
      </c>
      <c r="AJ3" s="80"/>
      <c r="AK3" s="80"/>
      <c r="AL3" s="80"/>
      <c r="AM3" s="80" t="s">
        <v>48</v>
      </c>
      <c r="AN3" s="80" t="s">
        <v>49</v>
      </c>
      <c r="AO3" s="80" t="s">
        <v>50</v>
      </c>
      <c r="AP3" s="80" t="s">
        <v>51</v>
      </c>
      <c r="AQ3" s="80" t="s">
        <v>52</v>
      </c>
      <c r="AR3" s="94"/>
      <c r="AS3" s="94"/>
      <c r="AT3" s="94"/>
      <c r="AU3" s="94" t="s">
        <v>53</v>
      </c>
      <c r="AV3" s="94"/>
      <c r="AW3" s="80"/>
      <c r="AX3" s="80"/>
      <c r="AY3" s="101"/>
      <c r="AZ3" s="27"/>
      <c r="BA3" s="27"/>
      <c r="BB3" s="103"/>
    </row>
    <row r="4" s="13" customFormat="1" ht="25" customHeight="1" spans="1:54">
      <c r="A4" s="30">
        <v>1</v>
      </c>
      <c r="B4" s="31" t="s">
        <v>54</v>
      </c>
      <c r="C4" s="32" t="s">
        <v>55</v>
      </c>
      <c r="D4" s="32" t="s">
        <v>56</v>
      </c>
      <c r="E4" s="32" t="s">
        <v>57</v>
      </c>
      <c r="F4" s="32" t="s">
        <v>58</v>
      </c>
      <c r="G4" s="33" t="s">
        <v>59</v>
      </c>
      <c r="H4" s="121" t="s">
        <v>60</v>
      </c>
      <c r="I4" s="32"/>
      <c r="J4" s="58">
        <v>2100</v>
      </c>
      <c r="K4" s="58">
        <f>3500</f>
        <v>3500</v>
      </c>
      <c r="L4" s="58">
        <f>3170*1</f>
        <v>3170</v>
      </c>
      <c r="M4" s="58">
        <v>200</v>
      </c>
      <c r="N4" s="58">
        <v>100</v>
      </c>
      <c r="O4" s="58"/>
      <c r="P4" s="58">
        <v>80</v>
      </c>
      <c r="Q4" s="58"/>
      <c r="R4" s="58"/>
      <c r="S4" s="58"/>
      <c r="T4" s="58"/>
      <c r="U4" s="60"/>
      <c r="V4" s="47">
        <f t="shared" ref="V4:V8" si="0">SUM(J4:S4)-T4+U4</f>
        <v>9150</v>
      </c>
      <c r="W4" s="68">
        <v>462.08</v>
      </c>
      <c r="X4" s="68">
        <v>19.42</v>
      </c>
      <c r="Y4" s="68">
        <v>210.34</v>
      </c>
      <c r="Z4" s="68">
        <v>32.36</v>
      </c>
      <c r="AA4" s="68">
        <v>7.28</v>
      </c>
      <c r="AB4" s="68">
        <v>25.89</v>
      </c>
      <c r="AC4" s="58">
        <f>107</f>
        <v>107</v>
      </c>
      <c r="AD4" s="32"/>
      <c r="AE4" s="32"/>
      <c r="AF4" s="32"/>
      <c r="AG4" s="58"/>
      <c r="AH4" s="58"/>
      <c r="AI4" s="58">
        <f t="shared" ref="AI4:AI8" si="1">SUM(AD4:AH4)</f>
        <v>0</v>
      </c>
      <c r="AJ4" s="83">
        <v>27654.44</v>
      </c>
      <c r="AK4" s="83">
        <v>1893.84</v>
      </c>
      <c r="AL4" s="84">
        <v>15000</v>
      </c>
      <c r="AM4" s="85">
        <v>6000</v>
      </c>
      <c r="AN4" s="85"/>
      <c r="AO4" s="95">
        <v>3000</v>
      </c>
      <c r="AP4" s="95"/>
      <c r="AQ4" s="85"/>
      <c r="AR4" s="83">
        <f t="shared" ref="AR4:AR8" si="2">V4+AJ4</f>
        <v>36804.44</v>
      </c>
      <c r="AS4" s="83">
        <f>AI4+AK4</f>
        <v>1893.84</v>
      </c>
      <c r="AT4" s="84">
        <f t="shared" ref="AT4:AT8" si="3">AL4+5000</f>
        <v>20000</v>
      </c>
      <c r="AU4" s="84">
        <f>AM4+AO4+3000</f>
        <v>12000</v>
      </c>
      <c r="AV4" s="83">
        <f t="shared" ref="AV4:AV8" si="4">AR4-AS4-AT4-AU4</f>
        <v>2910.6</v>
      </c>
      <c r="AW4" s="104">
        <f>5*MAX(0,AV4*{0.6;2;4;5;6;7;9}%-{0;504;3384;6384;10584;17184;36384})</f>
        <v>87.32</v>
      </c>
      <c r="AX4" s="104">
        <v>52.82</v>
      </c>
      <c r="AY4" s="104">
        <f t="shared" ref="AY4:AY8" si="5">IF(+AW4-AX4&gt;0,AW4-AX4,0)</f>
        <v>34.5</v>
      </c>
      <c r="AZ4" s="56"/>
      <c r="BA4" s="105">
        <f t="shared" ref="BA4:BA8" si="6">V4-AI4-AY4</f>
        <v>9115.5</v>
      </c>
      <c r="BB4" s="106"/>
    </row>
    <row r="5" s="13" customFormat="1" ht="25" customHeight="1" spans="1:54">
      <c r="A5" s="30">
        <v>2</v>
      </c>
      <c r="B5" s="31" t="s">
        <v>61</v>
      </c>
      <c r="C5" s="32" t="s">
        <v>55</v>
      </c>
      <c r="D5" s="32" t="s">
        <v>62</v>
      </c>
      <c r="E5" s="32" t="s">
        <v>57</v>
      </c>
      <c r="F5" s="32" t="s">
        <v>63</v>
      </c>
      <c r="G5" s="33" t="s">
        <v>64</v>
      </c>
      <c r="H5" s="33" t="s">
        <v>65</v>
      </c>
      <c r="I5" s="32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69"/>
      <c r="V5" s="47">
        <v>1100</v>
      </c>
      <c r="W5" s="68"/>
      <c r="X5" s="68"/>
      <c r="Y5" s="68"/>
      <c r="Z5" s="68"/>
      <c r="AA5" s="68"/>
      <c r="AB5" s="68"/>
      <c r="AC5" s="58"/>
      <c r="AD5" s="78"/>
      <c r="AE5" s="68"/>
      <c r="AF5" s="68"/>
      <c r="AG5" s="58"/>
      <c r="AH5" s="58"/>
      <c r="AI5" s="58"/>
      <c r="AJ5" s="83">
        <v>3300</v>
      </c>
      <c r="AK5" s="83">
        <v>0</v>
      </c>
      <c r="AL5" s="84">
        <v>15000</v>
      </c>
      <c r="AM5" s="85"/>
      <c r="AN5" s="85"/>
      <c r="AO5" s="96"/>
      <c r="AP5" s="96"/>
      <c r="AQ5" s="85"/>
      <c r="AR5" s="83">
        <f t="shared" si="2"/>
        <v>4400</v>
      </c>
      <c r="AS5" s="83">
        <f t="shared" ref="AS4:AS8" si="7">AI5+AK5</f>
        <v>0</v>
      </c>
      <c r="AT5" s="84">
        <f t="shared" si="3"/>
        <v>20000</v>
      </c>
      <c r="AU5" s="84"/>
      <c r="AV5" s="83">
        <f t="shared" si="4"/>
        <v>-15600</v>
      </c>
      <c r="AW5" s="104">
        <f>5*MAX(0,AV5*{0.6;2;4;5;6;7;9}%-{0;504;3384;6384;10584;17184;36384})</f>
        <v>0</v>
      </c>
      <c r="AX5" s="107"/>
      <c r="AY5" s="104">
        <f t="shared" si="5"/>
        <v>0</v>
      </c>
      <c r="AZ5" s="57"/>
      <c r="BA5" s="105">
        <f t="shared" si="6"/>
        <v>1100</v>
      </c>
      <c r="BB5" s="106"/>
    </row>
    <row r="6" s="13" customFormat="1" ht="22" customHeight="1" spans="1:54">
      <c r="A6" s="34"/>
      <c r="B6" s="35" t="s">
        <v>66</v>
      </c>
      <c r="C6" s="36"/>
      <c r="D6" s="37"/>
      <c r="E6" s="37"/>
      <c r="F6" s="37"/>
      <c r="G6" s="38"/>
      <c r="H6" s="33"/>
      <c r="I6" s="37"/>
      <c r="J6" s="59">
        <f t="shared" ref="J6:AH6" si="8">SUM(J4:J5)</f>
        <v>2100</v>
      </c>
      <c r="K6" s="59">
        <f t="shared" si="8"/>
        <v>3500</v>
      </c>
      <c r="L6" s="59">
        <f t="shared" si="8"/>
        <v>3170</v>
      </c>
      <c r="M6" s="59">
        <f t="shared" si="8"/>
        <v>200</v>
      </c>
      <c r="N6" s="59">
        <f t="shared" si="8"/>
        <v>100</v>
      </c>
      <c r="O6" s="59">
        <f t="shared" si="8"/>
        <v>0</v>
      </c>
      <c r="P6" s="59">
        <f t="shared" si="8"/>
        <v>80</v>
      </c>
      <c r="Q6" s="59">
        <f t="shared" si="8"/>
        <v>0</v>
      </c>
      <c r="R6" s="59">
        <f t="shared" si="8"/>
        <v>0</v>
      </c>
      <c r="S6" s="59">
        <f t="shared" si="8"/>
        <v>0</v>
      </c>
      <c r="T6" s="59">
        <f t="shared" si="8"/>
        <v>0</v>
      </c>
      <c r="U6" s="59">
        <f t="shared" si="8"/>
        <v>0</v>
      </c>
      <c r="V6" s="59">
        <f t="shared" si="8"/>
        <v>10250</v>
      </c>
      <c r="W6" s="59">
        <f t="shared" ref="W6:BA6" si="9">SUM(W4:W5)</f>
        <v>462.08</v>
      </c>
      <c r="X6" s="59">
        <f t="shared" si="9"/>
        <v>19.42</v>
      </c>
      <c r="Y6" s="59">
        <f t="shared" si="9"/>
        <v>210.34</v>
      </c>
      <c r="Z6" s="59">
        <f t="shared" si="9"/>
        <v>32.36</v>
      </c>
      <c r="AA6" s="59">
        <f t="shared" si="9"/>
        <v>7.28</v>
      </c>
      <c r="AB6" s="59">
        <f t="shared" si="9"/>
        <v>25.89</v>
      </c>
      <c r="AC6" s="59">
        <f t="shared" si="9"/>
        <v>107</v>
      </c>
      <c r="AD6" s="59">
        <f t="shared" si="9"/>
        <v>0</v>
      </c>
      <c r="AE6" s="59">
        <f t="shared" si="9"/>
        <v>0</v>
      </c>
      <c r="AF6" s="59">
        <f t="shared" si="9"/>
        <v>0</v>
      </c>
      <c r="AG6" s="59">
        <f t="shared" si="9"/>
        <v>0</v>
      </c>
      <c r="AH6" s="59">
        <f t="shared" si="9"/>
        <v>0</v>
      </c>
      <c r="AI6" s="59">
        <f t="shared" si="9"/>
        <v>0</v>
      </c>
      <c r="AJ6" s="59">
        <f t="shared" si="9"/>
        <v>30954.44</v>
      </c>
      <c r="AK6" s="59">
        <f t="shared" si="9"/>
        <v>1893.84</v>
      </c>
      <c r="AL6" s="59">
        <f t="shared" si="9"/>
        <v>30000</v>
      </c>
      <c r="AM6" s="59">
        <f t="shared" si="9"/>
        <v>6000</v>
      </c>
      <c r="AN6" s="59">
        <f t="shared" si="9"/>
        <v>0</v>
      </c>
      <c r="AO6" s="59">
        <f t="shared" si="9"/>
        <v>3000</v>
      </c>
      <c r="AP6" s="59">
        <f t="shared" si="9"/>
        <v>0</v>
      </c>
      <c r="AQ6" s="59">
        <f t="shared" si="9"/>
        <v>0</v>
      </c>
      <c r="AR6" s="59">
        <f t="shared" si="9"/>
        <v>41204.44</v>
      </c>
      <c r="AS6" s="59">
        <f t="shared" si="9"/>
        <v>1893.84</v>
      </c>
      <c r="AT6" s="59">
        <f t="shared" si="9"/>
        <v>40000</v>
      </c>
      <c r="AU6" s="59">
        <f t="shared" si="9"/>
        <v>12000</v>
      </c>
      <c r="AV6" s="59">
        <f t="shared" si="9"/>
        <v>-12689.4</v>
      </c>
      <c r="AW6" s="59">
        <f t="shared" si="9"/>
        <v>87.32</v>
      </c>
      <c r="AX6" s="59">
        <f t="shared" si="9"/>
        <v>52.82</v>
      </c>
      <c r="AY6" s="59">
        <f t="shared" si="9"/>
        <v>34.5</v>
      </c>
      <c r="AZ6" s="59">
        <f t="shared" si="9"/>
        <v>0</v>
      </c>
      <c r="BA6" s="59">
        <f t="shared" si="9"/>
        <v>10215.5</v>
      </c>
      <c r="BB6" s="108"/>
    </row>
    <row r="7" s="13" customFormat="1" ht="25" customHeight="1" spans="1:54">
      <c r="A7" s="30">
        <v>3</v>
      </c>
      <c r="B7" s="39" t="s">
        <v>67</v>
      </c>
      <c r="C7" s="32" t="s">
        <v>68</v>
      </c>
      <c r="D7" s="32" t="s">
        <v>56</v>
      </c>
      <c r="E7" s="32" t="s">
        <v>57</v>
      </c>
      <c r="F7" s="32" t="s">
        <v>58</v>
      </c>
      <c r="G7" s="33" t="s">
        <v>69</v>
      </c>
      <c r="H7" s="33" t="s">
        <v>70</v>
      </c>
      <c r="I7" s="32"/>
      <c r="J7" s="58">
        <v>2100</v>
      </c>
      <c r="K7" s="58">
        <f>3200</f>
        <v>3200</v>
      </c>
      <c r="L7" s="58">
        <f>1970*1</f>
        <v>1970</v>
      </c>
      <c r="M7" s="58">
        <v>200</v>
      </c>
      <c r="N7" s="58">
        <v>100</v>
      </c>
      <c r="O7" s="58"/>
      <c r="P7" s="58">
        <v>80</v>
      </c>
      <c r="Q7" s="58"/>
      <c r="R7" s="58"/>
      <c r="S7" s="58"/>
      <c r="T7" s="58"/>
      <c r="U7" s="60"/>
      <c r="V7" s="47">
        <f t="shared" si="0"/>
        <v>7650</v>
      </c>
      <c r="W7" s="68"/>
      <c r="X7" s="68"/>
      <c r="Y7" s="68"/>
      <c r="Z7" s="68"/>
      <c r="AA7" s="68"/>
      <c r="AB7" s="68"/>
      <c r="AC7" s="58"/>
      <c r="AD7" s="32">
        <v>365.6</v>
      </c>
      <c r="AE7" s="32">
        <v>91.4</v>
      </c>
      <c r="AF7" s="32">
        <v>18.28</v>
      </c>
      <c r="AG7" s="58">
        <v>156</v>
      </c>
      <c r="AH7" s="58"/>
      <c r="AI7" s="58">
        <f t="shared" si="1"/>
        <v>631.28</v>
      </c>
      <c r="AJ7" s="86">
        <v>22991.75</v>
      </c>
      <c r="AK7" s="86">
        <v>1893.84</v>
      </c>
      <c r="AL7" s="86">
        <v>15000</v>
      </c>
      <c r="AM7" s="86">
        <v>0</v>
      </c>
      <c r="AN7" s="86">
        <v>4500</v>
      </c>
      <c r="AO7" s="96"/>
      <c r="AP7" s="96"/>
      <c r="AQ7" s="96"/>
      <c r="AR7" s="83">
        <f t="shared" si="2"/>
        <v>30641.75</v>
      </c>
      <c r="AS7" s="83">
        <f t="shared" si="7"/>
        <v>2525.12</v>
      </c>
      <c r="AT7" s="84">
        <f t="shared" si="3"/>
        <v>20000</v>
      </c>
      <c r="AU7" s="84">
        <f>AN7+AM7+AO7+1500</f>
        <v>6000</v>
      </c>
      <c r="AV7" s="83">
        <f t="shared" si="4"/>
        <v>2116.63</v>
      </c>
      <c r="AW7" s="104">
        <f>5*MAX(0,AV7*{0.6;2;4;5;6;7;9}%-{0;504;3384;6384;10584;17184;36384})</f>
        <v>63.5</v>
      </c>
      <c r="AX7" s="109">
        <v>47.94</v>
      </c>
      <c r="AY7" s="104">
        <f t="shared" si="5"/>
        <v>15.56</v>
      </c>
      <c r="AZ7" s="56"/>
      <c r="BA7" s="105">
        <f t="shared" si="6"/>
        <v>7003.16</v>
      </c>
      <c r="BB7" s="106"/>
    </row>
    <row r="8" s="13" customFormat="1" ht="25" customHeight="1" spans="1:55">
      <c r="A8" s="30">
        <v>4</v>
      </c>
      <c r="B8" s="39" t="s">
        <v>71</v>
      </c>
      <c r="C8" s="32" t="s">
        <v>72</v>
      </c>
      <c r="D8" s="32" t="s">
        <v>73</v>
      </c>
      <c r="E8" s="32" t="s">
        <v>57</v>
      </c>
      <c r="F8" s="32" t="s">
        <v>58</v>
      </c>
      <c r="G8" s="33" t="s">
        <v>74</v>
      </c>
      <c r="H8" s="33" t="s">
        <v>75</v>
      </c>
      <c r="I8" s="32"/>
      <c r="J8" s="58">
        <f>2100</f>
        <v>2100</v>
      </c>
      <c r="K8" s="58">
        <f>2000/168*152</f>
        <v>1809.52</v>
      </c>
      <c r="L8" s="58">
        <f>970/168*152</f>
        <v>877.62</v>
      </c>
      <c r="M8" s="58"/>
      <c r="N8" s="58">
        <v>100</v>
      </c>
      <c r="O8" s="58"/>
      <c r="P8" s="58">
        <v>80</v>
      </c>
      <c r="Q8" s="58"/>
      <c r="R8" s="58"/>
      <c r="S8" s="58"/>
      <c r="T8" s="58"/>
      <c r="U8" s="60"/>
      <c r="V8" s="47">
        <f t="shared" si="0"/>
        <v>4967.14</v>
      </c>
      <c r="W8" s="68"/>
      <c r="X8" s="68"/>
      <c r="Y8" s="68"/>
      <c r="Z8" s="68"/>
      <c r="AA8" s="68"/>
      <c r="AB8" s="68"/>
      <c r="AC8" s="58"/>
      <c r="AD8" s="78"/>
      <c r="AE8" s="68"/>
      <c r="AF8" s="68"/>
      <c r="AG8" s="58"/>
      <c r="AH8" s="58"/>
      <c r="AI8" s="58">
        <f t="shared" si="1"/>
        <v>0</v>
      </c>
      <c r="AJ8" s="87">
        <v>16410</v>
      </c>
      <c r="AK8" s="87">
        <v>1746.24</v>
      </c>
      <c r="AL8" s="87">
        <v>15000</v>
      </c>
      <c r="AM8" s="87"/>
      <c r="AN8" s="87"/>
      <c r="AO8" s="97"/>
      <c r="AP8" s="97"/>
      <c r="AQ8" s="97"/>
      <c r="AR8" s="83">
        <f t="shared" si="2"/>
        <v>21377.14</v>
      </c>
      <c r="AS8" s="83">
        <f t="shared" si="7"/>
        <v>1746.24</v>
      </c>
      <c r="AT8" s="84">
        <f t="shared" si="3"/>
        <v>20000</v>
      </c>
      <c r="AU8" s="84"/>
      <c r="AV8" s="83">
        <f t="shared" si="4"/>
        <v>-369.1</v>
      </c>
      <c r="AW8" s="104">
        <f>5*MAX(0,AV8*{0.6;2;4;5;6;7;9}%-{0;504;3384;6384;10584;17184;36384})</f>
        <v>0</v>
      </c>
      <c r="AX8" s="109"/>
      <c r="AY8" s="104">
        <f t="shared" si="5"/>
        <v>0</v>
      </c>
      <c r="AZ8" s="56"/>
      <c r="BA8" s="105">
        <f t="shared" si="6"/>
        <v>4967.14</v>
      </c>
      <c r="BB8" s="106"/>
      <c r="BC8" s="110"/>
    </row>
    <row r="9" s="13" customFormat="1" ht="24" customHeight="1" spans="1:55">
      <c r="A9" s="34"/>
      <c r="B9" s="35" t="s">
        <v>76</v>
      </c>
      <c r="C9" s="36"/>
      <c r="D9" s="37"/>
      <c r="E9" s="37"/>
      <c r="F9" s="37"/>
      <c r="G9" s="33"/>
      <c r="H9" s="33"/>
      <c r="I9" s="37"/>
      <c r="J9" s="59">
        <f>SUM(J7:J8)</f>
        <v>4200</v>
      </c>
      <c r="K9" s="59">
        <f t="shared" ref="K9:V9" si="10">SUM(K7:K8)</f>
        <v>5009.52</v>
      </c>
      <c r="L9" s="59">
        <f t="shared" si="10"/>
        <v>2847.62</v>
      </c>
      <c r="M9" s="59">
        <f t="shared" si="10"/>
        <v>200</v>
      </c>
      <c r="N9" s="59">
        <f t="shared" si="10"/>
        <v>200</v>
      </c>
      <c r="O9" s="59">
        <f t="shared" si="10"/>
        <v>0</v>
      </c>
      <c r="P9" s="59">
        <f t="shared" si="10"/>
        <v>160</v>
      </c>
      <c r="Q9" s="59">
        <f t="shared" si="10"/>
        <v>0</v>
      </c>
      <c r="R9" s="59">
        <f t="shared" si="10"/>
        <v>0</v>
      </c>
      <c r="S9" s="59">
        <f t="shared" si="10"/>
        <v>0</v>
      </c>
      <c r="T9" s="59">
        <f t="shared" si="10"/>
        <v>0</v>
      </c>
      <c r="U9" s="59">
        <f t="shared" si="10"/>
        <v>0</v>
      </c>
      <c r="V9" s="59">
        <f t="shared" si="10"/>
        <v>12617.14</v>
      </c>
      <c r="W9" s="59">
        <f t="shared" ref="V9:BA9" si="11">SUM(W7:W8)</f>
        <v>0</v>
      </c>
      <c r="X9" s="59">
        <f t="shared" si="11"/>
        <v>0</v>
      </c>
      <c r="Y9" s="59">
        <f t="shared" si="11"/>
        <v>0</v>
      </c>
      <c r="Z9" s="59">
        <f t="shared" si="11"/>
        <v>0</v>
      </c>
      <c r="AA9" s="59">
        <f t="shared" si="11"/>
        <v>0</v>
      </c>
      <c r="AB9" s="59">
        <f t="shared" si="11"/>
        <v>0</v>
      </c>
      <c r="AC9" s="59">
        <f t="shared" si="11"/>
        <v>0</v>
      </c>
      <c r="AD9" s="59">
        <f t="shared" si="11"/>
        <v>365.6</v>
      </c>
      <c r="AE9" s="59">
        <f t="shared" si="11"/>
        <v>91.4</v>
      </c>
      <c r="AF9" s="59">
        <f t="shared" si="11"/>
        <v>18.28</v>
      </c>
      <c r="AG9" s="59">
        <f t="shared" si="11"/>
        <v>156</v>
      </c>
      <c r="AH9" s="59">
        <f t="shared" si="11"/>
        <v>0</v>
      </c>
      <c r="AI9" s="59">
        <f t="shared" si="11"/>
        <v>631.28</v>
      </c>
      <c r="AJ9" s="59">
        <f t="shared" si="11"/>
        <v>39401.75</v>
      </c>
      <c r="AK9" s="59">
        <f t="shared" si="11"/>
        <v>3640.08</v>
      </c>
      <c r="AL9" s="59">
        <f t="shared" si="11"/>
        <v>30000</v>
      </c>
      <c r="AM9" s="59">
        <f t="shared" si="11"/>
        <v>0</v>
      </c>
      <c r="AN9" s="59">
        <f t="shared" si="11"/>
        <v>4500</v>
      </c>
      <c r="AO9" s="59">
        <f t="shared" si="11"/>
        <v>0</v>
      </c>
      <c r="AP9" s="59">
        <f t="shared" si="11"/>
        <v>0</v>
      </c>
      <c r="AQ9" s="59">
        <f t="shared" si="11"/>
        <v>0</v>
      </c>
      <c r="AR9" s="59">
        <f t="shared" si="11"/>
        <v>52018.89</v>
      </c>
      <c r="AS9" s="59">
        <f t="shared" si="11"/>
        <v>4271.36</v>
      </c>
      <c r="AT9" s="59">
        <f t="shared" si="11"/>
        <v>40000</v>
      </c>
      <c r="AU9" s="59">
        <f t="shared" si="11"/>
        <v>6000</v>
      </c>
      <c r="AV9" s="59">
        <f t="shared" si="11"/>
        <v>1747.53</v>
      </c>
      <c r="AW9" s="59">
        <f t="shared" si="11"/>
        <v>63.5</v>
      </c>
      <c r="AX9" s="59">
        <f t="shared" si="11"/>
        <v>47.94</v>
      </c>
      <c r="AY9" s="59">
        <f t="shared" si="11"/>
        <v>15.56</v>
      </c>
      <c r="AZ9" s="59">
        <f t="shared" si="11"/>
        <v>0</v>
      </c>
      <c r="BA9" s="59">
        <f t="shared" si="11"/>
        <v>11970.3</v>
      </c>
      <c r="BB9" s="108"/>
      <c r="BC9" s="111"/>
    </row>
    <row r="10" s="14" customFormat="1" ht="25" customHeight="1" spans="1:54">
      <c r="A10" s="40">
        <v>5</v>
      </c>
      <c r="B10" s="41" t="s">
        <v>77</v>
      </c>
      <c r="C10" s="41" t="s">
        <v>78</v>
      </c>
      <c r="D10" s="39" t="s">
        <v>79</v>
      </c>
      <c r="E10" s="39" t="s">
        <v>57</v>
      </c>
      <c r="F10" s="39" t="s">
        <v>58</v>
      </c>
      <c r="G10" s="42" t="s">
        <v>80</v>
      </c>
      <c r="H10" s="33" t="s">
        <v>81</v>
      </c>
      <c r="I10" s="39"/>
      <c r="J10" s="60">
        <v>2100</v>
      </c>
      <c r="K10" s="60">
        <f>2400</f>
        <v>2400</v>
      </c>
      <c r="L10" s="60">
        <f>1970*1</f>
        <v>1970</v>
      </c>
      <c r="M10" s="60">
        <v>200</v>
      </c>
      <c r="N10" s="60">
        <v>100</v>
      </c>
      <c r="O10" s="60"/>
      <c r="P10" s="60">
        <v>60</v>
      </c>
      <c r="Q10" s="60"/>
      <c r="R10" s="58"/>
      <c r="S10" s="58"/>
      <c r="T10" s="60"/>
      <c r="U10" s="60">
        <v>-150</v>
      </c>
      <c r="V10" s="70">
        <f>SUM(J10:S10)-T10+U10</f>
        <v>6680</v>
      </c>
      <c r="W10" s="71"/>
      <c r="X10" s="71"/>
      <c r="Y10" s="71"/>
      <c r="Z10" s="71"/>
      <c r="AA10" s="71"/>
      <c r="AB10" s="71"/>
      <c r="AC10" s="71"/>
      <c r="AD10" s="78"/>
      <c r="AE10" s="68"/>
      <c r="AF10" s="68"/>
      <c r="AG10" s="60"/>
      <c r="AH10" s="58"/>
      <c r="AI10" s="60">
        <f>SUM(AD10:AH10)</f>
        <v>0</v>
      </c>
      <c r="AJ10" s="88">
        <v>28207</v>
      </c>
      <c r="AK10" s="88">
        <v>1746.24</v>
      </c>
      <c r="AL10" s="88">
        <v>15000</v>
      </c>
      <c r="AM10" s="89"/>
      <c r="AN10" s="89"/>
      <c r="AO10" s="89">
        <v>3000</v>
      </c>
      <c r="AP10" s="89"/>
      <c r="AQ10" s="89"/>
      <c r="AR10" s="98">
        <f>V10+AJ10</f>
        <v>34887</v>
      </c>
      <c r="AS10" s="98">
        <f>AI10+AK10</f>
        <v>1746.24</v>
      </c>
      <c r="AT10" s="99">
        <f>AL10+5000</f>
        <v>20000</v>
      </c>
      <c r="AU10" s="99">
        <f>AO10+1000</f>
        <v>4000</v>
      </c>
      <c r="AV10" s="98">
        <f>AR10-AS10-AT10-AU10</f>
        <v>9140.76</v>
      </c>
      <c r="AW10" s="104">
        <f>5*MAX(0,AV10*{0.6;2;4;5;6;7;9}%-{0;504;3384;6384;10584;17184;36384})</f>
        <v>274.22</v>
      </c>
      <c r="AX10" s="112">
        <v>253.82</v>
      </c>
      <c r="AY10" s="104">
        <f>IF(+AW10-AX10&gt;0,AW10-AX10,0)</f>
        <v>20.4</v>
      </c>
      <c r="AZ10" s="113"/>
      <c r="BA10" s="114">
        <f>V10-AI10-AY10</f>
        <v>6659.6</v>
      </c>
      <c r="BB10" s="115"/>
    </row>
    <row r="11" s="13" customFormat="1" ht="24" customHeight="1" spans="1:55">
      <c r="A11" s="34"/>
      <c r="B11" s="35" t="s">
        <v>82</v>
      </c>
      <c r="C11" s="36"/>
      <c r="D11" s="37"/>
      <c r="E11" s="37"/>
      <c r="F11" s="37"/>
      <c r="G11" s="33"/>
      <c r="H11" s="33"/>
      <c r="I11" s="37"/>
      <c r="J11" s="59">
        <f>SUM(J10:J10)</f>
        <v>2100</v>
      </c>
      <c r="K11" s="59">
        <f t="shared" ref="K11:BA11" si="12">SUM(K10:K10)</f>
        <v>2400</v>
      </c>
      <c r="L11" s="59">
        <f t="shared" si="12"/>
        <v>1970</v>
      </c>
      <c r="M11" s="59">
        <f t="shared" si="12"/>
        <v>200</v>
      </c>
      <c r="N11" s="59">
        <f t="shared" si="12"/>
        <v>100</v>
      </c>
      <c r="O11" s="59">
        <f t="shared" si="12"/>
        <v>0</v>
      </c>
      <c r="P11" s="59">
        <f t="shared" si="12"/>
        <v>60</v>
      </c>
      <c r="Q11" s="59">
        <f t="shared" si="12"/>
        <v>0</v>
      </c>
      <c r="R11" s="59">
        <f t="shared" si="12"/>
        <v>0</v>
      </c>
      <c r="S11" s="59">
        <f t="shared" si="12"/>
        <v>0</v>
      </c>
      <c r="T11" s="59">
        <f t="shared" si="12"/>
        <v>0</v>
      </c>
      <c r="U11" s="59">
        <f t="shared" si="12"/>
        <v>-150</v>
      </c>
      <c r="V11" s="59">
        <f t="shared" si="12"/>
        <v>6680</v>
      </c>
      <c r="W11" s="59">
        <f t="shared" si="12"/>
        <v>0</v>
      </c>
      <c r="X11" s="59">
        <f t="shared" si="12"/>
        <v>0</v>
      </c>
      <c r="Y11" s="59">
        <f t="shared" si="12"/>
        <v>0</v>
      </c>
      <c r="Z11" s="59">
        <f t="shared" si="12"/>
        <v>0</v>
      </c>
      <c r="AA11" s="59">
        <f t="shared" si="12"/>
        <v>0</v>
      </c>
      <c r="AB11" s="59">
        <f t="shared" si="12"/>
        <v>0</v>
      </c>
      <c r="AC11" s="59">
        <f t="shared" si="12"/>
        <v>0</v>
      </c>
      <c r="AD11" s="59">
        <f t="shared" si="12"/>
        <v>0</v>
      </c>
      <c r="AE11" s="59">
        <f t="shared" si="12"/>
        <v>0</v>
      </c>
      <c r="AF11" s="59">
        <f t="shared" si="12"/>
        <v>0</v>
      </c>
      <c r="AG11" s="59">
        <f t="shared" si="12"/>
        <v>0</v>
      </c>
      <c r="AH11" s="59">
        <f t="shared" si="12"/>
        <v>0</v>
      </c>
      <c r="AI11" s="59">
        <f t="shared" si="12"/>
        <v>0</v>
      </c>
      <c r="AJ11" s="59">
        <f t="shared" si="12"/>
        <v>28207</v>
      </c>
      <c r="AK11" s="59">
        <f t="shared" si="12"/>
        <v>1746.24</v>
      </c>
      <c r="AL11" s="59">
        <f t="shared" si="12"/>
        <v>15000</v>
      </c>
      <c r="AM11" s="59">
        <f t="shared" si="12"/>
        <v>0</v>
      </c>
      <c r="AN11" s="59">
        <f t="shared" si="12"/>
        <v>0</v>
      </c>
      <c r="AO11" s="59">
        <f t="shared" si="12"/>
        <v>3000</v>
      </c>
      <c r="AP11" s="59">
        <f t="shared" si="12"/>
        <v>0</v>
      </c>
      <c r="AQ11" s="59">
        <f t="shared" si="12"/>
        <v>0</v>
      </c>
      <c r="AR11" s="59">
        <f t="shared" si="12"/>
        <v>34887</v>
      </c>
      <c r="AS11" s="59">
        <f t="shared" si="12"/>
        <v>1746.24</v>
      </c>
      <c r="AT11" s="59">
        <f t="shared" si="12"/>
        <v>20000</v>
      </c>
      <c r="AU11" s="59">
        <f t="shared" si="12"/>
        <v>4000</v>
      </c>
      <c r="AV11" s="59">
        <f t="shared" si="12"/>
        <v>9140.76</v>
      </c>
      <c r="AW11" s="59">
        <f t="shared" si="12"/>
        <v>274.22</v>
      </c>
      <c r="AX11" s="59">
        <f t="shared" si="12"/>
        <v>253.82</v>
      </c>
      <c r="AY11" s="59">
        <f t="shared" si="12"/>
        <v>20.4</v>
      </c>
      <c r="AZ11" s="59">
        <f t="shared" si="12"/>
        <v>0</v>
      </c>
      <c r="BA11" s="59">
        <f t="shared" si="12"/>
        <v>6659.6</v>
      </c>
      <c r="BB11" s="108"/>
      <c r="BC11" s="111"/>
    </row>
    <row r="12" s="14" customFormat="1" ht="25" customHeight="1" spans="1:54">
      <c r="A12" s="40">
        <v>6</v>
      </c>
      <c r="B12" s="41" t="s">
        <v>83</v>
      </c>
      <c r="C12" s="39" t="s">
        <v>84</v>
      </c>
      <c r="D12" s="39" t="s">
        <v>56</v>
      </c>
      <c r="E12" s="39" t="s">
        <v>57</v>
      </c>
      <c r="F12" s="39" t="s">
        <v>58</v>
      </c>
      <c r="G12" s="42" t="s">
        <v>85</v>
      </c>
      <c r="H12" s="33" t="s">
        <v>86</v>
      </c>
      <c r="I12" s="39"/>
      <c r="J12" s="60">
        <v>2100</v>
      </c>
      <c r="K12" s="60">
        <v>3500</v>
      </c>
      <c r="L12" s="60">
        <f>2670*1</f>
        <v>2670</v>
      </c>
      <c r="M12" s="60">
        <v>200</v>
      </c>
      <c r="N12" s="60">
        <v>100</v>
      </c>
      <c r="O12" s="60">
        <v>800</v>
      </c>
      <c r="P12" s="60">
        <v>100</v>
      </c>
      <c r="Q12" s="60"/>
      <c r="R12" s="58"/>
      <c r="S12" s="58"/>
      <c r="T12" s="60"/>
      <c r="U12" s="60"/>
      <c r="V12" s="70">
        <f t="shared" ref="V12:V21" si="13">SUM(J12:S12)-T12+U12</f>
        <v>9470</v>
      </c>
      <c r="W12" s="71">
        <v>431.52</v>
      </c>
      <c r="X12" s="71">
        <v>19.42</v>
      </c>
      <c r="Y12" s="71">
        <v>210.34</v>
      </c>
      <c r="Z12" s="71">
        <v>32.36</v>
      </c>
      <c r="AA12" s="71">
        <v>7.28</v>
      </c>
      <c r="AB12" s="71">
        <v>25.89</v>
      </c>
      <c r="AC12" s="60">
        <v>119</v>
      </c>
      <c r="AD12" s="32"/>
      <c r="AE12" s="32"/>
      <c r="AF12" s="32"/>
      <c r="AG12" s="58"/>
      <c r="AH12" s="58"/>
      <c r="AI12" s="60">
        <f t="shared" ref="AI12:AI21" si="14">SUM(AD12:AH12)</f>
        <v>0</v>
      </c>
      <c r="AJ12" s="88">
        <v>28439.84</v>
      </c>
      <c r="AK12" s="88">
        <v>1893.84</v>
      </c>
      <c r="AL12" s="88">
        <v>15000</v>
      </c>
      <c r="AM12" s="86">
        <v>0</v>
      </c>
      <c r="AN12" s="86">
        <v>4500</v>
      </c>
      <c r="AO12" s="100"/>
      <c r="AP12" s="100"/>
      <c r="AQ12" s="100"/>
      <c r="AR12" s="98">
        <f t="shared" ref="AR12:AR21" si="15">V12+AJ12</f>
        <v>37909.84</v>
      </c>
      <c r="AS12" s="98">
        <f t="shared" ref="AS12:AS21" si="16">AI12+AK12</f>
        <v>1893.84</v>
      </c>
      <c r="AT12" s="99">
        <f t="shared" ref="AT12:AT21" si="17">AL12+5000</f>
        <v>20000</v>
      </c>
      <c r="AU12" s="99">
        <f>AM12+AN12+1500</f>
        <v>6000</v>
      </c>
      <c r="AV12" s="98">
        <f t="shared" ref="AV12:AV21" si="18">AR12-AS12-AT12-AU12</f>
        <v>10016</v>
      </c>
      <c r="AW12" s="104">
        <f>5*MAX(0,AV12*{0.6;2;4;5;6;7;9}%-{0;504;3384;6384;10584;17184;36384})</f>
        <v>300.48</v>
      </c>
      <c r="AX12" s="112">
        <v>211.38</v>
      </c>
      <c r="AY12" s="104">
        <f>IF(+AW12-AX12&gt;0,AW12-AX12,0)</f>
        <v>89.1</v>
      </c>
      <c r="AZ12" s="113"/>
      <c r="BA12" s="114">
        <f t="shared" ref="BA12:BA21" si="19">V12-AI12-AY12</f>
        <v>9380.9</v>
      </c>
      <c r="BB12" s="116"/>
    </row>
    <row r="13" s="14" customFormat="1" ht="25" customHeight="1" spans="1:54">
      <c r="A13" s="40">
        <v>7</v>
      </c>
      <c r="B13" s="41" t="s">
        <v>87</v>
      </c>
      <c r="C13" s="39" t="s">
        <v>84</v>
      </c>
      <c r="D13" s="39" t="s">
        <v>88</v>
      </c>
      <c r="E13" s="39" t="s">
        <v>89</v>
      </c>
      <c r="F13" s="39" t="s">
        <v>90</v>
      </c>
      <c r="G13" s="42" t="s">
        <v>91</v>
      </c>
      <c r="H13" s="33" t="s">
        <v>92</v>
      </c>
      <c r="I13" s="39"/>
      <c r="J13" s="60">
        <v>1288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70">
        <f t="shared" si="13"/>
        <v>1288</v>
      </c>
      <c r="W13" s="71">
        <v>431.52</v>
      </c>
      <c r="X13" s="71">
        <v>19.42</v>
      </c>
      <c r="Y13" s="71">
        <v>210.34</v>
      </c>
      <c r="Z13" s="71">
        <v>32.36</v>
      </c>
      <c r="AA13" s="71">
        <v>7.28</v>
      </c>
      <c r="AB13" s="71">
        <v>25.89</v>
      </c>
      <c r="AC13" s="71">
        <v>107</v>
      </c>
      <c r="AD13" s="79"/>
      <c r="AE13" s="71"/>
      <c r="AF13" s="71"/>
      <c r="AG13" s="60"/>
      <c r="AH13" s="60"/>
      <c r="AI13" s="60">
        <f t="shared" si="14"/>
        <v>0</v>
      </c>
      <c r="AJ13" s="88">
        <v>15325.43</v>
      </c>
      <c r="AK13" s="88">
        <v>1702.74</v>
      </c>
      <c r="AL13" s="88">
        <v>15000</v>
      </c>
      <c r="AM13" s="88"/>
      <c r="AN13" s="88"/>
      <c r="AO13" s="100"/>
      <c r="AP13" s="100"/>
      <c r="AQ13" s="100"/>
      <c r="AR13" s="98">
        <f t="shared" si="15"/>
        <v>16613.43</v>
      </c>
      <c r="AS13" s="98">
        <f t="shared" si="16"/>
        <v>1702.74</v>
      </c>
      <c r="AT13" s="99">
        <f t="shared" si="17"/>
        <v>20000</v>
      </c>
      <c r="AU13" s="99"/>
      <c r="AV13" s="98">
        <f t="shared" si="18"/>
        <v>-5089.31</v>
      </c>
      <c r="AW13" s="104">
        <f>5*MAX(0,AV13*{0.6;2;4;5;6;7;9}%-{0;504;3384;6384;10584;17184;36384})</f>
        <v>0</v>
      </c>
      <c r="AX13" s="112"/>
      <c r="AY13" s="104">
        <v>0</v>
      </c>
      <c r="AZ13" s="113"/>
      <c r="BA13" s="114">
        <f t="shared" si="19"/>
        <v>1288</v>
      </c>
      <c r="BB13" s="116" t="s">
        <v>93</v>
      </c>
    </row>
    <row r="14" s="14" customFormat="1" ht="25" customHeight="1" spans="1:54">
      <c r="A14" s="40">
        <v>9</v>
      </c>
      <c r="B14" s="41" t="s">
        <v>94</v>
      </c>
      <c r="C14" s="39" t="s">
        <v>84</v>
      </c>
      <c r="D14" s="39" t="s">
        <v>95</v>
      </c>
      <c r="E14" s="39" t="s">
        <v>89</v>
      </c>
      <c r="F14" s="39" t="s">
        <v>90</v>
      </c>
      <c r="G14" s="42" t="s">
        <v>96</v>
      </c>
      <c r="H14" s="33" t="s">
        <v>97</v>
      </c>
      <c r="I14" s="39"/>
      <c r="J14" s="60">
        <v>3231.5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70">
        <f t="shared" si="13"/>
        <v>3231.5</v>
      </c>
      <c r="W14" s="71">
        <v>431.52</v>
      </c>
      <c r="X14" s="71">
        <v>19.42</v>
      </c>
      <c r="Y14" s="71">
        <v>210.34</v>
      </c>
      <c r="Z14" s="71">
        <v>32.36</v>
      </c>
      <c r="AA14" s="71">
        <v>7.28</v>
      </c>
      <c r="AB14" s="71">
        <v>25.89</v>
      </c>
      <c r="AC14" s="71">
        <v>107</v>
      </c>
      <c r="AD14" s="79"/>
      <c r="AE14" s="71"/>
      <c r="AF14" s="71"/>
      <c r="AG14" s="60"/>
      <c r="AH14" s="60"/>
      <c r="AI14" s="60">
        <f t="shared" si="14"/>
        <v>0</v>
      </c>
      <c r="AJ14" s="88">
        <v>13565.4</v>
      </c>
      <c r="AK14" s="88">
        <v>1702.74</v>
      </c>
      <c r="AL14" s="88">
        <v>15000</v>
      </c>
      <c r="AM14" s="89"/>
      <c r="AN14" s="89"/>
      <c r="AO14" s="89"/>
      <c r="AP14" s="89"/>
      <c r="AQ14" s="89"/>
      <c r="AR14" s="98">
        <f t="shared" si="15"/>
        <v>16796.9</v>
      </c>
      <c r="AS14" s="98">
        <f t="shared" si="16"/>
        <v>1702.74</v>
      </c>
      <c r="AT14" s="99">
        <f t="shared" si="17"/>
        <v>20000</v>
      </c>
      <c r="AU14" s="99"/>
      <c r="AV14" s="98">
        <f t="shared" si="18"/>
        <v>-4905.84</v>
      </c>
      <c r="AW14" s="104">
        <f>5*MAX(0,AV14*{0.6;2;4;5;6;7;9}%-{0;504;3384;6384;10584;17184;36384})</f>
        <v>0</v>
      </c>
      <c r="AX14" s="112"/>
      <c r="AY14" s="104">
        <v>0</v>
      </c>
      <c r="AZ14" s="113"/>
      <c r="BA14" s="114">
        <f t="shared" si="19"/>
        <v>3231.5</v>
      </c>
      <c r="BB14" s="115" t="s">
        <v>98</v>
      </c>
    </row>
    <row r="15" s="14" customFormat="1" ht="25" customHeight="1" spans="1:54">
      <c r="A15" s="40">
        <v>10</v>
      </c>
      <c r="B15" s="41" t="s">
        <v>99</v>
      </c>
      <c r="C15" s="39" t="s">
        <v>84</v>
      </c>
      <c r="D15" s="39" t="s">
        <v>95</v>
      </c>
      <c r="E15" s="39" t="s">
        <v>89</v>
      </c>
      <c r="F15" s="39" t="s">
        <v>90</v>
      </c>
      <c r="G15" s="42" t="s">
        <v>100</v>
      </c>
      <c r="H15" s="33" t="s">
        <v>101</v>
      </c>
      <c r="I15" s="39"/>
      <c r="J15" s="60">
        <v>3369.5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70">
        <f t="shared" si="13"/>
        <v>3369.5</v>
      </c>
      <c r="W15" s="71">
        <v>431.52</v>
      </c>
      <c r="X15" s="71">
        <v>19.42</v>
      </c>
      <c r="Y15" s="71">
        <v>210.34</v>
      </c>
      <c r="Z15" s="71">
        <v>32.36</v>
      </c>
      <c r="AA15" s="71">
        <v>7.28</v>
      </c>
      <c r="AB15" s="71">
        <v>25.89</v>
      </c>
      <c r="AC15" s="71">
        <v>107</v>
      </c>
      <c r="AD15" s="79"/>
      <c r="AE15" s="71"/>
      <c r="AF15" s="71"/>
      <c r="AG15" s="60"/>
      <c r="AH15" s="60"/>
      <c r="AI15" s="60">
        <f t="shared" si="14"/>
        <v>0</v>
      </c>
      <c r="AJ15" s="88">
        <v>13571.63</v>
      </c>
      <c r="AK15" s="88">
        <v>1702.74</v>
      </c>
      <c r="AL15" s="88">
        <v>15000</v>
      </c>
      <c r="AM15" s="89"/>
      <c r="AN15" s="89"/>
      <c r="AO15" s="89"/>
      <c r="AP15" s="89"/>
      <c r="AQ15" s="89"/>
      <c r="AR15" s="98">
        <f t="shared" si="15"/>
        <v>16941.13</v>
      </c>
      <c r="AS15" s="98">
        <f t="shared" si="16"/>
        <v>1702.74</v>
      </c>
      <c r="AT15" s="99">
        <f t="shared" si="17"/>
        <v>20000</v>
      </c>
      <c r="AU15" s="99"/>
      <c r="AV15" s="98">
        <f t="shared" si="18"/>
        <v>-4761.61</v>
      </c>
      <c r="AW15" s="104">
        <f>5*MAX(0,AV15*{0.6;2;4;5;6;7;9}%-{0;504;3384;6384;10584;17184;36384})</f>
        <v>0</v>
      </c>
      <c r="AX15" s="112"/>
      <c r="AY15" s="104">
        <v>0</v>
      </c>
      <c r="AZ15" s="113"/>
      <c r="BA15" s="114">
        <f t="shared" si="19"/>
        <v>3369.5</v>
      </c>
      <c r="BB15" s="117" t="s">
        <v>102</v>
      </c>
    </row>
    <row r="16" s="14" customFormat="1" ht="25" customHeight="1" spans="1:54">
      <c r="A16" s="40">
        <v>11</v>
      </c>
      <c r="B16" s="41" t="s">
        <v>103</v>
      </c>
      <c r="C16" s="39" t="s">
        <v>84</v>
      </c>
      <c r="D16" s="39" t="s">
        <v>104</v>
      </c>
      <c r="E16" s="39" t="s">
        <v>57</v>
      </c>
      <c r="F16" s="39" t="s">
        <v>58</v>
      </c>
      <c r="G16" s="42" t="s">
        <v>105</v>
      </c>
      <c r="H16" s="33" t="s">
        <v>106</v>
      </c>
      <c r="I16" s="39"/>
      <c r="J16" s="60">
        <v>2100</v>
      </c>
      <c r="K16" s="60">
        <f>2200/168*163</f>
        <v>2134.52</v>
      </c>
      <c r="L16" s="60">
        <f>2000/168*163</f>
        <v>1940.48</v>
      </c>
      <c r="M16" s="60"/>
      <c r="N16" s="60">
        <v>100</v>
      </c>
      <c r="O16" s="60">
        <f>0</f>
        <v>0</v>
      </c>
      <c r="P16" s="60">
        <v>80</v>
      </c>
      <c r="Q16" s="60"/>
      <c r="R16" s="60"/>
      <c r="S16" s="58"/>
      <c r="T16" s="60"/>
      <c r="U16" s="60"/>
      <c r="V16" s="70">
        <f t="shared" si="13"/>
        <v>6355</v>
      </c>
      <c r="W16" s="71">
        <v>431.52</v>
      </c>
      <c r="X16" s="71">
        <v>19.42</v>
      </c>
      <c r="Y16" s="71">
        <v>210.34</v>
      </c>
      <c r="Z16" s="71">
        <v>32.36</v>
      </c>
      <c r="AA16" s="71">
        <v>7.28</v>
      </c>
      <c r="AB16" s="71">
        <v>25.89</v>
      </c>
      <c r="AC16" s="71">
        <v>107</v>
      </c>
      <c r="AD16" s="78"/>
      <c r="AE16" s="68"/>
      <c r="AF16" s="68"/>
      <c r="AG16" s="60"/>
      <c r="AH16" s="58"/>
      <c r="AI16" s="60">
        <f t="shared" si="14"/>
        <v>0</v>
      </c>
      <c r="AJ16" s="88">
        <v>24741.29</v>
      </c>
      <c r="AK16" s="88">
        <v>1746.24</v>
      </c>
      <c r="AL16" s="88">
        <v>15000</v>
      </c>
      <c r="AM16" s="89"/>
      <c r="AN16" s="89"/>
      <c r="AO16" s="89"/>
      <c r="AP16" s="89"/>
      <c r="AQ16" s="89"/>
      <c r="AR16" s="98">
        <f t="shared" si="15"/>
        <v>31096.29</v>
      </c>
      <c r="AS16" s="98">
        <f t="shared" si="16"/>
        <v>1746.24</v>
      </c>
      <c r="AT16" s="99">
        <f t="shared" si="17"/>
        <v>20000</v>
      </c>
      <c r="AU16" s="99"/>
      <c r="AV16" s="98">
        <f t="shared" si="18"/>
        <v>9350.05</v>
      </c>
      <c r="AW16" s="104">
        <f>5*MAX(0,AV16*{0.6;2;4;5;6;7;9}%-{0;504;3384;6384;10584;17184;36384})</f>
        <v>280.5</v>
      </c>
      <c r="AX16" s="112">
        <v>239.85</v>
      </c>
      <c r="AY16" s="104">
        <f>IF(+AW16-AX16&gt;0,AW16-AX16,0)</f>
        <v>40.65</v>
      </c>
      <c r="AZ16" s="113"/>
      <c r="BA16" s="114">
        <f t="shared" si="19"/>
        <v>6314.35</v>
      </c>
      <c r="BB16" s="115"/>
    </row>
    <row r="17" s="14" customFormat="1" ht="25" customHeight="1" spans="1:54">
      <c r="A17" s="40">
        <v>13</v>
      </c>
      <c r="B17" s="41" t="s">
        <v>107</v>
      </c>
      <c r="C17" s="39" t="s">
        <v>84</v>
      </c>
      <c r="D17" s="39" t="s">
        <v>95</v>
      </c>
      <c r="E17" s="39" t="s">
        <v>89</v>
      </c>
      <c r="F17" s="39" t="s">
        <v>90</v>
      </c>
      <c r="G17" s="42" t="s">
        <v>108</v>
      </c>
      <c r="H17" s="33" t="s">
        <v>109</v>
      </c>
      <c r="I17" s="39"/>
      <c r="J17" s="60">
        <v>368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70">
        <f t="shared" si="13"/>
        <v>368</v>
      </c>
      <c r="W17" s="71">
        <v>431.52</v>
      </c>
      <c r="X17" s="71">
        <v>19.42</v>
      </c>
      <c r="Y17" s="71">
        <v>210.34</v>
      </c>
      <c r="Z17" s="71">
        <v>32.36</v>
      </c>
      <c r="AA17" s="71">
        <v>7.28</v>
      </c>
      <c r="AB17" s="71">
        <v>25.89</v>
      </c>
      <c r="AC17" s="71">
        <v>107</v>
      </c>
      <c r="AD17" s="79"/>
      <c r="AE17" s="71"/>
      <c r="AF17" s="71"/>
      <c r="AG17" s="60"/>
      <c r="AH17" s="60"/>
      <c r="AI17" s="60">
        <f t="shared" si="14"/>
        <v>0</v>
      </c>
      <c r="AJ17" s="88">
        <v>13330.73</v>
      </c>
      <c r="AK17" s="88">
        <v>1702.74</v>
      </c>
      <c r="AL17" s="88">
        <v>15000</v>
      </c>
      <c r="AM17" s="89"/>
      <c r="AN17" s="89"/>
      <c r="AO17" s="89"/>
      <c r="AP17" s="89"/>
      <c r="AQ17" s="89"/>
      <c r="AR17" s="98">
        <f t="shared" si="15"/>
        <v>13698.73</v>
      </c>
      <c r="AS17" s="98">
        <f t="shared" si="16"/>
        <v>1702.74</v>
      </c>
      <c r="AT17" s="99">
        <f t="shared" si="17"/>
        <v>20000</v>
      </c>
      <c r="AU17" s="99"/>
      <c r="AV17" s="98">
        <f t="shared" si="18"/>
        <v>-8004.01</v>
      </c>
      <c r="AW17" s="104">
        <f>5*MAX(0,AV17*{0.6;2;4;5;6;7;9}%-{0;504;3384;6384;10584;17184;36384})</f>
        <v>0</v>
      </c>
      <c r="AX17" s="112"/>
      <c r="AY17" s="104">
        <v>0</v>
      </c>
      <c r="AZ17" s="113"/>
      <c r="BA17" s="114">
        <f t="shared" si="19"/>
        <v>368</v>
      </c>
      <c r="BB17" s="117" t="s">
        <v>110</v>
      </c>
    </row>
    <row r="18" s="14" customFormat="1" ht="25" customHeight="1" spans="1:54">
      <c r="A18" s="40">
        <v>16</v>
      </c>
      <c r="B18" s="41" t="s">
        <v>111</v>
      </c>
      <c r="C18" s="39" t="s">
        <v>84</v>
      </c>
      <c r="D18" s="39" t="s">
        <v>112</v>
      </c>
      <c r="E18" s="39" t="s">
        <v>89</v>
      </c>
      <c r="F18" s="39" t="s">
        <v>90</v>
      </c>
      <c r="G18" s="42" t="s">
        <v>113</v>
      </c>
      <c r="H18" s="33" t="s">
        <v>114</v>
      </c>
      <c r="I18" s="39"/>
      <c r="J18" s="60">
        <v>690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70">
        <f t="shared" si="13"/>
        <v>690</v>
      </c>
      <c r="W18" s="71">
        <v>431.52</v>
      </c>
      <c r="X18" s="71">
        <v>19.42</v>
      </c>
      <c r="Y18" s="71">
        <v>210.34</v>
      </c>
      <c r="Z18" s="71">
        <v>32.36</v>
      </c>
      <c r="AA18" s="71">
        <v>7.28</v>
      </c>
      <c r="AB18" s="71">
        <v>25.89</v>
      </c>
      <c r="AC18" s="71">
        <v>107</v>
      </c>
      <c r="AD18" s="79"/>
      <c r="AE18" s="71"/>
      <c r="AF18" s="71"/>
      <c r="AG18" s="60"/>
      <c r="AH18" s="60"/>
      <c r="AI18" s="60">
        <f t="shared" si="14"/>
        <v>0</v>
      </c>
      <c r="AJ18" s="88">
        <v>15267.94</v>
      </c>
      <c r="AK18" s="88">
        <v>1702.74</v>
      </c>
      <c r="AL18" s="88">
        <v>15000</v>
      </c>
      <c r="AM18" s="89"/>
      <c r="AN18" s="89"/>
      <c r="AO18" s="89"/>
      <c r="AP18" s="89"/>
      <c r="AQ18" s="89"/>
      <c r="AR18" s="98">
        <f t="shared" si="15"/>
        <v>15957.94</v>
      </c>
      <c r="AS18" s="98">
        <f t="shared" si="16"/>
        <v>1702.74</v>
      </c>
      <c r="AT18" s="99">
        <f t="shared" si="17"/>
        <v>20000</v>
      </c>
      <c r="AU18" s="99"/>
      <c r="AV18" s="98">
        <f t="shared" si="18"/>
        <v>-5744.8</v>
      </c>
      <c r="AW18" s="104">
        <f>5*MAX(0,AV18*{0.6;2;4;5;6;7;9}%-{0;504;3384;6384;10584;17184;36384})</f>
        <v>0</v>
      </c>
      <c r="AX18" s="112"/>
      <c r="AY18" s="104">
        <v>0</v>
      </c>
      <c r="AZ18" s="113"/>
      <c r="BA18" s="114">
        <f t="shared" si="19"/>
        <v>690</v>
      </c>
      <c r="BB18" s="117" t="s">
        <v>115</v>
      </c>
    </row>
    <row r="19" s="13" customFormat="1" ht="30" customHeight="1" spans="1:54">
      <c r="A19" s="40">
        <v>20</v>
      </c>
      <c r="B19" s="31" t="s">
        <v>116</v>
      </c>
      <c r="C19" s="32" t="s">
        <v>84</v>
      </c>
      <c r="D19" s="32" t="s">
        <v>117</v>
      </c>
      <c r="E19" s="32" t="s">
        <v>89</v>
      </c>
      <c r="F19" s="32" t="s">
        <v>63</v>
      </c>
      <c r="G19" s="33" t="s">
        <v>118</v>
      </c>
      <c r="H19" s="33" t="s">
        <v>119</v>
      </c>
      <c r="I19" s="32"/>
      <c r="J19" s="58">
        <v>2100</v>
      </c>
      <c r="K19" s="58">
        <f>1600</f>
        <v>1600</v>
      </c>
      <c r="L19" s="58">
        <f>(1100+300)</f>
        <v>1400</v>
      </c>
      <c r="M19" s="60">
        <v>200</v>
      </c>
      <c r="N19" s="58">
        <f>100</f>
        <v>100</v>
      </c>
      <c r="O19" s="58">
        <f>300</f>
        <v>300</v>
      </c>
      <c r="P19" s="58">
        <v>60</v>
      </c>
      <c r="Q19" s="58"/>
      <c r="R19" s="60">
        <f>2100/21.75/8*0*1.5+2100/21.75/8*2*2</f>
        <v>48.28</v>
      </c>
      <c r="S19" s="60"/>
      <c r="T19" s="58"/>
      <c r="U19" s="58"/>
      <c r="V19" s="47">
        <f t="shared" si="13"/>
        <v>5808.28</v>
      </c>
      <c r="W19" s="68">
        <v>19.42</v>
      </c>
      <c r="X19" s="68">
        <v>210.34</v>
      </c>
      <c r="Y19" s="68">
        <v>32.36</v>
      </c>
      <c r="Z19" s="68">
        <v>7.28</v>
      </c>
      <c r="AA19" s="68">
        <v>25.89</v>
      </c>
      <c r="AB19" s="68">
        <v>107</v>
      </c>
      <c r="AC19" s="68">
        <v>215.76</v>
      </c>
      <c r="AD19" s="79"/>
      <c r="AE19" s="71"/>
      <c r="AF19" s="71"/>
      <c r="AG19" s="58"/>
      <c r="AH19" s="60"/>
      <c r="AI19" s="58">
        <f t="shared" si="14"/>
        <v>0</v>
      </c>
      <c r="AJ19" s="88">
        <v>18678.87</v>
      </c>
      <c r="AK19" s="88">
        <v>1702.74</v>
      </c>
      <c r="AL19" s="88">
        <v>15000</v>
      </c>
      <c r="AM19" s="85"/>
      <c r="AN19" s="85"/>
      <c r="AO19" s="85"/>
      <c r="AP19" s="85"/>
      <c r="AQ19" s="83"/>
      <c r="AR19" s="83">
        <f t="shared" si="15"/>
        <v>24487.15</v>
      </c>
      <c r="AS19" s="83">
        <f t="shared" si="16"/>
        <v>1702.74</v>
      </c>
      <c r="AT19" s="84">
        <f t="shared" si="17"/>
        <v>20000</v>
      </c>
      <c r="AU19" s="83"/>
      <c r="AV19" s="83">
        <f t="shared" si="18"/>
        <v>2784.41</v>
      </c>
      <c r="AW19" s="104">
        <f>5*MAX(0,AV19*{0.6;2;4;5;6;7;9}%-{0;504;3384;6384;10584;17184;36384})</f>
        <v>83.53</v>
      </c>
      <c r="AX19" s="104">
        <v>60.03</v>
      </c>
      <c r="AY19" s="104">
        <f>IF(+AW19-AX19&gt;0,AW19-AX19,0)</f>
        <v>23.5</v>
      </c>
      <c r="AZ19" s="56"/>
      <c r="BA19" s="105">
        <f t="shared" si="19"/>
        <v>5784.78</v>
      </c>
      <c r="BB19" s="118"/>
    </row>
    <row r="20" s="14" customFormat="1" ht="25" customHeight="1" spans="1:54">
      <c r="A20" s="40">
        <v>21</v>
      </c>
      <c r="B20" s="41" t="s">
        <v>120</v>
      </c>
      <c r="C20" s="39" t="s">
        <v>84</v>
      </c>
      <c r="D20" s="39" t="s">
        <v>121</v>
      </c>
      <c r="E20" s="39" t="s">
        <v>89</v>
      </c>
      <c r="F20" s="39" t="s">
        <v>63</v>
      </c>
      <c r="G20" s="42" t="str">
        <f>VLOOKUP(B20,[1]在职汇总!$E$3:$G$98,3,FALSE)</f>
        <v>512501197303147219</v>
      </c>
      <c r="H20" s="33" t="s">
        <v>122</v>
      </c>
      <c r="I20" s="39"/>
      <c r="J20" s="60">
        <v>2100</v>
      </c>
      <c r="K20" s="60">
        <f>600/168*160</f>
        <v>571.43</v>
      </c>
      <c r="L20" s="60">
        <f>400/168*160</f>
        <v>380.95</v>
      </c>
      <c r="M20" s="60"/>
      <c r="N20" s="60">
        <v>100</v>
      </c>
      <c r="O20" s="60"/>
      <c r="P20" s="60">
        <v>80</v>
      </c>
      <c r="Q20" s="60"/>
      <c r="R20" s="60"/>
      <c r="S20" s="60"/>
      <c r="T20" s="60"/>
      <c r="U20" s="60"/>
      <c r="V20" s="70">
        <f t="shared" si="13"/>
        <v>3232.38</v>
      </c>
      <c r="W20" s="71">
        <v>431.52</v>
      </c>
      <c r="X20" s="71">
        <v>19.42</v>
      </c>
      <c r="Y20" s="71">
        <v>210.34</v>
      </c>
      <c r="Z20" s="71">
        <v>32.36</v>
      </c>
      <c r="AA20" s="71">
        <v>7.28</v>
      </c>
      <c r="AB20" s="71">
        <v>25.89</v>
      </c>
      <c r="AC20" s="71">
        <v>107</v>
      </c>
      <c r="AD20" s="79"/>
      <c r="AE20" s="71"/>
      <c r="AF20" s="71"/>
      <c r="AG20" s="60"/>
      <c r="AH20" s="60"/>
      <c r="AI20" s="60">
        <f t="shared" si="14"/>
        <v>0</v>
      </c>
      <c r="AJ20" s="90">
        <v>15596.5</v>
      </c>
      <c r="AK20" s="90">
        <v>1702.74</v>
      </c>
      <c r="AL20" s="88">
        <v>15000</v>
      </c>
      <c r="AM20" s="89"/>
      <c r="AN20" s="89"/>
      <c r="AO20" s="89"/>
      <c r="AP20" s="89"/>
      <c r="AQ20" s="89"/>
      <c r="AR20" s="98">
        <f t="shared" si="15"/>
        <v>18828.88</v>
      </c>
      <c r="AS20" s="98">
        <f t="shared" si="16"/>
        <v>1702.74</v>
      </c>
      <c r="AT20" s="99">
        <f t="shared" si="17"/>
        <v>20000</v>
      </c>
      <c r="AU20" s="99"/>
      <c r="AV20" s="98">
        <f t="shared" si="18"/>
        <v>-2873.86</v>
      </c>
      <c r="AW20" s="104">
        <f>5*MAX(0,AV20*{0.6;2;4;5;6;7;9}%-{0;504;3384;6384;10584;17184;36384})</f>
        <v>0</v>
      </c>
      <c r="AX20" s="112">
        <v>0</v>
      </c>
      <c r="AY20" s="104">
        <v>0</v>
      </c>
      <c r="AZ20" s="113"/>
      <c r="BA20" s="114">
        <f t="shared" si="19"/>
        <v>3232.38</v>
      </c>
      <c r="BB20" s="117"/>
    </row>
    <row r="21" s="14" customFormat="1" ht="25" customHeight="1" spans="1:54">
      <c r="A21" s="40">
        <v>22</v>
      </c>
      <c r="B21" s="41" t="s">
        <v>123</v>
      </c>
      <c r="C21" s="39" t="s">
        <v>84</v>
      </c>
      <c r="D21" s="39" t="s">
        <v>121</v>
      </c>
      <c r="E21" s="39" t="s">
        <v>89</v>
      </c>
      <c r="F21" s="39" t="s">
        <v>90</v>
      </c>
      <c r="G21" s="122" t="s">
        <v>124</v>
      </c>
      <c r="H21" s="33" t="s">
        <v>125</v>
      </c>
      <c r="I21" s="39"/>
      <c r="J21" s="60">
        <f>2100</f>
        <v>2100</v>
      </c>
      <c r="K21" s="60">
        <f>600/168*152.5</f>
        <v>544.64</v>
      </c>
      <c r="L21" s="60">
        <f>400/168*152.5</f>
        <v>363.1</v>
      </c>
      <c r="M21" s="60"/>
      <c r="N21" s="60">
        <v>100</v>
      </c>
      <c r="O21" s="60"/>
      <c r="P21" s="60">
        <v>20</v>
      </c>
      <c r="Q21" s="60"/>
      <c r="R21" s="60"/>
      <c r="S21" s="60"/>
      <c r="T21" s="60"/>
      <c r="U21" s="60"/>
      <c r="V21" s="70">
        <f t="shared" si="13"/>
        <v>3127.74</v>
      </c>
      <c r="W21" s="71"/>
      <c r="X21" s="71"/>
      <c r="Y21" s="71"/>
      <c r="Z21" s="71"/>
      <c r="AA21" s="71"/>
      <c r="AB21" s="71"/>
      <c r="AC21" s="71"/>
      <c r="AD21" s="79"/>
      <c r="AE21" s="71"/>
      <c r="AF21" s="71"/>
      <c r="AG21" s="60"/>
      <c r="AH21" s="60"/>
      <c r="AI21" s="60">
        <f t="shared" si="14"/>
        <v>0</v>
      </c>
      <c r="AJ21" s="88">
        <v>15247.53</v>
      </c>
      <c r="AK21" s="88">
        <v>1702.74</v>
      </c>
      <c r="AL21" s="88">
        <v>15000</v>
      </c>
      <c r="AM21" s="89"/>
      <c r="AN21" s="89"/>
      <c r="AO21" s="89"/>
      <c r="AP21" s="89"/>
      <c r="AQ21" s="89"/>
      <c r="AR21" s="98">
        <f t="shared" si="15"/>
        <v>18375.27</v>
      </c>
      <c r="AS21" s="98">
        <f t="shared" si="16"/>
        <v>1702.74</v>
      </c>
      <c r="AT21" s="99">
        <f t="shared" si="17"/>
        <v>20000</v>
      </c>
      <c r="AU21" s="99"/>
      <c r="AV21" s="98">
        <f t="shared" si="18"/>
        <v>-3327.47</v>
      </c>
      <c r="AW21" s="104">
        <f>5*MAX(0,AV21*{0.6;2;4;5;6;7;9}%-{0;504;3384;6384;10584;17184;36384})</f>
        <v>0</v>
      </c>
      <c r="AX21" s="112"/>
      <c r="AY21" s="104">
        <v>0</v>
      </c>
      <c r="AZ21" s="113"/>
      <c r="BA21" s="114">
        <f t="shared" si="19"/>
        <v>3127.74</v>
      </c>
      <c r="BB21" s="117"/>
    </row>
    <row r="22" s="14" customFormat="1" ht="25" customHeight="1" spans="1:54">
      <c r="A22" s="40"/>
      <c r="B22" s="41"/>
      <c r="C22" s="39"/>
      <c r="D22" s="39"/>
      <c r="E22" s="39"/>
      <c r="F22" s="39"/>
      <c r="G22" s="42"/>
      <c r="H22" s="33"/>
      <c r="I22" s="39"/>
      <c r="J22" s="60"/>
      <c r="K22" s="60"/>
      <c r="L22" s="60"/>
      <c r="M22" s="60"/>
      <c r="N22" s="60"/>
      <c r="O22" s="60"/>
      <c r="P22" s="60"/>
      <c r="Q22" s="60"/>
      <c r="R22" s="58"/>
      <c r="S22" s="60"/>
      <c r="T22" s="60"/>
      <c r="U22" s="60"/>
      <c r="V22" s="70"/>
      <c r="W22" s="71"/>
      <c r="X22" s="71"/>
      <c r="Y22" s="71"/>
      <c r="Z22" s="71"/>
      <c r="AA22" s="71"/>
      <c r="AB22" s="71"/>
      <c r="AC22" s="71"/>
      <c r="AD22" s="79"/>
      <c r="AE22" s="71"/>
      <c r="AF22" s="71"/>
      <c r="AG22" s="60"/>
      <c r="AH22" s="60"/>
      <c r="AI22" s="60"/>
      <c r="AJ22" s="91"/>
      <c r="AK22" s="91"/>
      <c r="AL22" s="88"/>
      <c r="AM22" s="89"/>
      <c r="AN22" s="89"/>
      <c r="AO22" s="89"/>
      <c r="AP22" s="89"/>
      <c r="AQ22" s="89"/>
      <c r="AR22" s="98"/>
      <c r="AS22" s="98"/>
      <c r="AT22" s="99"/>
      <c r="AU22" s="99"/>
      <c r="AV22" s="98"/>
      <c r="AW22" s="104"/>
      <c r="AX22" s="112"/>
      <c r="AY22" s="104"/>
      <c r="AZ22" s="113"/>
      <c r="BA22" s="114"/>
      <c r="BB22" s="117"/>
    </row>
    <row r="23" s="14" customFormat="1" ht="25" customHeight="1" spans="1:54">
      <c r="A23" s="40">
        <v>26</v>
      </c>
      <c r="B23" s="41" t="s">
        <v>126</v>
      </c>
      <c r="C23" s="39" t="s">
        <v>84</v>
      </c>
      <c r="D23" s="39" t="s">
        <v>121</v>
      </c>
      <c r="E23" s="39" t="s">
        <v>89</v>
      </c>
      <c r="F23" s="39" t="s">
        <v>90</v>
      </c>
      <c r="G23" s="42" t="s">
        <v>127</v>
      </c>
      <c r="H23" s="33" t="s">
        <v>128</v>
      </c>
      <c r="I23" s="39"/>
      <c r="J23" s="60">
        <v>2100</v>
      </c>
      <c r="K23" s="60">
        <f>600/168*160.5</f>
        <v>573.21</v>
      </c>
      <c r="L23" s="60">
        <f>500/168*160.5</f>
        <v>477.68</v>
      </c>
      <c r="M23" s="60"/>
      <c r="N23" s="60">
        <v>100</v>
      </c>
      <c r="O23" s="60">
        <v>0</v>
      </c>
      <c r="P23" s="60">
        <v>80</v>
      </c>
      <c r="Q23" s="60"/>
      <c r="R23" s="60"/>
      <c r="S23" s="60"/>
      <c r="T23" s="60"/>
      <c r="U23" s="60"/>
      <c r="V23" s="70">
        <f>SUM(J23:S23)-T23+U23</f>
        <v>3330.89</v>
      </c>
      <c r="W23" s="71">
        <v>431.52</v>
      </c>
      <c r="X23" s="71">
        <v>19.42</v>
      </c>
      <c r="Y23" s="71">
        <v>210.34</v>
      </c>
      <c r="Z23" s="71">
        <v>32.36</v>
      </c>
      <c r="AA23" s="71">
        <v>7.28</v>
      </c>
      <c r="AB23" s="71">
        <v>25.89</v>
      </c>
      <c r="AC23" s="71">
        <v>107</v>
      </c>
      <c r="AD23" s="79"/>
      <c r="AE23" s="71"/>
      <c r="AF23" s="71"/>
      <c r="AG23" s="60"/>
      <c r="AH23" s="60"/>
      <c r="AI23" s="60">
        <f>SUM(AD23:AH23)</f>
        <v>0</v>
      </c>
      <c r="AJ23" s="88">
        <v>15048.93</v>
      </c>
      <c r="AK23" s="88">
        <v>1702.74</v>
      </c>
      <c r="AL23" s="88">
        <v>15000</v>
      </c>
      <c r="AM23" s="89"/>
      <c r="AN23" s="89"/>
      <c r="AO23" s="89"/>
      <c r="AP23" s="89"/>
      <c r="AQ23" s="89"/>
      <c r="AR23" s="98">
        <f>V23+AJ23</f>
        <v>18379.82</v>
      </c>
      <c r="AS23" s="98">
        <f>AI23+AK23</f>
        <v>1702.74</v>
      </c>
      <c r="AT23" s="99">
        <f>AL23+5000</f>
        <v>20000</v>
      </c>
      <c r="AU23" s="99"/>
      <c r="AV23" s="98">
        <f>AR23-AS23-AT23-AU23</f>
        <v>-3322.92</v>
      </c>
      <c r="AW23" s="104">
        <f>5*MAX(0,AV23*{0.6;2;4;5;6;7;9}%-{0;504;3384;6384;10584;17184;36384})</f>
        <v>0</v>
      </c>
      <c r="AX23" s="112"/>
      <c r="AY23" s="104">
        <v>0</v>
      </c>
      <c r="AZ23" s="113"/>
      <c r="BA23" s="114">
        <f>V23-AI23-AY23</f>
        <v>3330.89</v>
      </c>
      <c r="BB23" s="115"/>
    </row>
    <row r="24" s="14" customFormat="1" ht="25" customHeight="1" spans="1:54">
      <c r="A24" s="40">
        <v>27</v>
      </c>
      <c r="B24" s="43" t="s">
        <v>129</v>
      </c>
      <c r="C24" s="39" t="s">
        <v>84</v>
      </c>
      <c r="D24" s="39" t="s">
        <v>130</v>
      </c>
      <c r="E24" s="39" t="s">
        <v>57</v>
      </c>
      <c r="F24" s="39" t="s">
        <v>58</v>
      </c>
      <c r="G24" s="42" t="s">
        <v>131</v>
      </c>
      <c r="H24" s="42" t="s">
        <v>132</v>
      </c>
      <c r="I24" s="39"/>
      <c r="J24" s="60">
        <v>2100</v>
      </c>
      <c r="K24" s="60">
        <f>1800/168*152</f>
        <v>1628.57</v>
      </c>
      <c r="L24" s="60">
        <f>870/168*152</f>
        <v>787.14</v>
      </c>
      <c r="M24" s="60"/>
      <c r="N24" s="60">
        <v>100</v>
      </c>
      <c r="O24" s="60"/>
      <c r="P24" s="60">
        <v>80</v>
      </c>
      <c r="Q24" s="60"/>
      <c r="R24" s="58"/>
      <c r="S24" s="60"/>
      <c r="T24" s="60"/>
      <c r="U24" s="60"/>
      <c r="V24" s="70">
        <f>SUM(J24:S24)-T24+U24</f>
        <v>4695.71</v>
      </c>
      <c r="W24" s="71"/>
      <c r="X24" s="71"/>
      <c r="Y24" s="71"/>
      <c r="Z24" s="71"/>
      <c r="AA24" s="71"/>
      <c r="AB24" s="71"/>
      <c r="AC24" s="71"/>
      <c r="AD24" s="79"/>
      <c r="AE24" s="71"/>
      <c r="AF24" s="71"/>
      <c r="AG24" s="60"/>
      <c r="AH24" s="60"/>
      <c r="AI24" s="60">
        <f>SUM(AD24:AH24)</f>
        <v>0</v>
      </c>
      <c r="AJ24" s="88">
        <v>15510</v>
      </c>
      <c r="AK24" s="88">
        <v>1746.24</v>
      </c>
      <c r="AL24" s="88">
        <v>15000</v>
      </c>
      <c r="AM24" s="89"/>
      <c r="AN24" s="89"/>
      <c r="AO24" s="89"/>
      <c r="AP24" s="89"/>
      <c r="AQ24" s="89"/>
      <c r="AR24" s="98">
        <f>V24+AJ24</f>
        <v>20205.71</v>
      </c>
      <c r="AS24" s="98">
        <f>AI24+AK24</f>
        <v>1746.24</v>
      </c>
      <c r="AT24" s="99">
        <f>AL24+5000</f>
        <v>20000</v>
      </c>
      <c r="AU24" s="99"/>
      <c r="AV24" s="98">
        <f>AR24-AS24-AT24-AU24</f>
        <v>-1540.53</v>
      </c>
      <c r="AW24" s="104">
        <f>5*MAX(0,AV24*{0.6;2;4;5;6;7;9}%-{0;504;3384;6384;10584;17184;36384})</f>
        <v>0</v>
      </c>
      <c r="AX24" s="112">
        <v>0</v>
      </c>
      <c r="AY24" s="104">
        <f>IF(+AW24-AX24&gt;0,AW24-AX24,0)</f>
        <v>0</v>
      </c>
      <c r="AZ24" s="113"/>
      <c r="BA24" s="114">
        <f>V24-AI24-AY24</f>
        <v>4695.71</v>
      </c>
      <c r="BB24" s="117"/>
    </row>
    <row r="25" s="14" customFormat="1" ht="25" customHeight="1" spans="1:54">
      <c r="A25" s="40">
        <v>28</v>
      </c>
      <c r="B25" s="41" t="s">
        <v>133</v>
      </c>
      <c r="C25" s="39" t="s">
        <v>84</v>
      </c>
      <c r="D25" s="39" t="s">
        <v>134</v>
      </c>
      <c r="E25" s="39" t="s">
        <v>89</v>
      </c>
      <c r="F25" s="39" t="s">
        <v>63</v>
      </c>
      <c r="G25" s="42" t="s">
        <v>135</v>
      </c>
      <c r="H25" s="33" t="s">
        <v>136</v>
      </c>
      <c r="I25" s="39"/>
      <c r="J25" s="60">
        <v>2100</v>
      </c>
      <c r="K25" s="60">
        <f>800</f>
        <v>800</v>
      </c>
      <c r="L25" s="60">
        <f>500</f>
        <v>500</v>
      </c>
      <c r="M25" s="60">
        <v>200</v>
      </c>
      <c r="N25" s="60">
        <f>100</f>
        <v>100</v>
      </c>
      <c r="O25" s="60">
        <f>300</f>
        <v>300</v>
      </c>
      <c r="P25" s="60">
        <v>80</v>
      </c>
      <c r="Q25" s="60"/>
      <c r="R25" s="60">
        <f>2100/21.75/8*0*1.5+2100/21.75/8*7.5*2</f>
        <v>181.03</v>
      </c>
      <c r="S25" s="60"/>
      <c r="T25" s="60"/>
      <c r="U25" s="60"/>
      <c r="V25" s="70">
        <f>SUM(J25:S25)-T25+U25</f>
        <v>4261.03</v>
      </c>
      <c r="W25" s="71">
        <v>431.52</v>
      </c>
      <c r="X25" s="71">
        <v>19.42</v>
      </c>
      <c r="Y25" s="71">
        <v>210.34</v>
      </c>
      <c r="Z25" s="71">
        <v>32.36</v>
      </c>
      <c r="AA25" s="71">
        <v>7.28</v>
      </c>
      <c r="AB25" s="71">
        <v>25.89</v>
      </c>
      <c r="AC25" s="71">
        <v>107</v>
      </c>
      <c r="AD25" s="79"/>
      <c r="AE25" s="71"/>
      <c r="AF25" s="71"/>
      <c r="AG25" s="60"/>
      <c r="AH25" s="60"/>
      <c r="AI25" s="60">
        <f>SUM(AD25:AH25)</f>
        <v>0</v>
      </c>
      <c r="AJ25" s="88">
        <v>18466.23</v>
      </c>
      <c r="AK25" s="88">
        <v>1702.74</v>
      </c>
      <c r="AL25" s="88">
        <v>15000</v>
      </c>
      <c r="AM25" s="89"/>
      <c r="AN25" s="89"/>
      <c r="AO25" s="89"/>
      <c r="AP25" s="89"/>
      <c r="AQ25" s="89"/>
      <c r="AR25" s="98">
        <f>V25+AJ25</f>
        <v>22727.26</v>
      </c>
      <c r="AS25" s="98">
        <f>AI25+AK25</f>
        <v>1702.74</v>
      </c>
      <c r="AT25" s="99">
        <f>AL25+5000</f>
        <v>20000</v>
      </c>
      <c r="AU25" s="99"/>
      <c r="AV25" s="98">
        <f>AR25-AS25-AT25-AU25</f>
        <v>1024.52</v>
      </c>
      <c r="AW25" s="104">
        <f>5*MAX(0,AV25*{0.6;2;4;5;6;7;9}%-{0;504;3384;6384;10584;17184;36384})</f>
        <v>30.74</v>
      </c>
      <c r="AX25" s="112">
        <v>79.96</v>
      </c>
      <c r="AY25" s="104">
        <f>IF(+AW25-AX25&gt;0,AW25-AX25,0)</f>
        <v>0</v>
      </c>
      <c r="AZ25" s="113"/>
      <c r="BA25" s="114">
        <f>V25-AI25-AY25</f>
        <v>4261.03</v>
      </c>
      <c r="BB25" s="117"/>
    </row>
    <row r="26" s="14" customFormat="1" ht="25" customHeight="1" spans="1:54">
      <c r="A26" s="40">
        <v>29</v>
      </c>
      <c r="B26" s="41" t="s">
        <v>137</v>
      </c>
      <c r="C26" s="39" t="s">
        <v>84</v>
      </c>
      <c r="D26" s="39" t="s">
        <v>138</v>
      </c>
      <c r="E26" s="39" t="s">
        <v>57</v>
      </c>
      <c r="F26" s="39" t="s">
        <v>58</v>
      </c>
      <c r="G26" s="42" t="s">
        <v>139</v>
      </c>
      <c r="H26" s="33" t="s">
        <v>140</v>
      </c>
      <c r="I26" s="39"/>
      <c r="J26" s="60">
        <f>2100</f>
        <v>2100</v>
      </c>
      <c r="K26" s="60">
        <f>1800/168*152</f>
        <v>1628.57</v>
      </c>
      <c r="L26" s="60">
        <f>1100/168*152</f>
        <v>995.24</v>
      </c>
      <c r="M26" s="60"/>
      <c r="N26" s="60">
        <v>100</v>
      </c>
      <c r="O26" s="60"/>
      <c r="P26" s="60"/>
      <c r="Q26" s="60"/>
      <c r="R26" s="58"/>
      <c r="S26" s="60"/>
      <c r="T26" s="60"/>
      <c r="U26" s="60"/>
      <c r="V26" s="70">
        <f>SUM(J26:S26)-T26+U26</f>
        <v>4823.81</v>
      </c>
      <c r="W26" s="71"/>
      <c r="X26" s="71"/>
      <c r="Y26" s="71"/>
      <c r="Z26" s="71"/>
      <c r="AA26" s="71"/>
      <c r="AB26" s="71"/>
      <c r="AC26" s="71"/>
      <c r="AD26" s="79"/>
      <c r="AE26" s="71"/>
      <c r="AF26" s="71"/>
      <c r="AG26" s="60"/>
      <c r="AH26" s="60"/>
      <c r="AI26" s="60">
        <f>SUM(AD26:AH26)</f>
        <v>0</v>
      </c>
      <c r="AJ26" s="91">
        <v>16000</v>
      </c>
      <c r="AK26" s="91">
        <v>1738.74</v>
      </c>
      <c r="AL26" s="88">
        <v>15000</v>
      </c>
      <c r="AM26" s="89"/>
      <c r="AN26" s="89"/>
      <c r="AO26" s="89"/>
      <c r="AP26" s="89"/>
      <c r="AQ26" s="89"/>
      <c r="AR26" s="98">
        <f>V26+AJ26</f>
        <v>20823.81</v>
      </c>
      <c r="AS26" s="98">
        <f>AI26+AK26</f>
        <v>1738.74</v>
      </c>
      <c r="AT26" s="99">
        <f>AL26+5000</f>
        <v>20000</v>
      </c>
      <c r="AU26" s="99"/>
      <c r="AV26" s="98">
        <f>AR26-AS26-AT26-AU26</f>
        <v>-914.93</v>
      </c>
      <c r="AW26" s="104">
        <f>5*MAX(0,AV26*{0.6;2;4;5;6;7;9}%-{0;504;3384;6384;10584;17184;36384})</f>
        <v>0</v>
      </c>
      <c r="AX26" s="112"/>
      <c r="AY26" s="104">
        <f>IF(+AW26-AX26&gt;0,AW26-AX26,0)</f>
        <v>0</v>
      </c>
      <c r="AZ26" s="113"/>
      <c r="BA26" s="114">
        <f>V26-AI26-AY26</f>
        <v>4823.81</v>
      </c>
      <c r="BB26" s="117"/>
    </row>
    <row r="27" s="13" customFormat="1" ht="22" customHeight="1" spans="1:54">
      <c r="A27" s="34"/>
      <c r="B27" s="35" t="s">
        <v>141</v>
      </c>
      <c r="C27" s="32"/>
      <c r="D27" s="37"/>
      <c r="E27" s="39"/>
      <c r="F27" s="39"/>
      <c r="G27" s="33"/>
      <c r="H27" s="33"/>
      <c r="I27" s="37"/>
      <c r="J27" s="59">
        <f t="shared" ref="J27:U27" si="20">SUM(J12:J25)</f>
        <v>25747</v>
      </c>
      <c r="K27" s="59">
        <f t="shared" si="20"/>
        <v>11352.37</v>
      </c>
      <c r="L27" s="59">
        <f t="shared" si="20"/>
        <v>8519.35</v>
      </c>
      <c r="M27" s="59">
        <f t="shared" si="20"/>
        <v>600</v>
      </c>
      <c r="N27" s="59">
        <f t="shared" si="20"/>
        <v>800</v>
      </c>
      <c r="O27" s="59">
        <f t="shared" si="20"/>
        <v>1400</v>
      </c>
      <c r="P27" s="59">
        <f t="shared" si="20"/>
        <v>580</v>
      </c>
      <c r="Q27" s="59">
        <f t="shared" si="20"/>
        <v>0</v>
      </c>
      <c r="R27" s="59">
        <f t="shared" si="20"/>
        <v>229.31</v>
      </c>
      <c r="S27" s="59">
        <f t="shared" si="20"/>
        <v>0</v>
      </c>
      <c r="T27" s="59">
        <f t="shared" si="20"/>
        <v>0</v>
      </c>
      <c r="U27" s="59">
        <f t="shared" si="20"/>
        <v>0</v>
      </c>
      <c r="V27" s="59">
        <f>SUM(V12:V26)</f>
        <v>54051.84</v>
      </c>
      <c r="W27" s="59">
        <f t="shared" ref="W27:BA27" si="21">SUM(W12:W26)</f>
        <v>4334.62</v>
      </c>
      <c r="X27" s="59">
        <f t="shared" si="21"/>
        <v>404.54</v>
      </c>
      <c r="Y27" s="59">
        <f t="shared" si="21"/>
        <v>2135.76</v>
      </c>
      <c r="Z27" s="59">
        <f t="shared" si="21"/>
        <v>330.88</v>
      </c>
      <c r="AA27" s="59">
        <f t="shared" si="21"/>
        <v>98.69</v>
      </c>
      <c r="AB27" s="59">
        <f t="shared" si="21"/>
        <v>365.9</v>
      </c>
      <c r="AC27" s="59">
        <f t="shared" si="21"/>
        <v>1297.76</v>
      </c>
      <c r="AD27" s="59">
        <f t="shared" si="21"/>
        <v>0</v>
      </c>
      <c r="AE27" s="59">
        <f t="shared" si="21"/>
        <v>0</v>
      </c>
      <c r="AF27" s="59">
        <f t="shared" si="21"/>
        <v>0</v>
      </c>
      <c r="AG27" s="59">
        <f t="shared" si="21"/>
        <v>0</v>
      </c>
      <c r="AH27" s="59">
        <f t="shared" si="21"/>
        <v>0</v>
      </c>
      <c r="AI27" s="59">
        <f t="shared" si="21"/>
        <v>0</v>
      </c>
      <c r="AJ27" s="59">
        <f t="shared" si="21"/>
        <v>238790.32</v>
      </c>
      <c r="AK27" s="59">
        <f t="shared" si="21"/>
        <v>24152.46</v>
      </c>
      <c r="AL27" s="59">
        <f t="shared" si="21"/>
        <v>210000</v>
      </c>
      <c r="AM27" s="59">
        <f t="shared" si="21"/>
        <v>0</v>
      </c>
      <c r="AN27" s="59">
        <f t="shared" si="21"/>
        <v>4500</v>
      </c>
      <c r="AO27" s="59">
        <f t="shared" si="21"/>
        <v>0</v>
      </c>
      <c r="AP27" s="59">
        <f t="shared" si="21"/>
        <v>0</v>
      </c>
      <c r="AQ27" s="59">
        <f t="shared" si="21"/>
        <v>0</v>
      </c>
      <c r="AR27" s="59">
        <f t="shared" si="21"/>
        <v>292842.16</v>
      </c>
      <c r="AS27" s="59">
        <f t="shared" si="21"/>
        <v>24152.46</v>
      </c>
      <c r="AT27" s="59">
        <f t="shared" si="21"/>
        <v>280000</v>
      </c>
      <c r="AU27" s="59">
        <f t="shared" si="21"/>
        <v>6000</v>
      </c>
      <c r="AV27" s="59">
        <f t="shared" si="21"/>
        <v>-17310.3</v>
      </c>
      <c r="AW27" s="59">
        <f t="shared" si="21"/>
        <v>695.25</v>
      </c>
      <c r="AX27" s="59">
        <f t="shared" si="21"/>
        <v>591.22</v>
      </c>
      <c r="AY27" s="59">
        <f t="shared" si="21"/>
        <v>153.25</v>
      </c>
      <c r="AZ27" s="59">
        <f t="shared" si="21"/>
        <v>0</v>
      </c>
      <c r="BA27" s="59">
        <f t="shared" si="21"/>
        <v>53898.59</v>
      </c>
      <c r="BB27" s="119"/>
    </row>
    <row r="28" s="14" customFormat="1" ht="25" customHeight="1" spans="1:54">
      <c r="A28" s="40">
        <v>30</v>
      </c>
      <c r="B28" s="41" t="s">
        <v>142</v>
      </c>
      <c r="C28" s="39" t="s">
        <v>78</v>
      </c>
      <c r="D28" s="39" t="s">
        <v>56</v>
      </c>
      <c r="E28" s="39" t="s">
        <v>57</v>
      </c>
      <c r="F28" s="39" t="s">
        <v>58</v>
      </c>
      <c r="G28" s="42" t="s">
        <v>143</v>
      </c>
      <c r="H28" s="33" t="s">
        <v>144</v>
      </c>
      <c r="I28" s="39"/>
      <c r="J28" s="60">
        <v>2100</v>
      </c>
      <c r="K28" s="60">
        <v>3500</v>
      </c>
      <c r="L28" s="60">
        <f>3170*1</f>
        <v>3170</v>
      </c>
      <c r="M28" s="60">
        <v>200</v>
      </c>
      <c r="N28" s="60">
        <v>100</v>
      </c>
      <c r="O28" s="60">
        <v>800</v>
      </c>
      <c r="P28" s="60">
        <v>80</v>
      </c>
      <c r="Q28" s="60"/>
      <c r="R28" s="58"/>
      <c r="S28" s="58"/>
      <c r="T28" s="60"/>
      <c r="U28" s="60"/>
      <c r="V28" s="70">
        <f>SUM(J28:S28)-T28+U28</f>
        <v>9950</v>
      </c>
      <c r="W28" s="71">
        <v>462.08</v>
      </c>
      <c r="X28" s="71">
        <v>19.42</v>
      </c>
      <c r="Y28" s="71">
        <v>210.34</v>
      </c>
      <c r="Z28" s="71">
        <v>32.36</v>
      </c>
      <c r="AA28" s="71">
        <v>7.28</v>
      </c>
      <c r="AB28" s="71">
        <v>25.89</v>
      </c>
      <c r="AC28" s="71">
        <v>137</v>
      </c>
      <c r="AD28" s="32"/>
      <c r="AE28" s="32"/>
      <c r="AF28" s="32"/>
      <c r="AG28" s="60"/>
      <c r="AH28" s="58"/>
      <c r="AI28" s="60">
        <f>SUM(AD28:AH28)</f>
        <v>0</v>
      </c>
      <c r="AJ28" s="88">
        <v>29910.44</v>
      </c>
      <c r="AK28" s="88">
        <v>1893.84</v>
      </c>
      <c r="AL28" s="88">
        <v>15000</v>
      </c>
      <c r="AM28" s="88"/>
      <c r="AN28" s="88">
        <v>9000</v>
      </c>
      <c r="AO28" s="100">
        <v>0</v>
      </c>
      <c r="AP28" s="100">
        <v>0</v>
      </c>
      <c r="AQ28" s="100">
        <v>0</v>
      </c>
      <c r="AR28" s="98">
        <f>V28+AJ28</f>
        <v>39860.44</v>
      </c>
      <c r="AS28" s="98">
        <f>AI28+AK28</f>
        <v>1893.84</v>
      </c>
      <c r="AT28" s="99">
        <f>AL28+5000</f>
        <v>20000</v>
      </c>
      <c r="AU28" s="99">
        <f>AM28+AN28+3000</f>
        <v>12000</v>
      </c>
      <c r="AV28" s="98">
        <f>AR28-AS28-AT28-AU28</f>
        <v>5966.6</v>
      </c>
      <c r="AW28" s="104">
        <f>5*MAX(0,AV28*{0.6;2;4;5;6;7;9}%-{0;504;3384;6384;10584;17184;36384})</f>
        <v>179</v>
      </c>
      <c r="AX28" s="112">
        <v>120.5</v>
      </c>
      <c r="AY28" s="104">
        <f>IF(+AW28-AX28&gt;0,AW28-AX28,0)</f>
        <v>58.5</v>
      </c>
      <c r="AZ28" s="113"/>
      <c r="BA28" s="114">
        <f>V28-AI28-AY28</f>
        <v>9891.5</v>
      </c>
      <c r="BB28" s="115"/>
    </row>
    <row r="29" s="13" customFormat="1" ht="25" customHeight="1" spans="1:54">
      <c r="A29" s="40">
        <v>31</v>
      </c>
      <c r="B29" s="41" t="s">
        <v>145</v>
      </c>
      <c r="C29" s="31" t="s">
        <v>78</v>
      </c>
      <c r="D29" s="32" t="s">
        <v>146</v>
      </c>
      <c r="E29" s="32" t="s">
        <v>89</v>
      </c>
      <c r="F29" s="32" t="s">
        <v>90</v>
      </c>
      <c r="G29" s="33" t="s">
        <v>147</v>
      </c>
      <c r="H29" s="33" t="s">
        <v>148</v>
      </c>
      <c r="I29" s="32"/>
      <c r="J29" s="58">
        <v>2000</v>
      </c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70">
        <v>2000</v>
      </c>
      <c r="W29" s="68"/>
      <c r="X29" s="68"/>
      <c r="Y29" s="68"/>
      <c r="Z29" s="68"/>
      <c r="AA29" s="68"/>
      <c r="AB29" s="68"/>
      <c r="AC29" s="68"/>
      <c r="AD29" s="78"/>
      <c r="AE29" s="68"/>
      <c r="AF29" s="68"/>
      <c r="AG29" s="58" t="s">
        <v>149</v>
      </c>
      <c r="AH29" s="58"/>
      <c r="AI29" s="58">
        <f>SUM(AD29:AH29)</f>
        <v>0</v>
      </c>
      <c r="AJ29" s="88">
        <v>6000</v>
      </c>
      <c r="AK29" s="88">
        <v>0</v>
      </c>
      <c r="AL29" s="88">
        <v>15000</v>
      </c>
      <c r="AM29" s="85"/>
      <c r="AN29" s="85"/>
      <c r="AO29" s="85"/>
      <c r="AP29" s="85"/>
      <c r="AQ29" s="85"/>
      <c r="AR29" s="83">
        <f>V29+AJ29</f>
        <v>8000</v>
      </c>
      <c r="AS29" s="83">
        <f>AI29+AK29</f>
        <v>0</v>
      </c>
      <c r="AT29" s="84">
        <f>AL29+5000</f>
        <v>20000</v>
      </c>
      <c r="AU29" s="84"/>
      <c r="AV29" s="83">
        <f>AR29-AS29-AT29-AU29</f>
        <v>-12000</v>
      </c>
      <c r="AW29" s="104">
        <f>5*MAX(0,AV29*{0.6;2;4;5;6;7;9}%-{0;504;3384;6384;10584;17184;36384})</f>
        <v>0</v>
      </c>
      <c r="AX29" s="109">
        <v>0</v>
      </c>
      <c r="AY29" s="104">
        <f>IF(+AW29-AX29&gt;0,AW29-AX29,0)</f>
        <v>0</v>
      </c>
      <c r="AZ29" s="56"/>
      <c r="BA29" s="105">
        <f>V29-AI29-AY29</f>
        <v>2000</v>
      </c>
      <c r="BB29" s="118"/>
    </row>
    <row r="30" s="13" customFormat="1" ht="25" customHeight="1" spans="1:54">
      <c r="A30" s="40">
        <v>33</v>
      </c>
      <c r="B30" s="41" t="s">
        <v>150</v>
      </c>
      <c r="C30" s="31" t="s">
        <v>78</v>
      </c>
      <c r="D30" s="32" t="s">
        <v>146</v>
      </c>
      <c r="E30" s="32" t="s">
        <v>89</v>
      </c>
      <c r="F30" s="32" t="s">
        <v>90</v>
      </c>
      <c r="G30" s="33" t="s">
        <v>151</v>
      </c>
      <c r="H30" s="33" t="s">
        <v>152</v>
      </c>
      <c r="I30" s="32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70">
        <v>2000</v>
      </c>
      <c r="W30" s="68"/>
      <c r="X30" s="68"/>
      <c r="Y30" s="68"/>
      <c r="Z30" s="68"/>
      <c r="AA30" s="68"/>
      <c r="AB30" s="68"/>
      <c r="AC30" s="68"/>
      <c r="AD30" s="68" t="s">
        <v>149</v>
      </c>
      <c r="AE30" s="68"/>
      <c r="AF30" s="68" t="s">
        <v>149</v>
      </c>
      <c r="AG30" s="58" t="s">
        <v>149</v>
      </c>
      <c r="AH30" s="58"/>
      <c r="AI30" s="58">
        <f>SUM(AD30:AH30)</f>
        <v>0</v>
      </c>
      <c r="AJ30" s="88">
        <v>6000</v>
      </c>
      <c r="AK30" s="88">
        <v>0</v>
      </c>
      <c r="AL30" s="88">
        <v>15000</v>
      </c>
      <c r="AM30" s="85"/>
      <c r="AN30" s="85"/>
      <c r="AO30" s="85"/>
      <c r="AP30" s="85"/>
      <c r="AQ30" s="85"/>
      <c r="AR30" s="83">
        <f t="shared" ref="AR30:AR35" si="22">V30+AJ30</f>
        <v>8000</v>
      </c>
      <c r="AS30" s="83">
        <f t="shared" ref="AS30:AS37" si="23">AI30+AK30</f>
        <v>0</v>
      </c>
      <c r="AT30" s="84">
        <f t="shared" ref="AT30:AT35" si="24">AL30+5000</f>
        <v>20000</v>
      </c>
      <c r="AU30" s="84"/>
      <c r="AV30" s="83">
        <f t="shared" ref="AV30:AV35" si="25">AR30-AS30-AT30-AU30</f>
        <v>-12000</v>
      </c>
      <c r="AW30" s="104">
        <f>5*MAX(0,AV30*{0.6;2;4;5;6;7;9}%-{0;504;3384;6384;10584;17184;36384})</f>
        <v>0</v>
      </c>
      <c r="AX30" s="109">
        <v>0</v>
      </c>
      <c r="AY30" s="104">
        <f>IF(+AW30-AX30&gt;0,AW30-AX30,0)</f>
        <v>0</v>
      </c>
      <c r="AZ30" s="56"/>
      <c r="BA30" s="105">
        <f>V30-AI30-AY30</f>
        <v>2000</v>
      </c>
      <c r="BB30" s="118"/>
    </row>
    <row r="31" s="13" customFormat="1" ht="25" customHeight="1" spans="1:54">
      <c r="A31" s="40">
        <v>34</v>
      </c>
      <c r="B31" s="41" t="s">
        <v>153</v>
      </c>
      <c r="C31" s="31" t="s">
        <v>78</v>
      </c>
      <c r="D31" s="32" t="s">
        <v>146</v>
      </c>
      <c r="E31" s="32" t="s">
        <v>89</v>
      </c>
      <c r="F31" s="32" t="s">
        <v>90</v>
      </c>
      <c r="G31" s="33" t="s">
        <v>154</v>
      </c>
      <c r="H31" s="33" t="s">
        <v>155</v>
      </c>
      <c r="I31" s="32"/>
      <c r="J31" s="58">
        <v>2000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70">
        <v>2000</v>
      </c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58" t="s">
        <v>149</v>
      </c>
      <c r="AH31" s="58"/>
      <c r="AI31" s="58">
        <f>SUM(AD31:AH31)</f>
        <v>0</v>
      </c>
      <c r="AJ31" s="88">
        <v>6000</v>
      </c>
      <c r="AK31" s="88">
        <v>0</v>
      </c>
      <c r="AL31" s="88">
        <v>15000</v>
      </c>
      <c r="AM31" s="85"/>
      <c r="AN31" s="85"/>
      <c r="AO31" s="85"/>
      <c r="AP31" s="85"/>
      <c r="AQ31" s="85"/>
      <c r="AR31" s="83">
        <f t="shared" si="22"/>
        <v>8000</v>
      </c>
      <c r="AS31" s="83">
        <f t="shared" si="23"/>
        <v>0</v>
      </c>
      <c r="AT31" s="84">
        <f t="shared" si="24"/>
        <v>20000</v>
      </c>
      <c r="AU31" s="84"/>
      <c r="AV31" s="83">
        <f t="shared" si="25"/>
        <v>-12000</v>
      </c>
      <c r="AW31" s="104">
        <f>5*MAX(0,AV31*{0.6;2;4;5;6;7;9}%-{0;504;3384;6384;10584;17184;36384})</f>
        <v>0</v>
      </c>
      <c r="AX31" s="109">
        <v>0</v>
      </c>
      <c r="AY31" s="104">
        <f>IF(+AW31-AX31&gt;0,AW31-AX31,0)</f>
        <v>0</v>
      </c>
      <c r="AZ31" s="56"/>
      <c r="BA31" s="105">
        <f>V31-AI31-AY31</f>
        <v>2000</v>
      </c>
      <c r="BB31" s="118"/>
    </row>
    <row r="32" s="15" customFormat="1" ht="23" customHeight="1" spans="1:54">
      <c r="A32" s="34"/>
      <c r="B32" s="35" t="s">
        <v>156</v>
      </c>
      <c r="C32" s="36"/>
      <c r="D32" s="37"/>
      <c r="E32" s="37"/>
      <c r="F32" s="37"/>
      <c r="G32" s="33"/>
      <c r="H32" s="38"/>
      <c r="I32" s="37"/>
      <c r="J32" s="59">
        <f>SUM(J28:J31)</f>
        <v>6100</v>
      </c>
      <c r="K32" s="59">
        <f t="shared" ref="K32:V32" si="26">SUM(K28:K31)</f>
        <v>3500</v>
      </c>
      <c r="L32" s="59">
        <f t="shared" si="26"/>
        <v>3170</v>
      </c>
      <c r="M32" s="59">
        <f t="shared" si="26"/>
        <v>200</v>
      </c>
      <c r="N32" s="59">
        <f t="shared" si="26"/>
        <v>100</v>
      </c>
      <c r="O32" s="59">
        <f t="shared" si="26"/>
        <v>800</v>
      </c>
      <c r="P32" s="59">
        <f t="shared" si="26"/>
        <v>80</v>
      </c>
      <c r="Q32" s="59">
        <f t="shared" si="26"/>
        <v>0</v>
      </c>
      <c r="R32" s="59">
        <f t="shared" si="26"/>
        <v>0</v>
      </c>
      <c r="S32" s="59">
        <f t="shared" si="26"/>
        <v>0</v>
      </c>
      <c r="T32" s="59">
        <f t="shared" si="26"/>
        <v>0</v>
      </c>
      <c r="U32" s="59">
        <f t="shared" si="26"/>
        <v>0</v>
      </c>
      <c r="V32" s="59">
        <f t="shared" si="26"/>
        <v>15950</v>
      </c>
      <c r="W32" s="59">
        <f t="shared" ref="W32:BA32" si="27">SUM(W28:W31)</f>
        <v>462.08</v>
      </c>
      <c r="X32" s="59">
        <f t="shared" si="27"/>
        <v>19.42</v>
      </c>
      <c r="Y32" s="59">
        <f t="shared" si="27"/>
        <v>210.34</v>
      </c>
      <c r="Z32" s="59">
        <f t="shared" si="27"/>
        <v>32.36</v>
      </c>
      <c r="AA32" s="59">
        <f t="shared" si="27"/>
        <v>7.28</v>
      </c>
      <c r="AB32" s="59">
        <f t="shared" si="27"/>
        <v>25.89</v>
      </c>
      <c r="AC32" s="59">
        <f t="shared" si="27"/>
        <v>137</v>
      </c>
      <c r="AD32" s="59">
        <f t="shared" si="27"/>
        <v>0</v>
      </c>
      <c r="AE32" s="59">
        <f t="shared" si="27"/>
        <v>0</v>
      </c>
      <c r="AF32" s="59">
        <f t="shared" si="27"/>
        <v>0</v>
      </c>
      <c r="AG32" s="59">
        <f t="shared" si="27"/>
        <v>0</v>
      </c>
      <c r="AH32" s="59">
        <f t="shared" si="27"/>
        <v>0</v>
      </c>
      <c r="AI32" s="59">
        <f t="shared" si="27"/>
        <v>0</v>
      </c>
      <c r="AJ32" s="59">
        <f t="shared" si="27"/>
        <v>47910.44</v>
      </c>
      <c r="AK32" s="59">
        <f t="shared" si="27"/>
        <v>1893.84</v>
      </c>
      <c r="AL32" s="59">
        <f t="shared" si="27"/>
        <v>60000</v>
      </c>
      <c r="AM32" s="59">
        <f t="shared" si="27"/>
        <v>0</v>
      </c>
      <c r="AN32" s="59">
        <f t="shared" si="27"/>
        <v>9000</v>
      </c>
      <c r="AO32" s="59">
        <f t="shared" si="27"/>
        <v>0</v>
      </c>
      <c r="AP32" s="59">
        <f t="shared" si="27"/>
        <v>0</v>
      </c>
      <c r="AQ32" s="59">
        <f t="shared" si="27"/>
        <v>0</v>
      </c>
      <c r="AR32" s="59">
        <f t="shared" si="27"/>
        <v>63860.44</v>
      </c>
      <c r="AS32" s="59">
        <f t="shared" si="27"/>
        <v>1893.84</v>
      </c>
      <c r="AT32" s="59">
        <f t="shared" si="27"/>
        <v>80000</v>
      </c>
      <c r="AU32" s="59">
        <f t="shared" si="27"/>
        <v>12000</v>
      </c>
      <c r="AV32" s="59">
        <f t="shared" si="27"/>
        <v>-30033.4</v>
      </c>
      <c r="AW32" s="59">
        <f t="shared" si="27"/>
        <v>179</v>
      </c>
      <c r="AX32" s="59">
        <f t="shared" si="27"/>
        <v>120.5</v>
      </c>
      <c r="AY32" s="59">
        <f t="shared" si="27"/>
        <v>58.5</v>
      </c>
      <c r="AZ32" s="59">
        <f t="shared" si="27"/>
        <v>0</v>
      </c>
      <c r="BA32" s="59">
        <f t="shared" si="27"/>
        <v>15891.5</v>
      </c>
      <c r="BB32" s="119"/>
    </row>
    <row r="33" s="15" customFormat="1" ht="30" customHeight="1" spans="1:54">
      <c r="A33" s="44" t="s">
        <v>157</v>
      </c>
      <c r="B33" s="45"/>
      <c r="C33" s="46"/>
      <c r="D33" s="46"/>
      <c r="E33" s="46"/>
      <c r="F33" s="46"/>
      <c r="G33" s="38"/>
      <c r="H33" s="47"/>
      <c r="I33" s="61" t="e">
        <f>I32+I27+#REF!+#REF!+#REF!+I6+#REF!</f>
        <v>#REF!</v>
      </c>
      <c r="J33" s="61">
        <f t="shared" ref="J33:BA33" si="28">J32+J27+J9+J6+J11</f>
        <v>40247</v>
      </c>
      <c r="K33" s="61">
        <f t="shared" si="28"/>
        <v>25761.89</v>
      </c>
      <c r="L33" s="61">
        <f t="shared" si="28"/>
        <v>19676.97</v>
      </c>
      <c r="M33" s="61">
        <f t="shared" si="28"/>
        <v>1400</v>
      </c>
      <c r="N33" s="61">
        <f t="shared" si="28"/>
        <v>1300</v>
      </c>
      <c r="O33" s="61">
        <f t="shared" si="28"/>
        <v>2200</v>
      </c>
      <c r="P33" s="61">
        <f t="shared" si="28"/>
        <v>960</v>
      </c>
      <c r="Q33" s="61">
        <f t="shared" si="28"/>
        <v>0</v>
      </c>
      <c r="R33" s="61">
        <f t="shared" si="28"/>
        <v>229.31</v>
      </c>
      <c r="S33" s="61">
        <f t="shared" si="28"/>
        <v>0</v>
      </c>
      <c r="T33" s="61">
        <f t="shared" si="28"/>
        <v>0</v>
      </c>
      <c r="U33" s="61">
        <f t="shared" si="28"/>
        <v>-150</v>
      </c>
      <c r="V33" s="61">
        <f t="shared" si="28"/>
        <v>99548.98</v>
      </c>
      <c r="W33" s="61">
        <f t="shared" si="28"/>
        <v>5258.78</v>
      </c>
      <c r="X33" s="61">
        <f t="shared" si="28"/>
        <v>443.38</v>
      </c>
      <c r="Y33" s="61">
        <f t="shared" si="28"/>
        <v>2556.44</v>
      </c>
      <c r="Z33" s="61">
        <f t="shared" si="28"/>
        <v>395.6</v>
      </c>
      <c r="AA33" s="61">
        <f t="shared" si="28"/>
        <v>113.25</v>
      </c>
      <c r="AB33" s="61">
        <f t="shared" si="28"/>
        <v>417.68</v>
      </c>
      <c r="AC33" s="61">
        <f t="shared" si="28"/>
        <v>1541.76</v>
      </c>
      <c r="AD33" s="61">
        <f t="shared" si="28"/>
        <v>365.6</v>
      </c>
      <c r="AE33" s="61">
        <f t="shared" si="28"/>
        <v>91.4</v>
      </c>
      <c r="AF33" s="61">
        <f t="shared" si="28"/>
        <v>18.28</v>
      </c>
      <c r="AG33" s="61">
        <f t="shared" si="28"/>
        <v>156</v>
      </c>
      <c r="AH33" s="61">
        <f t="shared" si="28"/>
        <v>0</v>
      </c>
      <c r="AI33" s="61">
        <f t="shared" si="28"/>
        <v>631.28</v>
      </c>
      <c r="AJ33" s="61">
        <f t="shared" si="28"/>
        <v>385263.95</v>
      </c>
      <c r="AK33" s="61">
        <f t="shared" si="28"/>
        <v>33326.46</v>
      </c>
      <c r="AL33" s="61">
        <f t="shared" si="28"/>
        <v>345000</v>
      </c>
      <c r="AM33" s="61">
        <f t="shared" si="28"/>
        <v>6000</v>
      </c>
      <c r="AN33" s="61">
        <f t="shared" si="28"/>
        <v>18000</v>
      </c>
      <c r="AO33" s="61">
        <f t="shared" si="28"/>
        <v>6000</v>
      </c>
      <c r="AP33" s="61">
        <f t="shared" si="28"/>
        <v>0</v>
      </c>
      <c r="AQ33" s="61">
        <f t="shared" si="28"/>
        <v>0</v>
      </c>
      <c r="AR33" s="61">
        <f t="shared" si="28"/>
        <v>484812.93</v>
      </c>
      <c r="AS33" s="61">
        <f t="shared" si="28"/>
        <v>33957.74</v>
      </c>
      <c r="AT33" s="61">
        <f t="shared" si="28"/>
        <v>460000</v>
      </c>
      <c r="AU33" s="61">
        <f t="shared" si="28"/>
        <v>40000</v>
      </c>
      <c r="AV33" s="61">
        <f t="shared" si="28"/>
        <v>-49144.81</v>
      </c>
      <c r="AW33" s="61">
        <f t="shared" si="28"/>
        <v>1299.29</v>
      </c>
      <c r="AX33" s="61">
        <f t="shared" si="28"/>
        <v>1066.3</v>
      </c>
      <c r="AY33" s="61">
        <f t="shared" si="28"/>
        <v>282.21</v>
      </c>
      <c r="AZ33" s="61">
        <f t="shared" si="28"/>
        <v>0</v>
      </c>
      <c r="BA33" s="61">
        <f t="shared" si="28"/>
        <v>98635.49</v>
      </c>
      <c r="BB33" s="120"/>
    </row>
    <row r="34" s="16" customFormat="1" ht="29.1" customHeight="1" spans="1:54">
      <c r="A34" s="48" t="s">
        <v>158</v>
      </c>
      <c r="B34" s="48"/>
      <c r="C34" s="48"/>
      <c r="D34" s="48"/>
      <c r="E34" s="48"/>
      <c r="F34" s="48"/>
      <c r="G34" s="48"/>
      <c r="H34" s="49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</row>
    <row r="35" s="16" customFormat="1" spans="7:53">
      <c r="G35" s="50"/>
      <c r="H35" s="51"/>
      <c r="V35" s="72"/>
      <c r="W35" s="72"/>
      <c r="X35" s="72"/>
      <c r="Y35" s="72"/>
      <c r="Z35" s="72"/>
      <c r="AA35" s="72"/>
      <c r="AB35" s="72"/>
      <c r="AC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BA35" s="72"/>
    </row>
    <row r="39" spans="10:20">
      <c r="J39" s="62"/>
      <c r="K39" s="62"/>
      <c r="L39" s="62"/>
      <c r="R39" s="62"/>
      <c r="T39" s="62"/>
    </row>
    <row r="40" spans="8:22">
      <c r="H40" s="52"/>
      <c r="J40" s="62"/>
      <c r="K40" s="62"/>
      <c r="L40" s="62"/>
      <c r="P40" s="63"/>
      <c r="Q40" s="63"/>
      <c r="R40" s="73"/>
      <c r="S40" s="74"/>
      <c r="T40" s="73"/>
      <c r="U40" s="74"/>
      <c r="V40" s="75"/>
    </row>
    <row r="41" spans="16:22">
      <c r="P41" s="63"/>
      <c r="Q41" s="63"/>
      <c r="R41" s="74"/>
      <c r="S41" s="74"/>
      <c r="T41" s="63"/>
      <c r="U41" s="74"/>
      <c r="V41" s="75"/>
    </row>
    <row r="42" spans="16:22">
      <c r="P42" s="63"/>
      <c r="Q42" s="63"/>
      <c r="R42" s="74"/>
      <c r="S42" s="74"/>
      <c r="T42" s="63"/>
      <c r="U42" s="74"/>
      <c r="V42" s="76"/>
    </row>
    <row r="43" spans="16:22">
      <c r="P43" s="64"/>
      <c r="Q43" s="64"/>
      <c r="R43" s="64"/>
      <c r="S43" s="64"/>
      <c r="T43" s="64"/>
      <c r="U43" s="64"/>
      <c r="V43" s="75"/>
    </row>
    <row r="44" spans="5:19">
      <c r="E44" t="s">
        <v>159</v>
      </c>
      <c r="P44" s="65"/>
      <c r="R44" s="48"/>
      <c r="S44" s="48"/>
    </row>
    <row r="45" spans="16:19">
      <c r="P45" s="65"/>
      <c r="R45" s="48"/>
      <c r="S45" s="48"/>
    </row>
    <row r="46" spans="16:19">
      <c r="P46" s="65"/>
      <c r="R46" s="48"/>
      <c r="S46" s="48"/>
    </row>
    <row r="57" spans="18:20">
      <c r="R57" s="48"/>
      <c r="S57" s="48"/>
      <c r="T57" s="48"/>
    </row>
    <row r="58" spans="18:20">
      <c r="R58" s="48"/>
      <c r="S58" s="48"/>
      <c r="T58" s="65"/>
    </row>
    <row r="59" spans="18:20">
      <c r="R59" s="48"/>
      <c r="S59" s="48"/>
      <c r="T59" s="65"/>
    </row>
  </sheetData>
  <autoFilter ref="A1:BB46">
    <extLst/>
  </autoFilter>
  <mergeCells count="46">
    <mergeCell ref="A1:BB1"/>
    <mergeCell ref="W2:AC2"/>
    <mergeCell ref="AD2:AI2"/>
    <mergeCell ref="AM2:AQ2"/>
    <mergeCell ref="B6:C6"/>
    <mergeCell ref="B9:C9"/>
    <mergeCell ref="B11:C11"/>
    <mergeCell ref="B32:C32"/>
    <mergeCell ref="A33:C33"/>
    <mergeCell ref="A34:BB34"/>
    <mergeCell ref="P43:R43"/>
    <mergeCell ref="S43:U43"/>
    <mergeCell ref="R57:T57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160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161</v>
      </c>
      <c r="C2" s="3" t="s">
        <v>162</v>
      </c>
      <c r="D2" s="4" t="s">
        <v>163</v>
      </c>
      <c r="E2" s="3" t="s">
        <v>164</v>
      </c>
      <c r="F2" s="3" t="s">
        <v>165</v>
      </c>
      <c r="G2" s="3" t="s">
        <v>46</v>
      </c>
      <c r="H2" s="3" t="s">
        <v>166</v>
      </c>
      <c r="I2" s="3" t="s">
        <v>36</v>
      </c>
    </row>
    <row r="3" ht="45" customHeight="1" spans="1:9">
      <c r="A3" s="3">
        <v>1</v>
      </c>
      <c r="B3" s="5" t="s">
        <v>167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168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169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170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171</v>
      </c>
      <c r="G1">
        <v>2</v>
      </c>
      <c r="H1">
        <v>0</v>
      </c>
    </row>
    <row r="2" spans="5:8">
      <c r="E2" t="s">
        <v>2</v>
      </c>
      <c r="F2" t="s">
        <v>172</v>
      </c>
      <c r="G2">
        <v>2</v>
      </c>
      <c r="H2">
        <v>0</v>
      </c>
    </row>
    <row r="3" spans="5:8">
      <c r="E3" t="s">
        <v>3</v>
      </c>
      <c r="F3" t="s">
        <v>173</v>
      </c>
      <c r="G3">
        <v>2</v>
      </c>
      <c r="H3">
        <v>0</v>
      </c>
    </row>
    <row r="4" spans="5:8">
      <c r="E4" t="s">
        <v>4</v>
      </c>
      <c r="F4" t="s">
        <v>174</v>
      </c>
      <c r="G4">
        <v>2</v>
      </c>
      <c r="H4">
        <v>0</v>
      </c>
    </row>
    <row r="5" spans="5:8">
      <c r="E5" t="s">
        <v>5</v>
      </c>
      <c r="F5" t="s">
        <v>175</v>
      </c>
      <c r="G5">
        <v>2</v>
      </c>
      <c r="H5">
        <v>0</v>
      </c>
    </row>
    <row r="6" spans="5:8">
      <c r="E6" t="s">
        <v>176</v>
      </c>
      <c r="F6" t="s">
        <v>177</v>
      </c>
      <c r="G6">
        <v>2</v>
      </c>
      <c r="H6">
        <v>0</v>
      </c>
    </row>
    <row r="7" spans="1:8">
      <c r="A7" t="s">
        <v>178</v>
      </c>
      <c r="B7" t="s">
        <v>179</v>
      </c>
      <c r="E7" t="s">
        <v>7</v>
      </c>
      <c r="F7" t="s">
        <v>180</v>
      </c>
      <c r="G7">
        <v>2</v>
      </c>
      <c r="H7">
        <v>0</v>
      </c>
    </row>
    <row r="8" ht="27" spans="1:8">
      <c r="A8" t="s">
        <v>181</v>
      </c>
      <c r="B8">
        <v>5</v>
      </c>
      <c r="E8" s="1" t="s">
        <v>8</v>
      </c>
      <c r="F8" t="s">
        <v>182</v>
      </c>
      <c r="G8">
        <v>2</v>
      </c>
      <c r="H8">
        <v>0</v>
      </c>
    </row>
    <row r="9" ht="27" spans="5:8">
      <c r="E9" s="1" t="s">
        <v>9</v>
      </c>
      <c r="F9" t="s">
        <v>183</v>
      </c>
      <c r="G9">
        <v>2</v>
      </c>
      <c r="H9">
        <v>0</v>
      </c>
    </row>
    <row r="10" ht="27" spans="5:8">
      <c r="E10" s="1" t="s">
        <v>10</v>
      </c>
      <c r="F10" t="s">
        <v>184</v>
      </c>
      <c r="G10">
        <v>2</v>
      </c>
      <c r="H10">
        <v>0</v>
      </c>
    </row>
    <row r="11" spans="5:8">
      <c r="E11" t="s">
        <v>185</v>
      </c>
      <c r="F11" t="s">
        <v>186</v>
      </c>
      <c r="G11">
        <v>2</v>
      </c>
      <c r="H11">
        <v>0</v>
      </c>
    </row>
    <row r="12" spans="5:8">
      <c r="E12" t="s">
        <v>187</v>
      </c>
      <c r="F12" t="s">
        <v>188</v>
      </c>
      <c r="G12">
        <v>2</v>
      </c>
      <c r="H12">
        <v>0</v>
      </c>
    </row>
    <row r="13" spans="1:8">
      <c r="A13" t="s">
        <v>189</v>
      </c>
      <c r="B13" t="s">
        <v>1</v>
      </c>
      <c r="E13" t="s">
        <v>14</v>
      </c>
      <c r="F13" t="s">
        <v>190</v>
      </c>
      <c r="G13">
        <v>2</v>
      </c>
      <c r="H13">
        <v>0</v>
      </c>
    </row>
    <row r="14" spans="1:8">
      <c r="A14" t="s">
        <v>191</v>
      </c>
      <c r="B14" t="s">
        <v>36</v>
      </c>
      <c r="E14" t="s">
        <v>192</v>
      </c>
      <c r="F14" t="s">
        <v>193</v>
      </c>
      <c r="G14">
        <v>2</v>
      </c>
      <c r="H14">
        <v>0</v>
      </c>
    </row>
    <row r="15" spans="5:8">
      <c r="E15" t="s">
        <v>194</v>
      </c>
      <c r="F15" t="s">
        <v>195</v>
      </c>
      <c r="G15">
        <v>2</v>
      </c>
      <c r="H15">
        <v>0</v>
      </c>
    </row>
    <row r="16" spans="5:8">
      <c r="E16" t="s">
        <v>18</v>
      </c>
      <c r="F16" t="s">
        <v>196</v>
      </c>
      <c r="G16">
        <v>2</v>
      </c>
      <c r="H16">
        <v>0</v>
      </c>
    </row>
    <row r="17" spans="1:8">
      <c r="A17" t="s">
        <v>197</v>
      </c>
      <c r="B17" t="s">
        <v>198</v>
      </c>
      <c r="E17" t="s">
        <v>19</v>
      </c>
      <c r="F17" t="s">
        <v>199</v>
      </c>
      <c r="G17">
        <v>2</v>
      </c>
      <c r="H17">
        <v>0</v>
      </c>
    </row>
    <row r="18" ht="27" spans="5:8">
      <c r="E18" s="1" t="s">
        <v>200</v>
      </c>
      <c r="F18" t="s">
        <v>201</v>
      </c>
      <c r="G18">
        <v>2</v>
      </c>
      <c r="H18">
        <v>0</v>
      </c>
    </row>
    <row r="19" spans="5:8">
      <c r="E19" t="s">
        <v>22</v>
      </c>
      <c r="F19" t="s">
        <v>202</v>
      </c>
      <c r="G19">
        <v>2</v>
      </c>
      <c r="H19">
        <v>5</v>
      </c>
    </row>
    <row r="20" spans="5:8">
      <c r="E20" t="s">
        <v>39</v>
      </c>
      <c r="F20" t="s">
        <v>203</v>
      </c>
      <c r="G20">
        <v>2</v>
      </c>
      <c r="H20">
        <v>0</v>
      </c>
    </row>
    <row r="21" spans="5:8">
      <c r="E21" t="s">
        <v>41</v>
      </c>
      <c r="F21" t="s">
        <v>204</v>
      </c>
      <c r="G21">
        <v>2</v>
      </c>
      <c r="H21">
        <v>0</v>
      </c>
    </row>
    <row r="22" spans="5:8">
      <c r="E22" t="s">
        <v>40</v>
      </c>
      <c r="F22" t="s">
        <v>205</v>
      </c>
      <c r="G22">
        <v>2</v>
      </c>
      <c r="H22">
        <v>0</v>
      </c>
    </row>
    <row r="23" spans="5:8">
      <c r="E23" t="s">
        <v>45</v>
      </c>
      <c r="F23" t="s">
        <v>206</v>
      </c>
      <c r="G23">
        <v>2</v>
      </c>
      <c r="H23">
        <v>0</v>
      </c>
    </row>
    <row r="24" ht="27" spans="5:8">
      <c r="E24" s="1" t="s">
        <v>207</v>
      </c>
      <c r="F24" t="s">
        <v>208</v>
      </c>
      <c r="G24">
        <v>2</v>
      </c>
      <c r="H24">
        <v>0</v>
      </c>
    </row>
    <row r="25" spans="5:8">
      <c r="E25" t="s">
        <v>209</v>
      </c>
      <c r="F25" t="s">
        <v>210</v>
      </c>
      <c r="G25">
        <v>2</v>
      </c>
      <c r="H25">
        <v>0</v>
      </c>
    </row>
    <row r="26" spans="5:8">
      <c r="E26" t="s">
        <v>211</v>
      </c>
      <c r="F26" t="s">
        <v>212</v>
      </c>
      <c r="G26">
        <v>2</v>
      </c>
      <c r="H26">
        <v>0</v>
      </c>
    </row>
    <row r="27" spans="5:8">
      <c r="E27" t="s">
        <v>213</v>
      </c>
      <c r="F27" t="s">
        <v>214</v>
      </c>
      <c r="G27">
        <v>2</v>
      </c>
      <c r="H27">
        <v>0</v>
      </c>
    </row>
    <row r="28" spans="5:8">
      <c r="E28" t="s">
        <v>215</v>
      </c>
      <c r="F28" t="s">
        <v>216</v>
      </c>
      <c r="G28">
        <v>2</v>
      </c>
      <c r="H28">
        <v>0</v>
      </c>
    </row>
    <row r="29" spans="5:8">
      <c r="E29" t="s">
        <v>217</v>
      </c>
      <c r="F29" t="s">
        <v>218</v>
      </c>
      <c r="G29">
        <v>2</v>
      </c>
      <c r="H29">
        <v>0</v>
      </c>
    </row>
    <row r="30" spans="5:8">
      <c r="E30" t="s">
        <v>219</v>
      </c>
      <c r="F30" t="s">
        <v>220</v>
      </c>
      <c r="G30">
        <v>2</v>
      </c>
      <c r="H30">
        <v>0</v>
      </c>
    </row>
    <row r="31" spans="5:8">
      <c r="E31" t="s">
        <v>221</v>
      </c>
      <c r="F31" t="s">
        <v>222</v>
      </c>
      <c r="G31">
        <v>2</v>
      </c>
      <c r="H31">
        <v>0</v>
      </c>
    </row>
    <row r="32" spans="5:8">
      <c r="E32" t="s">
        <v>223</v>
      </c>
      <c r="F32" t="s">
        <v>224</v>
      </c>
      <c r="G32">
        <v>2</v>
      </c>
      <c r="H32">
        <v>0</v>
      </c>
    </row>
    <row r="33" spans="5:8">
      <c r="E33" t="s">
        <v>225</v>
      </c>
      <c r="F33" t="s">
        <v>226</v>
      </c>
      <c r="G33">
        <v>2</v>
      </c>
      <c r="H33">
        <v>0</v>
      </c>
    </row>
    <row r="34" spans="5:8">
      <c r="E34" t="s">
        <v>227</v>
      </c>
      <c r="F34" t="s">
        <v>228</v>
      </c>
      <c r="G34">
        <v>2</v>
      </c>
      <c r="H34">
        <v>0</v>
      </c>
    </row>
    <row r="35" spans="5:8">
      <c r="E35" t="s">
        <v>229</v>
      </c>
      <c r="F35" t="s">
        <v>230</v>
      </c>
      <c r="G35">
        <v>2</v>
      </c>
      <c r="H35">
        <v>0</v>
      </c>
    </row>
    <row r="36" spans="5:8">
      <c r="E36" t="s">
        <v>231</v>
      </c>
      <c r="F36" t="s">
        <v>232</v>
      </c>
      <c r="G36">
        <v>2</v>
      </c>
      <c r="H36">
        <v>0</v>
      </c>
    </row>
    <row r="37" spans="5:8">
      <c r="E37" t="s">
        <v>233</v>
      </c>
      <c r="F37" t="s">
        <v>234</v>
      </c>
      <c r="G37">
        <v>2</v>
      </c>
      <c r="H37">
        <v>0</v>
      </c>
    </row>
    <row r="38" spans="5:8">
      <c r="E38" t="s">
        <v>235</v>
      </c>
      <c r="F38" t="s">
        <v>236</v>
      </c>
      <c r="G38">
        <v>2</v>
      </c>
      <c r="H38">
        <v>0</v>
      </c>
    </row>
    <row r="39" spans="5:8">
      <c r="E39" t="s">
        <v>237</v>
      </c>
      <c r="F39" t="s">
        <v>238</v>
      </c>
      <c r="G39">
        <v>2</v>
      </c>
      <c r="H39">
        <v>0</v>
      </c>
    </row>
    <row r="40" spans="5:8">
      <c r="E40" t="s">
        <v>239</v>
      </c>
      <c r="F40" t="s">
        <v>240</v>
      </c>
      <c r="G40">
        <v>2</v>
      </c>
      <c r="H40">
        <v>0</v>
      </c>
    </row>
    <row r="41" spans="5:8">
      <c r="E41" t="s">
        <v>241</v>
      </c>
      <c r="F41" t="s">
        <v>242</v>
      </c>
      <c r="G41">
        <v>2</v>
      </c>
      <c r="H41">
        <v>0</v>
      </c>
    </row>
    <row r="42" spans="5:8">
      <c r="E42" t="s">
        <v>243</v>
      </c>
      <c r="F42" t="s">
        <v>244</v>
      </c>
      <c r="G42">
        <v>2</v>
      </c>
      <c r="H42">
        <v>0</v>
      </c>
    </row>
    <row r="43" spans="5:8">
      <c r="E43" t="s">
        <v>245</v>
      </c>
      <c r="F43" t="s">
        <v>246</v>
      </c>
      <c r="G43">
        <v>2</v>
      </c>
      <c r="H43">
        <v>0</v>
      </c>
    </row>
    <row r="44" spans="5:8">
      <c r="E44" t="s">
        <v>247</v>
      </c>
      <c r="F44" t="s">
        <v>248</v>
      </c>
      <c r="G44">
        <v>2</v>
      </c>
      <c r="H44">
        <v>0</v>
      </c>
    </row>
    <row r="45" spans="5:8">
      <c r="E45" t="s">
        <v>249</v>
      </c>
      <c r="F45" t="s">
        <v>250</v>
      </c>
      <c r="G45">
        <v>2</v>
      </c>
      <c r="H45">
        <v>0</v>
      </c>
    </row>
    <row r="46" spans="5:8">
      <c r="E46" t="s">
        <v>251</v>
      </c>
      <c r="F46" t="s">
        <v>252</v>
      </c>
      <c r="G46">
        <v>2</v>
      </c>
      <c r="H46">
        <v>0</v>
      </c>
    </row>
    <row r="47" spans="5:8">
      <c r="E47" t="s">
        <v>253</v>
      </c>
      <c r="F47" t="s">
        <v>254</v>
      </c>
      <c r="G47">
        <v>2</v>
      </c>
      <c r="H47">
        <v>0</v>
      </c>
    </row>
    <row r="48" spans="5:8">
      <c r="E48" t="s">
        <v>255</v>
      </c>
      <c r="F48" t="s">
        <v>256</v>
      </c>
      <c r="G48">
        <v>2</v>
      </c>
      <c r="H48">
        <v>0</v>
      </c>
    </row>
    <row r="49" spans="5:8">
      <c r="E49" t="s">
        <v>257</v>
      </c>
      <c r="F49" t="s">
        <v>258</v>
      </c>
      <c r="G49">
        <v>2</v>
      </c>
      <c r="H49">
        <v>0</v>
      </c>
    </row>
    <row r="50" spans="5:8">
      <c r="E50" t="s">
        <v>259</v>
      </c>
      <c r="F50" t="s">
        <v>260</v>
      </c>
      <c r="G50">
        <v>2</v>
      </c>
      <c r="H50">
        <v>0</v>
      </c>
    </row>
    <row r="51" spans="5:8">
      <c r="E51" t="s">
        <v>261</v>
      </c>
      <c r="F51" t="s">
        <v>262</v>
      </c>
      <c r="G51">
        <v>2</v>
      </c>
      <c r="H51">
        <v>0</v>
      </c>
    </row>
    <row r="52" spans="5:8">
      <c r="E52" t="s">
        <v>263</v>
      </c>
      <c r="F52" t="s">
        <v>264</v>
      </c>
      <c r="G52">
        <v>2</v>
      </c>
      <c r="H52">
        <v>0</v>
      </c>
    </row>
    <row r="53" spans="5:8">
      <c r="E53" t="s">
        <v>265</v>
      </c>
      <c r="F53" t="s">
        <v>266</v>
      </c>
      <c r="G53">
        <v>2</v>
      </c>
      <c r="H53">
        <v>0</v>
      </c>
    </row>
    <row r="54" spans="5:8">
      <c r="E54" t="s">
        <v>267</v>
      </c>
      <c r="F54" t="s">
        <v>268</v>
      </c>
      <c r="G54">
        <v>2</v>
      </c>
      <c r="H54">
        <v>0</v>
      </c>
    </row>
    <row r="55" spans="5:8">
      <c r="E55" t="s">
        <v>269</v>
      </c>
      <c r="F55" t="s">
        <v>270</v>
      </c>
      <c r="G55">
        <v>2</v>
      </c>
      <c r="H55">
        <v>0</v>
      </c>
    </row>
    <row r="56" spans="5:8">
      <c r="E56" t="s">
        <v>271</v>
      </c>
      <c r="F56" t="s">
        <v>272</v>
      </c>
      <c r="G56">
        <v>2</v>
      </c>
      <c r="H56">
        <v>0</v>
      </c>
    </row>
    <row r="57" spans="5:8">
      <c r="E57" t="s">
        <v>273</v>
      </c>
      <c r="F57" t="s">
        <v>274</v>
      </c>
      <c r="G57">
        <v>2</v>
      </c>
      <c r="H57">
        <v>0</v>
      </c>
    </row>
    <row r="58" spans="5:8">
      <c r="E58" t="s">
        <v>275</v>
      </c>
      <c r="F58" t="s">
        <v>276</v>
      </c>
      <c r="G58">
        <v>2</v>
      </c>
      <c r="H58">
        <v>0</v>
      </c>
    </row>
    <row r="59" spans="5:8">
      <c r="E59" t="s">
        <v>277</v>
      </c>
      <c r="F59" t="s">
        <v>278</v>
      </c>
      <c r="G59">
        <v>2</v>
      </c>
      <c r="H59">
        <v>0</v>
      </c>
    </row>
    <row r="60" spans="5:8">
      <c r="E60" t="s">
        <v>279</v>
      </c>
      <c r="F60" t="s">
        <v>280</v>
      </c>
      <c r="G60">
        <v>2</v>
      </c>
      <c r="H60">
        <v>0</v>
      </c>
    </row>
    <row r="61" spans="5:8">
      <c r="E61" t="s">
        <v>281</v>
      </c>
      <c r="F61" t="s">
        <v>282</v>
      </c>
      <c r="G61">
        <v>2</v>
      </c>
      <c r="H61">
        <v>0</v>
      </c>
    </row>
    <row r="62" spans="5:8">
      <c r="E62" t="s">
        <v>283</v>
      </c>
      <c r="F62" t="s">
        <v>284</v>
      </c>
      <c r="G62">
        <v>2</v>
      </c>
      <c r="H62">
        <v>0</v>
      </c>
    </row>
    <row r="63" spans="5:8">
      <c r="E63" t="s">
        <v>285</v>
      </c>
      <c r="F63" t="s">
        <v>286</v>
      </c>
      <c r="G63">
        <v>2</v>
      </c>
      <c r="H63">
        <v>0</v>
      </c>
    </row>
    <row r="64" spans="5:8">
      <c r="E64" t="s">
        <v>29</v>
      </c>
      <c r="F64" t="s">
        <v>287</v>
      </c>
      <c r="G64">
        <v>2</v>
      </c>
      <c r="H64">
        <v>0</v>
      </c>
    </row>
    <row r="65" spans="5:8">
      <c r="E65" t="s">
        <v>235</v>
      </c>
      <c r="F65" t="s">
        <v>288</v>
      </c>
      <c r="G65">
        <v>2</v>
      </c>
      <c r="H65">
        <v>0</v>
      </c>
    </row>
    <row r="66" spans="5:8">
      <c r="E66" t="s">
        <v>289</v>
      </c>
      <c r="F66" t="s">
        <v>290</v>
      </c>
      <c r="G66">
        <v>2</v>
      </c>
      <c r="H66">
        <v>0</v>
      </c>
    </row>
    <row r="67" spans="5:8">
      <c r="E67" t="s">
        <v>291</v>
      </c>
      <c r="F67" t="s">
        <v>292</v>
      </c>
      <c r="G67">
        <v>2</v>
      </c>
      <c r="H67">
        <v>0</v>
      </c>
    </row>
    <row r="68" spans="5:8">
      <c r="E68" t="s">
        <v>293</v>
      </c>
      <c r="F68" t="s">
        <v>294</v>
      </c>
      <c r="G68">
        <v>2</v>
      </c>
      <c r="H68">
        <v>0</v>
      </c>
    </row>
    <row r="69" spans="5:8">
      <c r="E69" t="s">
        <v>295</v>
      </c>
      <c r="F69" t="s">
        <v>296</v>
      </c>
      <c r="G69">
        <v>2</v>
      </c>
      <c r="H69">
        <v>0</v>
      </c>
    </row>
    <row r="70" spans="5:8">
      <c r="E70" t="s">
        <v>297</v>
      </c>
      <c r="F70" t="s">
        <v>298</v>
      </c>
      <c r="G70">
        <v>2</v>
      </c>
      <c r="H70">
        <v>0</v>
      </c>
    </row>
    <row r="71" spans="5:8">
      <c r="E71" t="s">
        <v>299</v>
      </c>
      <c r="F71" t="s">
        <v>300</v>
      </c>
      <c r="G71">
        <v>2</v>
      </c>
      <c r="H71">
        <v>0</v>
      </c>
    </row>
    <row r="72" spans="5:8">
      <c r="E72" t="s">
        <v>301</v>
      </c>
      <c r="F72" t="s">
        <v>302</v>
      </c>
      <c r="G72">
        <v>2</v>
      </c>
      <c r="H72">
        <v>0</v>
      </c>
    </row>
    <row r="73" spans="5:8">
      <c r="E73" t="s">
        <v>303</v>
      </c>
      <c r="F73" t="s">
        <v>304</v>
      </c>
      <c r="G73">
        <v>2</v>
      </c>
      <c r="H73">
        <v>0</v>
      </c>
    </row>
    <row r="74" spans="5:8">
      <c r="E74" t="s">
        <v>305</v>
      </c>
      <c r="F74" t="s">
        <v>306</v>
      </c>
      <c r="G74">
        <v>2</v>
      </c>
      <c r="H74">
        <v>0</v>
      </c>
    </row>
    <row r="75" spans="5:8">
      <c r="E75" t="s">
        <v>307</v>
      </c>
      <c r="F75" t="s">
        <v>308</v>
      </c>
      <c r="G75">
        <v>2</v>
      </c>
      <c r="H75">
        <v>0</v>
      </c>
    </row>
    <row r="76" spans="5:8">
      <c r="E76" t="s">
        <v>309</v>
      </c>
      <c r="F76" t="s">
        <v>310</v>
      </c>
      <c r="G76">
        <v>2</v>
      </c>
      <c r="H76">
        <v>0</v>
      </c>
    </row>
    <row r="77" spans="5:8">
      <c r="E77" t="s">
        <v>311</v>
      </c>
      <c r="F77" t="s">
        <v>312</v>
      </c>
      <c r="G77">
        <v>2</v>
      </c>
      <c r="H77">
        <v>0</v>
      </c>
    </row>
    <row r="78" spans="5:8">
      <c r="E78" t="s">
        <v>313</v>
      </c>
      <c r="F78" t="s">
        <v>314</v>
      </c>
      <c r="G78">
        <v>2</v>
      </c>
      <c r="H78">
        <v>0</v>
      </c>
    </row>
    <row r="79" spans="5:8">
      <c r="E79" t="s">
        <v>315</v>
      </c>
      <c r="F79" t="s">
        <v>316</v>
      </c>
      <c r="G79">
        <v>2</v>
      </c>
      <c r="H79">
        <v>0</v>
      </c>
    </row>
    <row r="80" spans="5:8">
      <c r="E80" t="s">
        <v>317</v>
      </c>
      <c r="F80" t="s">
        <v>318</v>
      </c>
      <c r="G80">
        <v>2</v>
      </c>
      <c r="H80">
        <v>0</v>
      </c>
    </row>
    <row r="81" ht="27" spans="5:8">
      <c r="E81" s="1" t="s">
        <v>34</v>
      </c>
      <c r="F81" t="s">
        <v>319</v>
      </c>
      <c r="G81">
        <v>2</v>
      </c>
      <c r="H81">
        <v>0</v>
      </c>
    </row>
    <row r="82" ht="27" spans="5:8">
      <c r="E82" s="1" t="s">
        <v>320</v>
      </c>
      <c r="F82" t="s">
        <v>321</v>
      </c>
      <c r="G82">
        <v>2</v>
      </c>
      <c r="H82">
        <v>0</v>
      </c>
    </row>
    <row r="83" spans="5:8">
      <c r="E83" t="s">
        <v>36</v>
      </c>
      <c r="F83" t="s">
        <v>322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2024-05-14T07:37:00Z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ubyTemplateID" linkTarget="0">
    <vt:lpwstr>1</vt:lpwstr>
  </property>
  <property fmtid="{D5CDD505-2E9C-101B-9397-08002B2CF9AE}" pid="4" name="ICV">
    <vt:lpwstr>748794E11AF14F5A9E43552D54E90803_13</vt:lpwstr>
  </property>
</Properties>
</file>