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9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'2023年'!$A$1:$K$48</definedName>
    <definedName name="_xlnm.Print_Area" localSheetId="4">'2024年'!$A$1:$K$48</definedName>
    <definedName name="_xlnm.Print_Area" localSheetId="5">'2025年'!$A$1:$K$48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M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2021.11月河北报表数据</t>
        </r>
      </text>
    </comment>
    <comment ref="E1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假设自提货</t>
        </r>
      </text>
    </comment>
    <comment ref="E2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假设自提货</t>
        </r>
      </text>
    </comment>
    <comment ref="E38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假设自提货</t>
        </r>
      </text>
    </comment>
    <comment ref="E51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假设自提货</t>
        </r>
      </text>
    </comment>
    <comment ref="E6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假设自提货</t>
        </r>
      </text>
    </comment>
    <comment ref="E77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假设自提货</t>
        </r>
      </text>
    </comment>
    <comment ref="E9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假设自提货</t>
        </r>
      </text>
    </comment>
    <comment ref="E103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假设自提货</t>
        </r>
      </text>
    </comment>
    <comment ref="E116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<sst xmlns="http://schemas.openxmlformats.org/spreadsheetml/2006/main" count="1420" uniqueCount="297">
  <si>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</si>
  <si>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</si>
  <si>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</si>
  <si>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</si>
  <si>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</si>
  <si>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</si>
  <si>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销售价格（未税）：由营销部门提供，包括年降4%。</t>
  </si>
  <si>
    <t>材料成本</t>
  </si>
  <si>
    <t>成本预估根据项目经理提供资料估算。供应商年度降价与销价降价同步。</t>
  </si>
  <si>
    <t>单台材料成本为未税价格。</t>
  </si>
  <si>
    <t>变动费用</t>
  </si>
  <si>
    <t>变动费用参考河北工厂2021年实际及2022预算暂估。</t>
  </si>
  <si>
    <t>固定费用</t>
  </si>
  <si>
    <t>预测工厂产能满足客户订单，新增生产设备。</t>
  </si>
  <si>
    <t>研发费用按照产销量摊销。</t>
  </si>
  <si>
    <t>财务费用按集团水平。</t>
  </si>
  <si>
    <t>如有产线改造按照产销量摊销，无净残值。</t>
  </si>
  <si>
    <t>投资回收期</t>
  </si>
  <si>
    <t>投资仅指此项目研发费用及模夹检具工装、生产地产线改造投入。</t>
  </si>
  <si>
    <t>豪瀚MAX座椅项目投资收益分析</t>
  </si>
  <si>
    <t>单位：元</t>
  </si>
  <si>
    <t>序号</t>
  </si>
  <si>
    <r>
      <rPr>
        <b/>
        <sz val="10"/>
        <rFont val="CorpoS"/>
        <charset val="134"/>
      </rPr>
      <t>2022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</si>
  <si>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2023年</t>
    </r>
  </si>
  <si>
    <r>
      <rPr>
        <b/>
        <sz val="10"/>
        <rFont val="CorpoS"/>
        <charset val="134"/>
      </rPr>
      <t>2024年</t>
    </r>
  </si>
  <si>
    <r>
      <rPr>
        <b/>
        <sz val="10"/>
        <rFont val="CorpoS"/>
        <charset val="134"/>
      </rPr>
      <t>2025年</t>
    </r>
  </si>
  <si>
    <r>
      <rPr>
        <b/>
        <sz val="10"/>
        <rFont val="CorpoS"/>
        <charset val="134"/>
      </rPr>
      <t>2026年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</si>
  <si>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</si>
  <si>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</si>
  <si>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</si>
  <si>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</si>
  <si>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</si>
  <si>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</si>
  <si>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</si>
  <si>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</si>
  <si>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</si>
  <si>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</si>
  <si>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</si>
  <si>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</si>
  <si>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</si>
  <si>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</si>
  <si>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</si>
  <si>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</si>
  <si>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</si>
  <si>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</si>
  <si>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</si>
  <si>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</si>
  <si>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</si>
  <si>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</si>
  <si>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</si>
  <si>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</si>
  <si>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</si>
  <si>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</si>
  <si>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</si>
  <si>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</si>
  <si>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</si>
  <si>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</si>
  <si>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</si>
  <si>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</si>
  <si>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</si>
  <si>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</si>
  <si>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</si>
  <si>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</si>
  <si>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</si>
  <si>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</si>
  <si>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</si>
  <si>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</si>
  <si>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</si>
  <si>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</si>
  <si>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</si>
  <si>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</si>
  <si>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</si>
  <si>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</si>
  <si>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</si>
  <si>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2023年</t>
  </si>
  <si>
    <t>2024年</t>
  </si>
  <si>
    <t>2025年</t>
  </si>
  <si>
    <t>2026年</t>
  </si>
  <si>
    <t>2027年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</si>
  <si>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</si>
  <si>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</si>
  <si>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</si>
  <si>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</si>
  <si>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</si>
  <si>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</si>
  <si>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</si>
  <si>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</si>
  <si>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</si>
  <si>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</si>
  <si>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</si>
  <si>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</si>
  <si>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</si>
  <si>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</si>
  <si>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</si>
  <si>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</si>
  <si>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</si>
  <si>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</si>
  <si>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</si>
  <si>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</si>
  <si>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</si>
  <si>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</si>
  <si>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</si>
  <si>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</si>
  <si>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</si>
  <si>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</si>
  <si>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</si>
  <si>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</si>
  <si>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</si>
  <si>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</si>
  <si>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</si>
  <si>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</si>
  <si>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</si>
  <si>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</si>
  <si>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</si>
  <si>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</si>
  <si>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</si>
  <si>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</si>
  <si>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</si>
  <si>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</si>
  <si>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</si>
  <si>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</si>
  <si>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</si>
  <si>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</si>
  <si>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</si>
  <si>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</si>
  <si>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</si>
  <si>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</si>
  <si>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</si>
  <si>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</si>
  <si>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</si>
  <si>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</si>
  <si>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</si>
  <si>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</si>
  <si>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</si>
  <si>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</si>
  <si>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</si>
  <si>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</si>
  <si>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</si>
  <si>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</si>
  <si>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</si>
  <si>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</si>
  <si>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</si>
  <si>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</si>
  <si>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</si>
  <si>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</si>
  <si>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</si>
  <si>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</si>
  <si>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</si>
  <si>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</si>
  <si>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</si>
  <si>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</si>
  <si>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</si>
  <si>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</si>
  <si>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</si>
  <si>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2023年  </t>
  </si>
  <si>
    <t>客户全称</t>
  </si>
  <si>
    <t>中国重汽济宁商用车有限公司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</si>
  <si>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</si>
  <si>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</si>
  <si>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</si>
  <si>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</si>
  <si>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</si>
  <si>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</si>
  <si>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所得税(税率15%）</t>
  </si>
  <si>
    <t>单件销售收入净额</t>
  </si>
  <si>
    <t xml:space="preserve">2024年  </t>
  </si>
  <si>
    <t>所得税(税率25%）</t>
  </si>
  <si>
    <t xml:space="preserve">2025年  </t>
  </si>
  <si>
    <t xml:space="preserve">2026年  </t>
  </si>
  <si>
    <t xml:space="preserve">2027年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</si>
  <si>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</si>
  <si>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</si>
  <si>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</si>
  <si>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</si>
  <si>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</si>
  <si>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</si>
  <si>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</si>
  <si>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</si>
  <si>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</si>
  <si>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底座上线工装车6台3万，总成上线工装车12台6万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</si>
  <si>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</si>
  <si>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</si>
  <si>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</si>
  <si>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</si>
  <si>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</si>
  <si>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</si>
  <si>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</si>
  <si>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前后地脚钣金冲压模具，新开滑轨模具</t>
  </si>
  <si>
    <t>小计</t>
  </si>
  <si>
    <t>发泡模具</t>
  </si>
  <si>
    <t>五、模夹检具、工装</t>
  </si>
  <si>
    <t>压铸模具</t>
  </si>
  <si>
    <t>六、开发投入</t>
  </si>
  <si>
    <t>夹具</t>
  </si>
  <si>
    <t>副司机底支架焊接总成焊接夹具2</t>
  </si>
  <si>
    <t>检具</t>
  </si>
  <si>
    <t>新开副司机底支架焊接总成（供应商1个/我司1个）-每个检具1.2万元左右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</si>
  <si>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</si>
  <si>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</si>
  <si>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</si>
  <si>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</si>
  <si>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</si>
  <si>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</si>
  <si>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</si>
  <si>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240h*125</t>
  </si>
  <si>
    <t>样品费</t>
  </si>
  <si>
    <t>前期样件10台，装车验证10台，小批量30台</t>
  </si>
  <si>
    <t>试验费</t>
  </si>
  <si>
    <t>强检试验费</t>
  </si>
  <si>
    <t>维修费</t>
  </si>
  <si>
    <t>目标投资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</si>
  <si>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</si>
  <si>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</si>
  <si>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</si>
  <si>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</si>
  <si>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</si>
  <si>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</si>
  <si>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</si>
  <si>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 xml:space="preserve">    3年</t>
  </si>
  <si>
    <t>新开发产品</t>
  </si>
  <si>
    <t>MAX左座椅总成（TX平台 空气减震）</t>
  </si>
  <si>
    <t>MAX右座椅总成（TX平台 简易版 无</t>
  </si>
  <si>
    <t>YZ167151000039</t>
  </si>
  <si>
    <t>YZ167151000040</t>
  </si>
  <si>
    <t>配置</t>
  </si>
  <si>
    <t>2.1C平台 气动升降、靠背调节、前后调节、集成三点式安全带、TX造型</t>
  </si>
  <si>
    <t>管式结构、靠背调节、集成安全带、TX造型</t>
  </si>
  <si>
    <t xml:space="preserve">销售价格
（元，未税）  </t>
  </si>
  <si>
    <t>销量（件）</t>
  </si>
  <si>
    <t>2028年</t>
  </si>
  <si>
    <t>成本</t>
  </si>
  <si>
    <t>附加值率</t>
  </si>
  <si>
    <t>目标成本</t>
  </si>
  <si>
    <t>需降本</t>
  </si>
  <si>
    <t>预估原材料成本（单位：元，未税）</t>
  </si>
  <si>
    <t>供应商年降：    连降4%</t>
  </si>
  <si>
    <t>模块</t>
  </si>
  <si>
    <t>项目名称</t>
  </si>
  <si>
    <t>项目编号</t>
  </si>
  <si>
    <t>ZY2265</t>
  </si>
  <si>
    <t>产品图号/物料号</t>
  </si>
  <si>
    <t>QAD号为老产品物料号，仅供参考</t>
  </si>
  <si>
    <t>汇总</t>
  </si>
  <si>
    <t>不含包装费</t>
  </si>
  <si>
    <t>SHT0015637</t>
  </si>
  <si>
    <t>SHT0015668</t>
  </si>
  <si>
    <t>材料成本年降汇总表</t>
  </si>
  <si>
    <t>产品号</t>
  </si>
  <si>
    <t>材料成本（连降4%）</t>
  </si>
  <si>
    <t>2029年</t>
  </si>
  <si>
    <t>2030年</t>
  </si>
  <si>
    <t>项    目</t>
  </si>
  <si>
    <t>内容</t>
  </si>
  <si>
    <t>说明</t>
  </si>
  <si>
    <t>生产地点</t>
  </si>
  <si>
    <t>黄骅</t>
  </si>
  <si>
    <t>客户地点</t>
  </si>
  <si>
    <t>济宁/济南</t>
  </si>
  <si>
    <t>送货地点</t>
  </si>
  <si>
    <t>客户付款方式</t>
  </si>
  <si>
    <t>商业承兑</t>
  </si>
  <si>
    <t>现汇或承兑的比例</t>
  </si>
  <si>
    <t>喷涂件生产地点</t>
  </si>
  <si>
    <t>委外加工</t>
  </si>
  <si>
    <t>物流包装信息</t>
  </si>
  <si>
    <t>工装运输</t>
  </si>
  <si>
    <t>客户现场服务要求</t>
  </si>
  <si>
    <t>驻场服务</t>
  </si>
  <si>
    <t>客户所在地第三方收费标准</t>
  </si>
  <si>
    <t>同现卡车TX产品</t>
  </si>
  <si>
    <t>客户是否指定供方及其结算方式</t>
  </si>
  <si>
    <t>面料价格</t>
  </si>
  <si>
    <t>待商定</t>
  </si>
  <si>
    <t>包含所有的主、辅料</t>
  </si>
  <si>
    <t>产品特殊特性</t>
  </si>
  <si>
    <t>无</t>
  </si>
  <si>
    <t>开发费分摊情况</t>
  </si>
  <si>
    <t>分摊</t>
  </si>
  <si>
    <t>产品应用场景</t>
  </si>
  <si>
    <t>公路载货车</t>
  </si>
  <si>
    <t>三包周期</t>
  </si>
  <si>
    <t>18月</t>
  </si>
  <si>
    <t>涂红色处为必填项</t>
  </si>
  <si>
    <t>单位：元、%、未税</t>
  </si>
  <si>
    <t>科目</t>
  </si>
  <si>
    <t>预计</t>
  </si>
  <si>
    <t>后视镜单件金额</t>
  </si>
  <si>
    <t>座椅单件金额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</si>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</sst>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_ * #,##0_ ;_ * \-#,##0_ ;_ * &quot;-&quot;??_ ;_ @_ "/>
    <numFmt numFmtId="178" formatCode="0_ "/>
    <numFmt numFmtId="179" formatCode="0.00_ "/>
    <numFmt numFmtId="180" formatCode="&quot;$&quot;#,##0.00_);[Red]\(&quot;$&quot;#,##0.00\)"/>
  </numFmts>
  <fonts count="7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i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color rgb="FF0D0D0D"/>
      <name val="宋体"/>
      <charset val="134"/>
    </font>
    <font>
      <sz val="11"/>
      <name val="宋体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sz val="12"/>
      <name val="微软雅黑"/>
      <charset val="134"/>
    </font>
    <font>
      <sz val="14"/>
      <color theme="1"/>
      <name val="宋体"/>
      <charset val="134"/>
      <scheme val="minor"/>
    </font>
    <font>
      <sz val="10.5"/>
      <name val="宋体"/>
      <charset val="134"/>
    </font>
    <font>
      <sz val="12"/>
      <color rgb="FFFF0000"/>
      <name val="微软雅黑"/>
      <charset val="134"/>
    </font>
    <font>
      <sz val="14"/>
      <name val="微软雅黑"/>
      <charset val="134"/>
    </font>
    <font>
      <sz val="14"/>
      <color rgb="FF000000"/>
      <name val="微软雅黑"/>
      <charset val="134"/>
    </font>
    <font>
      <sz val="14"/>
      <color rgb="FFFF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0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4"/>
      <name val="宋体"/>
      <charset val="134"/>
    </font>
    <font>
      <sz val="12"/>
      <color theme="1"/>
      <name val="微软雅黑"/>
      <charset val="134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2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4" borderId="20" applyNumberFormat="0" applyAlignment="0" applyProtection="0">
      <alignment vertical="center"/>
    </xf>
    <xf numFmtId="0" fontId="53" fillId="15" borderId="21" applyNumberFormat="0" applyAlignment="0" applyProtection="0">
      <alignment vertical="center"/>
    </xf>
    <xf numFmtId="0" fontId="54" fillId="15" borderId="20" applyNumberFormat="0" applyAlignment="0" applyProtection="0">
      <alignment vertical="center"/>
    </xf>
    <xf numFmtId="0" fontId="55" fillId="16" borderId="22" applyNumberFormat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3" fillId="0" borderId="0"/>
    <xf numFmtId="0" fontId="64" fillId="0" borderId="2" applyNumberFormat="0" applyFill="0" applyBorder="0" applyAlignment="0" applyProtection="0">
      <alignment vertical="center"/>
    </xf>
    <xf numFmtId="0" fontId="2" fillId="0" borderId="0">
      <alignment vertical="center"/>
    </xf>
    <xf numFmtId="0" fontId="65" fillId="0" borderId="0"/>
    <xf numFmtId="0" fontId="2" fillId="0" borderId="0">
      <alignment vertical="center"/>
    </xf>
    <xf numFmtId="0" fontId="66" fillId="0" borderId="0"/>
    <xf numFmtId="1" fontId="67" fillId="0" borderId="2" applyBorder="0"/>
    <xf numFmtId="43" fontId="2" fillId="0" borderId="0" applyFont="0" applyFill="0" applyBorder="0" applyAlignment="0" applyProtection="0">
      <alignment vertical="center"/>
    </xf>
    <xf numFmtId="43" fontId="68" fillId="0" borderId="0" applyFont="0" applyFill="0" applyBorder="0" applyAlignment="0" applyProtection="0">
      <alignment vertical="center"/>
    </xf>
    <xf numFmtId="0" fontId="65" fillId="0" borderId="0"/>
  </cellStyleXfs>
  <cellXfs count="29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0" xfId="3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0" fontId="2" fillId="0" borderId="0" xfId="3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76" fontId="0" fillId="0" borderId="2" xfId="3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3" fontId="1" fillId="0" borderId="2" xfId="1" applyFont="1" applyFill="1" applyBorder="1">
      <alignment vertical="center"/>
    </xf>
    <xf numFmtId="43" fontId="3" fillId="0" borderId="2" xfId="0" applyNumberFormat="1" applyFont="1" applyFill="1" applyBorder="1" applyAlignment="1">
      <alignment horizontal="center" vertical="center"/>
    </xf>
    <xf numFmtId="9" fontId="3" fillId="0" borderId="2" xfId="3" applyFont="1" applyFill="1" applyBorder="1" applyAlignment="1">
      <alignment horizontal="center" vertical="center"/>
    </xf>
    <xf numFmtId="10" fontId="3" fillId="0" borderId="2" xfId="3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0" xfId="0" applyFont="1" applyFill="1">
      <alignment vertical="center"/>
    </xf>
    <xf numFmtId="9" fontId="0" fillId="0" borderId="0" xfId="0" applyNumberFormat="1" applyFill="1" applyAlignment="1">
      <alignment horizontal="center" vertical="center"/>
    </xf>
    <xf numFmtId="43" fontId="0" fillId="0" borderId="0" xfId="1" applyFont="1" applyFill="1">
      <alignment vertical="center"/>
    </xf>
    <xf numFmtId="10" fontId="0" fillId="0" borderId="0" xfId="0" applyNumberFormat="1" applyFill="1" applyAlignment="1">
      <alignment horizontal="center" vertical="center"/>
    </xf>
    <xf numFmtId="0" fontId="4" fillId="0" borderId="0" xfId="52" applyFont="1" applyAlignment="1">
      <alignment horizontal="center" vertical="center"/>
    </xf>
    <xf numFmtId="0" fontId="4" fillId="0" borderId="2" xfId="52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0" xfId="52" applyFont="1" applyAlignment="1">
      <alignment horizontal="center" vertical="center" wrapText="1"/>
    </xf>
    <xf numFmtId="0" fontId="5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43" fontId="6" fillId="0" borderId="2" xfId="1" applyFont="1" applyBorder="1">
      <alignment vertical="center"/>
    </xf>
    <xf numFmtId="43" fontId="6" fillId="0" borderId="2" xfId="1" applyFont="1" applyFill="1" applyBorder="1">
      <alignment vertical="center"/>
    </xf>
    <xf numFmtId="43" fontId="8" fillId="0" borderId="2" xfId="1" applyFont="1" applyFill="1" applyBorder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3" fontId="8" fillId="0" borderId="2" xfId="1" applyFont="1" applyBorder="1">
      <alignment vertical="center"/>
    </xf>
    <xf numFmtId="43" fontId="6" fillId="0" borderId="0" xfId="0" applyNumberFormat="1" applyFont="1">
      <alignment vertical="center"/>
    </xf>
    <xf numFmtId="43" fontId="6" fillId="0" borderId="0" xfId="1" applyFont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53" applyFont="1" applyFill="1" applyBorder="1" applyAlignment="1">
      <alignment horizontal="center" vertical="center" wrapText="1"/>
    </xf>
    <xf numFmtId="43" fontId="6" fillId="0" borderId="0" xfId="0" applyNumberFormat="1" applyFont="1" applyBorder="1">
      <alignment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/>
    </xf>
    <xf numFmtId="43" fontId="6" fillId="0" borderId="10" xfId="0" applyNumberFormat="1" applyFont="1" applyBorder="1" applyAlignment="1">
      <alignment horizontal="center" vertical="center"/>
    </xf>
    <xf numFmtId="43" fontId="6" fillId="0" borderId="7" xfId="0" applyNumberFormat="1" applyFont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43" fontId="6" fillId="0" borderId="4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177" fontId="12" fillId="0" borderId="0" xfId="1" applyNumberFormat="1" applyFont="1">
      <alignment vertical="center"/>
    </xf>
    <xf numFmtId="0" fontId="12" fillId="4" borderId="0" xfId="0" applyFont="1" applyFill="1">
      <alignment vertical="center"/>
    </xf>
    <xf numFmtId="10" fontId="12" fillId="5" borderId="0" xfId="0" applyNumberFormat="1" applyFont="1" applyFill="1">
      <alignment vertical="center"/>
    </xf>
    <xf numFmtId="10" fontId="12" fillId="0" borderId="0" xfId="0" applyNumberFormat="1" applyFont="1">
      <alignment vertical="center"/>
    </xf>
    <xf numFmtId="0" fontId="12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7" fillId="0" borderId="4" xfId="53" applyFont="1" applyFill="1" applyBorder="1" applyAlignment="1">
      <alignment horizontal="center" vertical="center" wrapText="1"/>
    </xf>
    <xf numFmtId="0" fontId="17" fillId="0" borderId="2" xfId="53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43" fontId="19" fillId="0" borderId="7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 readingOrder="1"/>
    </xf>
    <xf numFmtId="0" fontId="22" fillId="0" borderId="2" xfId="0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 wrapText="1" readingOrder="1"/>
    </xf>
    <xf numFmtId="0" fontId="19" fillId="0" borderId="2" xfId="0" applyFont="1" applyFill="1" applyBorder="1" applyAlignment="1">
      <alignment horizontal="center" vertical="center" wrapText="1" readingOrder="1"/>
    </xf>
    <xf numFmtId="0" fontId="23" fillId="0" borderId="2" xfId="0" applyFont="1" applyFill="1" applyBorder="1" applyAlignment="1">
      <alignment horizontal="center" vertical="center" wrapText="1" readingOrder="1"/>
    </xf>
    <xf numFmtId="0" fontId="21" fillId="0" borderId="2" xfId="0" applyFont="1" applyFill="1" applyBorder="1" applyAlignment="1">
      <alignment horizontal="center" vertical="center" wrapText="1" readingOrder="1"/>
    </xf>
    <xf numFmtId="0" fontId="21" fillId="8" borderId="2" xfId="0" applyFont="1" applyFill="1" applyBorder="1" applyAlignment="1">
      <alignment horizontal="center" vertical="center" wrapText="1" readingOrder="1"/>
    </xf>
    <xf numFmtId="177" fontId="21" fillId="8" borderId="2" xfId="0" applyNumberFormat="1" applyFont="1" applyFill="1" applyBorder="1" applyAlignment="1">
      <alignment horizontal="center" wrapText="1" readingOrder="1"/>
    </xf>
    <xf numFmtId="43" fontId="12" fillId="0" borderId="0" xfId="1" applyFont="1">
      <alignment vertical="center"/>
    </xf>
    <xf numFmtId="0" fontId="12" fillId="0" borderId="2" xfId="0" applyFont="1" applyBorder="1">
      <alignment vertical="center"/>
    </xf>
    <xf numFmtId="43" fontId="12" fillId="0" borderId="2" xfId="0" applyNumberFormat="1" applyFont="1" applyBorder="1">
      <alignment vertical="center"/>
    </xf>
    <xf numFmtId="176" fontId="12" fillId="0" borderId="2" xfId="3" applyNumberFormat="1" applyFont="1" applyBorder="1">
      <alignment vertical="center"/>
    </xf>
    <xf numFmtId="43" fontId="12" fillId="0" borderId="0" xfId="0" applyNumberFormat="1" applyFont="1">
      <alignment vertical="center"/>
    </xf>
    <xf numFmtId="0" fontId="12" fillId="0" borderId="0" xfId="0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177" fontId="21" fillId="8" borderId="2" xfId="1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 readingOrder="1"/>
    </xf>
    <xf numFmtId="10" fontId="12" fillId="0" borderId="0" xfId="3" applyNumberFormat="1" applyFont="1">
      <alignment vertical="center"/>
    </xf>
    <xf numFmtId="43" fontId="0" fillId="0" borderId="0" xfId="1" applyFont="1">
      <alignment vertical="center"/>
    </xf>
    <xf numFmtId="0" fontId="25" fillId="9" borderId="1" xfId="49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8" fontId="26" fillId="10" borderId="2" xfId="54" applyNumberFormat="1" applyFont="1" applyFill="1" applyBorder="1" applyAlignment="1">
      <alignment horizontal="center" vertical="center" wrapText="1"/>
    </xf>
    <xf numFmtId="43" fontId="26" fillId="10" borderId="2" xfId="1" applyFont="1" applyFill="1" applyBorder="1" applyAlignment="1">
      <alignment horizontal="center" vertical="center" wrapText="1"/>
    </xf>
    <xf numFmtId="0" fontId="26" fillId="10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8" fontId="27" fillId="0" borderId="2" xfId="54" applyNumberFormat="1" applyFont="1" applyFill="1" applyBorder="1" applyAlignment="1">
      <alignment horizontal="left" vertical="center"/>
    </xf>
    <xf numFmtId="43" fontId="27" fillId="4" borderId="2" xfId="1" applyFont="1" applyFill="1" applyBorder="1" applyAlignment="1">
      <alignment horizontal="center" vertical="center"/>
    </xf>
    <xf numFmtId="0" fontId="28" fillId="9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2" fillId="3" borderId="2" xfId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29" fillId="9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2" xfId="0" applyFont="1" applyBorder="1">
      <alignment vertical="center"/>
    </xf>
    <xf numFmtId="43" fontId="27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4" fillId="11" borderId="2" xfId="0" applyFont="1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78" fontId="27" fillId="0" borderId="5" xfId="54" applyNumberFormat="1" applyFont="1" applyFill="1" applyBorder="1" applyAlignment="1">
      <alignment horizontal="center" vertical="center"/>
    </xf>
    <xf numFmtId="178" fontId="27" fillId="0" borderId="5" xfId="54" applyNumberFormat="1" applyFont="1" applyFill="1" applyBorder="1" applyAlignment="1">
      <alignment horizontal="left" vertical="center" wrapText="1"/>
    </xf>
    <xf numFmtId="0" fontId="28" fillId="9" borderId="2" xfId="49" applyNumberFormat="1" applyFont="1" applyFill="1" applyBorder="1" applyAlignment="1" applyProtection="1">
      <alignment horizontal="center" vertical="center" wrapText="1"/>
    </xf>
    <xf numFmtId="43" fontId="27" fillId="3" borderId="2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3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8" fillId="0" borderId="2" xfId="0" applyNumberFormat="1" applyFont="1" applyBorder="1">
      <alignment vertical="center"/>
    </xf>
    <xf numFmtId="43" fontId="8" fillId="0" borderId="2" xfId="1" applyNumberFormat="1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0" fillId="0" borderId="0" xfId="0" applyFont="1" applyFill="1">
      <alignment vertical="center"/>
    </xf>
    <xf numFmtId="0" fontId="31" fillId="0" borderId="0" xfId="0" applyFont="1" applyFill="1">
      <alignment vertical="center"/>
    </xf>
    <xf numFmtId="0" fontId="32" fillId="0" borderId="0" xfId="0" applyFont="1" applyFill="1">
      <alignment vertical="center"/>
    </xf>
    <xf numFmtId="43" fontId="32" fillId="0" borderId="0" xfId="1" applyFont="1" applyFill="1">
      <alignment vertical="center"/>
    </xf>
    <xf numFmtId="0" fontId="32" fillId="0" borderId="2" xfId="0" applyFont="1" applyFill="1" applyBorder="1" applyAlignment="1">
      <alignment horizontal="center" vertical="center"/>
    </xf>
    <xf numFmtId="43" fontId="32" fillId="0" borderId="5" xfId="1" applyFont="1" applyFill="1" applyBorder="1" applyAlignment="1">
      <alignment horizontal="center" vertical="center"/>
    </xf>
    <xf numFmtId="43" fontId="32" fillId="0" borderId="3" xfId="1" applyFont="1" applyFill="1" applyBorder="1" applyAlignment="1">
      <alignment horizontal="center" vertical="center"/>
    </xf>
    <xf numFmtId="43" fontId="32" fillId="4" borderId="2" xfId="1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43" fontId="34" fillId="0" borderId="2" xfId="1" applyFont="1" applyFill="1" applyBorder="1" applyAlignment="1">
      <alignment horizontal="center" vertical="center" wrapText="1"/>
    </xf>
    <xf numFmtId="0" fontId="32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 readingOrder="1"/>
    </xf>
    <xf numFmtId="43" fontId="32" fillId="0" borderId="2" xfId="1" applyFont="1" applyFill="1" applyBorder="1" applyAlignment="1">
      <alignment horizontal="center" vertical="center"/>
    </xf>
    <xf numFmtId="0" fontId="35" fillId="0" borderId="2" xfId="0" applyFont="1" applyFill="1" applyBorder="1">
      <alignment vertical="center"/>
    </xf>
    <xf numFmtId="9" fontId="32" fillId="0" borderId="2" xfId="3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43" fontId="30" fillId="0" borderId="2" xfId="1" applyFont="1" applyFill="1" applyBorder="1">
      <alignment vertical="center"/>
    </xf>
    <xf numFmtId="43" fontId="32" fillId="0" borderId="2" xfId="1" applyFont="1" applyFill="1" applyBorder="1">
      <alignment vertical="center"/>
    </xf>
    <xf numFmtId="0" fontId="31" fillId="0" borderId="2" xfId="0" applyFont="1" applyFill="1" applyBorder="1">
      <alignment vertical="center"/>
    </xf>
    <xf numFmtId="9" fontId="32" fillId="0" borderId="2" xfId="3" applyFont="1" applyFill="1" applyBorder="1">
      <alignment vertical="center"/>
    </xf>
    <xf numFmtId="43" fontId="30" fillId="0" borderId="2" xfId="1" applyFont="1" applyFill="1" applyBorder="1" applyAlignment="1">
      <alignment horizontal="center" vertical="center"/>
    </xf>
    <xf numFmtId="43" fontId="32" fillId="0" borderId="2" xfId="0" applyNumberFormat="1" applyFont="1" applyFill="1" applyBorder="1">
      <alignment vertical="center"/>
    </xf>
    <xf numFmtId="43" fontId="31" fillId="0" borderId="2" xfId="1" applyFont="1" applyFill="1" applyBorder="1">
      <alignment vertical="center"/>
    </xf>
    <xf numFmtId="43" fontId="32" fillId="0" borderId="0" xfId="1" applyFont="1" applyFill="1" applyAlignment="1">
      <alignment horizontal="center" vertical="center"/>
    </xf>
    <xf numFmtId="43" fontId="32" fillId="0" borderId="4" xfId="1" applyFont="1" applyFill="1" applyBorder="1" applyAlignment="1">
      <alignment horizontal="center" vertical="center"/>
    </xf>
    <xf numFmtId="43" fontId="34" fillId="0" borderId="6" xfId="1" applyFont="1" applyFill="1" applyBorder="1" applyAlignment="1">
      <alignment horizontal="center" vertical="center" wrapText="1"/>
    </xf>
    <xf numFmtId="43" fontId="34" fillId="0" borderId="10" xfId="1" applyFont="1" applyFill="1" applyBorder="1" applyAlignment="1">
      <alignment horizontal="center" vertical="center" wrapText="1"/>
    </xf>
    <xf numFmtId="43" fontId="34" fillId="0" borderId="7" xfId="1" applyFont="1" applyFill="1" applyBorder="1" applyAlignment="1">
      <alignment horizontal="center" vertical="center" wrapText="1"/>
    </xf>
    <xf numFmtId="43" fontId="32" fillId="0" borderId="0" xfId="0" applyNumberFormat="1" applyFont="1" applyFill="1">
      <alignment vertical="center"/>
    </xf>
    <xf numFmtId="0" fontId="36" fillId="0" borderId="0" xfId="0" applyFont="1" applyFill="1">
      <alignment vertical="center"/>
    </xf>
    <xf numFmtId="179" fontId="32" fillId="0" borderId="0" xfId="0" applyNumberFormat="1" applyFont="1" applyFill="1">
      <alignment vertical="center"/>
    </xf>
    <xf numFmtId="43" fontId="32" fillId="0" borderId="10" xfId="1" applyFont="1" applyFill="1" applyBorder="1">
      <alignment vertical="center"/>
    </xf>
    <xf numFmtId="9" fontId="32" fillId="0" borderId="10" xfId="3" applyFont="1" applyFill="1" applyBorder="1">
      <alignment vertical="center"/>
    </xf>
    <xf numFmtId="43" fontId="32" fillId="4" borderId="5" xfId="1" applyFont="1" applyFill="1" applyBorder="1" applyAlignment="1">
      <alignment horizontal="center" vertical="center"/>
    </xf>
    <xf numFmtId="43" fontId="32" fillId="4" borderId="3" xfId="1" applyFont="1" applyFill="1" applyBorder="1" applyAlignment="1">
      <alignment horizontal="center" vertical="center"/>
    </xf>
    <xf numFmtId="43" fontId="32" fillId="4" borderId="4" xfId="1" applyFont="1" applyFill="1" applyBorder="1" applyAlignment="1">
      <alignment horizontal="center" vertical="center"/>
    </xf>
    <xf numFmtId="0" fontId="36" fillId="5" borderId="0" xfId="0" applyFont="1" applyFill="1">
      <alignment vertical="center"/>
    </xf>
    <xf numFmtId="1" fontId="27" fillId="9" borderId="0" xfId="49" applyNumberFormat="1" applyFont="1" applyFill="1" applyProtection="1"/>
    <xf numFmtId="0" fontId="27" fillId="9" borderId="0" xfId="49" applyFont="1" applyFill="1" applyProtection="1"/>
    <xf numFmtId="0" fontId="37" fillId="9" borderId="0" xfId="49" applyFont="1" applyFill="1" applyAlignment="1" applyProtection="1">
      <alignment horizontal="centerContinuous"/>
    </xf>
    <xf numFmtId="0" fontId="27" fillId="9" borderId="0" xfId="49" applyFont="1" applyFill="1" applyAlignment="1">
      <alignment horizontal="centerContinuous"/>
    </xf>
    <xf numFmtId="0" fontId="27" fillId="9" borderId="0" xfId="49" applyFont="1" applyFill="1" applyAlignment="1" applyProtection="1">
      <alignment horizontal="centerContinuous"/>
    </xf>
    <xf numFmtId="9" fontId="27" fillId="9" borderId="0" xfId="49" applyNumberFormat="1" applyFont="1" applyFill="1" applyProtection="1"/>
    <xf numFmtId="0" fontId="27" fillId="9" borderId="6" xfId="49" applyFont="1" applyFill="1" applyBorder="1" applyAlignment="1" applyProtection="1">
      <alignment horizontal="center"/>
    </xf>
    <xf numFmtId="0" fontId="29" fillId="9" borderId="2" xfId="49" applyFont="1" applyFill="1" applyBorder="1" applyAlignment="1" applyProtection="1">
      <alignment horizontal="center"/>
    </xf>
    <xf numFmtId="0" fontId="29" fillId="9" borderId="3" xfId="49" applyFont="1" applyFill="1" applyBorder="1" applyAlignment="1" applyProtection="1">
      <alignment horizontal="center"/>
    </xf>
    <xf numFmtId="1" fontId="29" fillId="9" borderId="3" xfId="55" applyFont="1" applyFill="1" applyBorder="1"/>
    <xf numFmtId="1" fontId="27" fillId="9" borderId="3" xfId="55" applyFont="1" applyFill="1" applyBorder="1"/>
    <xf numFmtId="0" fontId="27" fillId="9" borderId="7" xfId="49" applyFont="1" applyFill="1" applyBorder="1" applyProtection="1"/>
    <xf numFmtId="0" fontId="27" fillId="9" borderId="2" xfId="49" applyFont="1" applyFill="1" applyBorder="1" applyAlignment="1" applyProtection="1">
      <alignment horizontal="center"/>
    </xf>
    <xf numFmtId="0" fontId="27" fillId="9" borderId="2" xfId="49" applyFont="1" applyFill="1" applyBorder="1" applyAlignment="1" applyProtection="1">
      <alignment horizontal="left"/>
    </xf>
    <xf numFmtId="0" fontId="27" fillId="12" borderId="2" xfId="49" applyFont="1" applyFill="1" applyBorder="1" applyProtection="1"/>
    <xf numFmtId="177" fontId="27" fillId="12" borderId="2" xfId="1" applyNumberFormat="1" applyFont="1" applyFill="1" applyBorder="1" applyAlignment="1" applyProtection="1"/>
    <xf numFmtId="0" fontId="27" fillId="9" borderId="2" xfId="49" applyFont="1" applyFill="1" applyBorder="1" applyProtection="1"/>
    <xf numFmtId="177" fontId="27" fillId="9" borderId="2" xfId="1" applyNumberFormat="1" applyFont="1" applyFill="1" applyBorder="1" applyAlignment="1" applyProtection="1"/>
    <xf numFmtId="0" fontId="27" fillId="9" borderId="2" xfId="49" applyNumberFormat="1" applyFont="1" applyFill="1" applyBorder="1" applyAlignment="1" applyProtection="1">
      <alignment horizontal="left"/>
    </xf>
    <xf numFmtId="1" fontId="27" fillId="9" borderId="2" xfId="49" applyNumberFormat="1" applyFont="1" applyFill="1" applyBorder="1" applyProtection="1"/>
    <xf numFmtId="1" fontId="27" fillId="9" borderId="2" xfId="49" applyNumberFormat="1" applyFont="1" applyFill="1" applyBorder="1" applyAlignment="1" applyProtection="1">
      <alignment horizontal="left"/>
    </xf>
    <xf numFmtId="0" fontId="27" fillId="9" borderId="8" xfId="49" applyFont="1" applyFill="1" applyBorder="1" applyProtection="1"/>
    <xf numFmtId="0" fontId="27" fillId="9" borderId="13" xfId="49" applyFont="1" applyFill="1" applyBorder="1" applyProtection="1"/>
    <xf numFmtId="0" fontId="27" fillId="9" borderId="11" xfId="49" applyFont="1" applyFill="1" applyBorder="1" applyProtection="1"/>
    <xf numFmtId="0" fontId="27" fillId="9" borderId="0" xfId="49" applyFont="1" applyFill="1" applyBorder="1" applyProtection="1"/>
    <xf numFmtId="180" fontId="27" fillId="9" borderId="0" xfId="49" applyNumberFormat="1" applyFont="1" applyFill="1" applyBorder="1" applyProtection="1"/>
    <xf numFmtId="10" fontId="27" fillId="9" borderId="0" xfId="49" applyNumberFormat="1" applyFont="1" applyFill="1" applyBorder="1" applyProtection="1"/>
    <xf numFmtId="1" fontId="27" fillId="9" borderId="0" xfId="49" applyNumberFormat="1" applyFont="1" applyFill="1" applyBorder="1" applyProtection="1"/>
    <xf numFmtId="0" fontId="27" fillId="9" borderId="14" xfId="49" applyFont="1" applyFill="1" applyBorder="1" applyProtection="1"/>
    <xf numFmtId="0" fontId="27" fillId="9" borderId="1" xfId="49" applyFont="1" applyFill="1" applyBorder="1" applyProtection="1"/>
    <xf numFmtId="2" fontId="27" fillId="9" borderId="1" xfId="49" applyNumberFormat="1" applyFont="1" applyFill="1" applyBorder="1" applyProtection="1"/>
    <xf numFmtId="0" fontId="27" fillId="9" borderId="4" xfId="49" applyFont="1" applyFill="1" applyBorder="1"/>
    <xf numFmtId="1" fontId="27" fillId="9" borderId="7" xfId="55" applyFont="1" applyFill="1" applyBorder="1" applyAlignment="1">
      <alignment horizontal="center"/>
    </xf>
    <xf numFmtId="0" fontId="27" fillId="9" borderId="9" xfId="49" applyFont="1" applyFill="1" applyBorder="1" applyProtection="1"/>
    <xf numFmtId="0" fontId="27" fillId="9" borderId="15" xfId="49" applyFont="1" applyFill="1" applyBorder="1" applyProtection="1"/>
    <xf numFmtId="0" fontId="27" fillId="9" borderId="16" xfId="49" applyFont="1" applyFill="1" applyBorder="1" applyProtection="1"/>
    <xf numFmtId="0" fontId="38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 applyBorder="1">
      <alignment vertical="center"/>
    </xf>
    <xf numFmtId="0" fontId="32" fillId="0" borderId="0" xfId="0" applyFont="1">
      <alignment vertical="center"/>
    </xf>
    <xf numFmtId="43" fontId="32" fillId="0" borderId="0" xfId="1" applyFont="1">
      <alignment vertical="center"/>
    </xf>
    <xf numFmtId="0" fontId="39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43" fontId="40" fillId="0" borderId="2" xfId="1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/>
    </xf>
    <xf numFmtId="177" fontId="32" fillId="0" borderId="2" xfId="1" applyNumberFormat="1" applyFont="1" applyFill="1" applyBorder="1" applyAlignment="1">
      <alignment horizontal="center" vertical="center"/>
    </xf>
    <xf numFmtId="177" fontId="31" fillId="0" borderId="2" xfId="1" applyNumberFormat="1" applyFont="1" applyFill="1" applyBorder="1" applyAlignment="1">
      <alignment horizontal="center" vertical="center"/>
    </xf>
    <xf numFmtId="0" fontId="32" fillId="8" borderId="2" xfId="0" applyFont="1" applyFill="1" applyBorder="1">
      <alignment vertical="center"/>
    </xf>
    <xf numFmtId="0" fontId="35" fillId="12" borderId="2" xfId="0" applyFont="1" applyFill="1" applyBorder="1">
      <alignment vertical="center"/>
    </xf>
    <xf numFmtId="177" fontId="31" fillId="12" borderId="2" xfId="1" applyNumberFormat="1" applyFont="1" applyFill="1" applyBorder="1" applyAlignment="1">
      <alignment horizontal="center" vertical="center"/>
    </xf>
    <xf numFmtId="0" fontId="41" fillId="0" borderId="2" xfId="0" applyFont="1" applyFill="1" applyBorder="1">
      <alignment vertical="center"/>
    </xf>
    <xf numFmtId="0" fontId="32" fillId="0" borderId="2" xfId="0" applyFont="1" applyBorder="1">
      <alignment vertical="center"/>
    </xf>
    <xf numFmtId="10" fontId="31" fillId="0" borderId="2" xfId="3" applyNumberFormat="1" applyFont="1" applyBorder="1" applyAlignment="1">
      <alignment vertical="center"/>
    </xf>
    <xf numFmtId="43" fontId="31" fillId="0" borderId="2" xfId="3" applyNumberFormat="1" applyFont="1" applyBorder="1" applyAlignment="1">
      <alignment vertical="center"/>
    </xf>
    <xf numFmtId="177" fontId="31" fillId="0" borderId="2" xfId="1" applyNumberFormat="1" applyFont="1" applyBorder="1" applyAlignment="1">
      <alignment horizontal="center" vertical="center"/>
    </xf>
    <xf numFmtId="43" fontId="31" fillId="0" borderId="2" xfId="1" applyFont="1" applyFill="1" applyBorder="1" applyAlignment="1">
      <alignment horizontal="center" vertical="center"/>
    </xf>
    <xf numFmtId="0" fontId="41" fillId="12" borderId="2" xfId="0" applyFont="1" applyFill="1" applyBorder="1">
      <alignment vertical="center"/>
    </xf>
    <xf numFmtId="177" fontId="32" fillId="0" borderId="2" xfId="1" applyNumberFormat="1" applyFont="1" applyBorder="1" applyAlignment="1">
      <alignment horizontal="center" vertical="center"/>
    </xf>
    <xf numFmtId="10" fontId="32" fillId="0" borderId="2" xfId="3" applyNumberFormat="1" applyFont="1" applyBorder="1">
      <alignment vertical="center"/>
    </xf>
    <xf numFmtId="10" fontId="32" fillId="0" borderId="0" xfId="3" applyNumberFormat="1" applyFont="1" applyBorder="1">
      <alignment vertical="center"/>
    </xf>
    <xf numFmtId="43" fontId="32" fillId="0" borderId="0" xfId="1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10" fontId="32" fillId="0" borderId="2" xfId="3" applyNumberFormat="1" applyFont="1" applyFill="1" applyBorder="1" applyAlignment="1">
      <alignment horizontal="center" vertical="center"/>
    </xf>
    <xf numFmtId="177" fontId="32" fillId="5" borderId="2" xfId="1" applyNumberFormat="1" applyFont="1" applyFill="1" applyBorder="1" applyAlignment="1">
      <alignment horizontal="center" vertical="center"/>
    </xf>
    <xf numFmtId="10" fontId="32" fillId="0" borderId="2" xfId="3" applyNumberFormat="1" applyFont="1" applyFill="1" applyBorder="1">
      <alignment vertical="center"/>
    </xf>
    <xf numFmtId="0" fontId="35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 wrapText="1"/>
    </xf>
    <xf numFmtId="43" fontId="32" fillId="0" borderId="2" xfId="1" applyFont="1" applyBorder="1">
      <alignment vertical="center"/>
    </xf>
    <xf numFmtId="177" fontId="32" fillId="0" borderId="2" xfId="1" applyNumberFormat="1" applyFont="1" applyBorder="1">
      <alignment vertical="center"/>
    </xf>
    <xf numFmtId="43" fontId="32" fillId="0" borderId="0" xfId="0" applyNumberFormat="1" applyFont="1" applyFill="1" applyBorder="1">
      <alignment vertical="center"/>
    </xf>
    <xf numFmtId="0" fontId="31" fillId="0" borderId="2" xfId="0" applyFont="1" applyBorder="1">
      <alignment vertical="center"/>
    </xf>
    <xf numFmtId="0" fontId="41" fillId="0" borderId="2" xfId="0" applyFont="1" applyBorder="1">
      <alignment vertical="center"/>
    </xf>
    <xf numFmtId="0" fontId="32" fillId="0" borderId="6" xfId="0" applyFont="1" applyBorder="1">
      <alignment vertical="center"/>
    </xf>
    <xf numFmtId="0" fontId="42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 readingOrder="1"/>
    </xf>
    <xf numFmtId="0" fontId="42" fillId="0" borderId="0" xfId="0" applyFont="1" applyFill="1">
      <alignment vertical="center"/>
    </xf>
    <xf numFmtId="0" fontId="23" fillId="0" borderId="2" xfId="0" applyFont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left" vertical="center" wrapText="1" readingOrder="1"/>
    </xf>
    <xf numFmtId="0" fontId="23" fillId="0" borderId="6" xfId="0" applyFont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left" vertical="center" wrapText="1" readingOrder="1"/>
    </xf>
    <xf numFmtId="0" fontId="23" fillId="0" borderId="10" xfId="0" applyFont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 wrapText="1" readingOrder="1"/>
    </xf>
    <xf numFmtId="0" fontId="16" fillId="0" borderId="0" xfId="0" applyFont="1" applyFill="1" applyBorder="1" applyAlignment="1">
      <alignment horizontal="left" vertical="center" wrapText="1" readingOrder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 2 27" xfId="53"/>
    <cellStyle name="常规_20061221C2项目损益分析（概念稿）" xfId="54"/>
    <cellStyle name="普通_销售收入.XLS" xfId="55"/>
    <cellStyle name="千位分隔 2" xfId="56"/>
    <cellStyle name="千位分隔 2 25" xfId="57"/>
    <cellStyle name="样式 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zoomScale="80" zoomScaleNormal="80" workbookViewId="0">
      <selection activeCell="C8" sqref="C8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1" ht="25.5" customHeight="1" spans="1:3">
      <c r="A1" s="288" t="str">
        <f>损益表!A1</f>
        <v>豪瀚MAX座椅项目投资收益分析</v>
      </c>
      <c r="B1" s="289"/>
      <c r="C1" s="289"/>
    </row>
    <row r="2" s="287" customFormat="1" ht="35.25" customHeight="1" spans="1:4">
      <c r="A2" s="290" t="s">
        <v>0</v>
      </c>
      <c r="B2" s="290" t="s">
        <v>1</v>
      </c>
      <c r="C2" s="290" t="s">
        <v>2</v>
      </c>
      <c r="D2" s="291"/>
    </row>
    <row r="3" s="287" customFormat="1" ht="33.75" customHeight="1" spans="1:4">
      <c r="A3" s="292">
        <v>1</v>
      </c>
      <c r="B3" s="292" t="s">
        <v>3</v>
      </c>
      <c r="C3" s="293" t="s">
        <v>4</v>
      </c>
      <c r="D3" s="291"/>
    </row>
    <row r="4" s="287" customFormat="1" ht="33.75" customHeight="1" spans="1:3">
      <c r="A4" s="292">
        <v>2</v>
      </c>
      <c r="B4" s="292" t="s">
        <v>5</v>
      </c>
      <c r="C4" s="293" t="s">
        <v>6</v>
      </c>
    </row>
    <row r="5" s="287" customFormat="1" ht="33.75" customHeight="1" spans="1:3">
      <c r="A5" s="292">
        <v>3</v>
      </c>
      <c r="B5" s="294" t="s">
        <v>7</v>
      </c>
      <c r="C5" s="295" t="s">
        <v>8</v>
      </c>
    </row>
    <row r="6" s="287" customFormat="1" ht="33.75" customHeight="1" spans="1:3">
      <c r="A6" s="292">
        <v>4</v>
      </c>
      <c r="B6" s="296"/>
      <c r="C6" s="293" t="s">
        <v>9</v>
      </c>
    </row>
    <row r="7" s="287" customFormat="1" ht="33.75" customHeight="1" spans="1:3">
      <c r="A7" s="292">
        <v>5</v>
      </c>
      <c r="B7" s="297" t="s">
        <v>10</v>
      </c>
      <c r="C7" s="293" t="s">
        <v>11</v>
      </c>
    </row>
    <row r="8" s="287" customFormat="1" ht="33.75" customHeight="1" spans="1:3">
      <c r="A8" s="292">
        <v>6</v>
      </c>
      <c r="B8" s="294" t="s">
        <v>12</v>
      </c>
      <c r="C8" s="293" t="s">
        <v>13</v>
      </c>
    </row>
    <row r="9" s="287" customFormat="1" ht="33.75" customHeight="1" spans="1:3">
      <c r="A9" s="292">
        <v>7</v>
      </c>
      <c r="B9" s="296"/>
      <c r="C9" s="293" t="s">
        <v>14</v>
      </c>
    </row>
    <row r="10" s="287" customFormat="1" ht="33.75" customHeight="1" spans="1:3">
      <c r="A10" s="292">
        <v>8</v>
      </c>
      <c r="B10" s="296"/>
      <c r="C10" s="295" t="s">
        <v>15</v>
      </c>
    </row>
    <row r="11" s="287" customFormat="1" ht="33.75" customHeight="1" spans="1:3">
      <c r="A11" s="292">
        <v>9</v>
      </c>
      <c r="B11" s="296"/>
      <c r="C11" s="293" t="s">
        <v>16</v>
      </c>
    </row>
    <row r="12" s="287" customFormat="1" ht="33.75" customHeight="1" spans="1:3">
      <c r="A12" s="292">
        <v>10</v>
      </c>
      <c r="B12" s="297" t="s">
        <v>17</v>
      </c>
      <c r="C12" s="293" t="s">
        <v>18</v>
      </c>
    </row>
    <row r="13" ht="33.75" customHeight="1"/>
    <row r="14" ht="33.75" customHeight="1"/>
    <row r="15" ht="33.75" customHeight="1" spans="3:3">
      <c r="C15" s="298"/>
    </row>
  </sheetData>
  <mergeCells count="3">
    <mergeCell ref="A1:C1"/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60" zoomScaleNormal="60" workbookViewId="0">
      <selection activeCell="H27" sqref="H27"/>
    </sheetView>
  </sheetViews>
  <sheetFormatPr defaultColWidth="9" defaultRowHeight="19"/>
  <cols>
    <col min="1" max="1" width="14" style="85" customWidth="1"/>
    <col min="2" max="2" width="14.1272727272727" style="85" customWidth="1"/>
    <col min="3" max="4" width="22.8727272727273" style="85" customWidth="1"/>
    <col min="5" max="11" width="18.2545454545455" style="85" customWidth="1"/>
    <col min="12" max="12" width="11.6272727272727" style="85" customWidth="1"/>
    <col min="13" max="13" width="15.6272727272727" style="85" customWidth="1"/>
    <col min="14" max="14" width="12.2545454545455" style="85" customWidth="1"/>
    <col min="15" max="16384" width="9" style="85"/>
  </cols>
  <sheetData>
    <row r="1" ht="29.25" customHeight="1" spans="1:12">
      <c r="A1" s="86" t="s">
        <v>215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ht="24" customHeight="1" spans="1:12">
      <c r="A2" s="87" t="s">
        <v>216</v>
      </c>
      <c r="E2" s="88"/>
      <c r="F2" s="88"/>
      <c r="G2" s="88"/>
      <c r="H2" s="88"/>
      <c r="I2" s="88"/>
      <c r="J2" s="88"/>
      <c r="K2" s="88"/>
      <c r="L2" s="88"/>
    </row>
    <row r="3" spans="3:8">
      <c r="C3" s="85" t="s">
        <v>217</v>
      </c>
      <c r="D3" s="89" t="s">
        <v>218</v>
      </c>
      <c r="E3" s="90">
        <v>0.04</v>
      </c>
      <c r="F3" s="91"/>
      <c r="G3" s="91"/>
      <c r="H3" s="91"/>
    </row>
    <row r="4" spans="11:11">
      <c r="K4" s="119"/>
    </row>
    <row r="5" ht="45" customHeight="1" spans="1:12">
      <c r="A5" s="92" t="s">
        <v>219</v>
      </c>
      <c r="B5" s="93" t="s">
        <v>157</v>
      </c>
      <c r="C5" s="94" t="s">
        <v>220</v>
      </c>
      <c r="D5" s="94" t="s">
        <v>221</v>
      </c>
      <c r="E5" s="72"/>
      <c r="F5" s="95"/>
      <c r="G5" s="96"/>
      <c r="H5" s="96"/>
      <c r="I5" s="96"/>
      <c r="J5" s="96"/>
      <c r="K5" s="120"/>
      <c r="L5" s="112" t="s">
        <v>27</v>
      </c>
    </row>
    <row r="6" ht="31.5" customHeight="1" spans="1:14">
      <c r="A6" s="92"/>
      <c r="B6" s="93" t="s">
        <v>158</v>
      </c>
      <c r="C6" s="97" t="s">
        <v>222</v>
      </c>
      <c r="D6" s="97" t="s">
        <v>223</v>
      </c>
      <c r="E6" s="72"/>
      <c r="F6" s="95"/>
      <c r="G6" s="96"/>
      <c r="H6" s="96"/>
      <c r="I6" s="96"/>
      <c r="J6" s="96"/>
      <c r="K6" s="121"/>
      <c r="L6" s="112"/>
      <c r="N6" s="85">
        <v>100</v>
      </c>
    </row>
    <row r="7" ht="32.25" customHeight="1" spans="1:15">
      <c r="A7" s="92"/>
      <c r="B7" s="98" t="s">
        <v>224</v>
      </c>
      <c r="C7" s="99" t="s">
        <v>225</v>
      </c>
      <c r="D7" s="100" t="s">
        <v>226</v>
      </c>
      <c r="E7" s="101"/>
      <c r="F7" s="95"/>
      <c r="G7" s="96"/>
      <c r="H7" s="96"/>
      <c r="I7" s="96"/>
      <c r="J7" s="96"/>
      <c r="K7" s="121"/>
      <c r="L7" s="112"/>
      <c r="N7" s="85">
        <f>N6*(1-$E$3)</f>
        <v>96</v>
      </c>
      <c r="O7" s="85">
        <f>N7/$N$6</f>
        <v>0.96</v>
      </c>
    </row>
    <row r="8" ht="57" spans="1:15">
      <c r="A8" s="92"/>
      <c r="B8" s="102" t="s">
        <v>227</v>
      </c>
      <c r="C8" s="100">
        <v>1180</v>
      </c>
      <c r="D8" s="100">
        <v>470</v>
      </c>
      <c r="E8" s="103"/>
      <c r="F8" s="104"/>
      <c r="G8" s="105"/>
      <c r="H8" s="105"/>
      <c r="I8" s="105"/>
      <c r="J8" s="105"/>
      <c r="K8" s="121"/>
      <c r="L8" s="112"/>
      <c r="M8" s="118">
        <f>SUM(C8:K8)</f>
        <v>1650</v>
      </c>
      <c r="N8" s="85">
        <f>N7*(1-$E$3)</f>
        <v>92.16</v>
      </c>
      <c r="O8" s="85">
        <f t="shared" ref="O8:O9" si="0">N8/$N$6</f>
        <v>0.9216</v>
      </c>
    </row>
    <row r="9" spans="1:15">
      <c r="A9" s="92" t="s">
        <v>228</v>
      </c>
      <c r="B9" s="92" t="s">
        <v>74</v>
      </c>
      <c r="C9" s="100">
        <v>1500</v>
      </c>
      <c r="D9" s="100">
        <v>1500</v>
      </c>
      <c r="E9" s="106"/>
      <c r="F9" s="107"/>
      <c r="G9" s="107"/>
      <c r="H9" s="107"/>
      <c r="I9" s="107"/>
      <c r="J9" s="107"/>
      <c r="K9" s="111"/>
      <c r="L9" s="122">
        <f>SUM(C9:K9)</f>
        <v>3000</v>
      </c>
      <c r="N9" s="85">
        <f t="shared" ref="N9" si="1">N8*(1-$E$3)</f>
        <v>88.4736</v>
      </c>
      <c r="O9" s="85">
        <f t="shared" si="0"/>
        <v>0.884736</v>
      </c>
    </row>
    <row r="10" spans="1:12">
      <c r="A10" s="92"/>
      <c r="B10" s="92" t="s">
        <v>75</v>
      </c>
      <c r="C10" s="108">
        <v>3000</v>
      </c>
      <c r="D10" s="108">
        <v>3000</v>
      </c>
      <c r="E10" s="106"/>
      <c r="F10" s="107"/>
      <c r="G10" s="107"/>
      <c r="H10" s="107"/>
      <c r="I10" s="107"/>
      <c r="J10" s="107"/>
      <c r="K10" s="123"/>
      <c r="L10" s="122">
        <f t="shared" ref="L10:L14" si="2">SUM(C10:K10)</f>
        <v>6000</v>
      </c>
    </row>
    <row r="11" spans="1:12">
      <c r="A11" s="92"/>
      <c r="B11" s="92" t="s">
        <v>76</v>
      </c>
      <c r="C11" s="108">
        <v>4000</v>
      </c>
      <c r="D11" s="108">
        <v>4000</v>
      </c>
      <c r="E11" s="106"/>
      <c r="F11" s="107"/>
      <c r="G11" s="107"/>
      <c r="H11" s="107"/>
      <c r="I11" s="107"/>
      <c r="J11" s="107"/>
      <c r="K11" s="111"/>
      <c r="L11" s="122">
        <f t="shared" si="2"/>
        <v>8000</v>
      </c>
    </row>
    <row r="12" spans="1:12">
      <c r="A12" s="92"/>
      <c r="B12" s="92" t="s">
        <v>77</v>
      </c>
      <c r="C12" s="109"/>
      <c r="D12" s="109"/>
      <c r="E12" s="106"/>
      <c r="F12" s="107"/>
      <c r="G12" s="107"/>
      <c r="H12" s="107"/>
      <c r="I12" s="107"/>
      <c r="J12" s="107"/>
      <c r="K12" s="124"/>
      <c r="L12" s="122">
        <f t="shared" si="2"/>
        <v>0</v>
      </c>
    </row>
    <row r="13" spans="1:12">
      <c r="A13" s="92"/>
      <c r="B13" s="92" t="s">
        <v>78</v>
      </c>
      <c r="C13" s="109"/>
      <c r="D13" s="109"/>
      <c r="E13" s="109"/>
      <c r="F13" s="107"/>
      <c r="G13" s="107"/>
      <c r="H13" s="107"/>
      <c r="I13" s="107"/>
      <c r="J13" s="107"/>
      <c r="K13" s="124"/>
      <c r="L13" s="122">
        <f t="shared" si="2"/>
        <v>0</v>
      </c>
    </row>
    <row r="14" spans="1:12">
      <c r="A14" s="92"/>
      <c r="B14" s="92" t="s">
        <v>229</v>
      </c>
      <c r="C14" s="110"/>
      <c r="D14" s="110"/>
      <c r="E14" s="110"/>
      <c r="F14" s="111"/>
      <c r="G14" s="111"/>
      <c r="H14" s="111"/>
      <c r="I14" s="111"/>
      <c r="J14" s="111"/>
      <c r="K14" s="111"/>
      <c r="L14" s="122">
        <f t="shared" si="2"/>
        <v>0</v>
      </c>
    </row>
    <row r="15" spans="1:12">
      <c r="A15" s="112" t="s">
        <v>27</v>
      </c>
      <c r="B15" s="112"/>
      <c r="C15" s="113">
        <f>SUM(C9:C14)</f>
        <v>8500</v>
      </c>
      <c r="D15" s="113">
        <f>SUM(D9:D14)</f>
        <v>8500</v>
      </c>
      <c r="E15" s="113">
        <f t="shared" ref="E15:L15" si="3">SUM(E9:E14)</f>
        <v>0</v>
      </c>
      <c r="F15" s="113">
        <f t="shared" si="3"/>
        <v>0</v>
      </c>
      <c r="G15" s="113">
        <f t="shared" si="3"/>
        <v>0</v>
      </c>
      <c r="H15" s="113">
        <f t="shared" si="3"/>
        <v>0</v>
      </c>
      <c r="I15" s="113">
        <f t="shared" si="3"/>
        <v>0</v>
      </c>
      <c r="J15" s="113">
        <f t="shared" si="3"/>
        <v>0</v>
      </c>
      <c r="K15" s="113">
        <f t="shared" si="3"/>
        <v>0</v>
      </c>
      <c r="L15" s="113">
        <f t="shared" si="3"/>
        <v>17000</v>
      </c>
    </row>
    <row r="16" spans="1:3">
      <c r="A16" s="114"/>
      <c r="B16" s="114"/>
      <c r="C16" s="114"/>
    </row>
    <row r="17" ht="29.25" customHeight="1" spans="2:14">
      <c r="B17" s="115" t="s">
        <v>230</v>
      </c>
      <c r="C17" s="116">
        <f>材料成本!D12</f>
        <v>750.33</v>
      </c>
      <c r="D17" s="116">
        <f>材料成本!E12</f>
        <v>393.88</v>
      </c>
      <c r="E17" s="116"/>
      <c r="F17" s="116"/>
      <c r="G17" s="116"/>
      <c r="H17" s="116"/>
      <c r="I17" s="116"/>
      <c r="J17" s="116"/>
      <c r="K17" s="115"/>
      <c r="L17" s="115"/>
      <c r="M17" s="114"/>
      <c r="N17" s="118"/>
    </row>
    <row r="18" ht="29.25" customHeight="1" spans="2:14">
      <c r="B18" s="115" t="s">
        <v>80</v>
      </c>
      <c r="C18" s="116">
        <f>C8-C17</f>
        <v>429.67</v>
      </c>
      <c r="D18" s="116">
        <f t="shared" ref="D18:J18" si="4">D8-D17</f>
        <v>76.12</v>
      </c>
      <c r="E18" s="116"/>
      <c r="F18" s="116">
        <f t="shared" si="4"/>
        <v>0</v>
      </c>
      <c r="G18" s="116">
        <f t="shared" si="4"/>
        <v>0</v>
      </c>
      <c r="H18" s="116">
        <f t="shared" si="4"/>
        <v>0</v>
      </c>
      <c r="I18" s="116">
        <f t="shared" si="4"/>
        <v>0</v>
      </c>
      <c r="J18" s="116">
        <f t="shared" si="4"/>
        <v>0</v>
      </c>
      <c r="K18" s="115"/>
      <c r="L18" s="115"/>
      <c r="M18" s="114"/>
      <c r="N18" s="118"/>
    </row>
    <row r="19" ht="29.25" customHeight="1" spans="2:14">
      <c r="B19" s="115" t="s">
        <v>231</v>
      </c>
      <c r="C19" s="117">
        <f>C18/C8</f>
        <v>0.364127118644068</v>
      </c>
      <c r="D19" s="117">
        <f t="shared" ref="D19:J19" si="5">D18/D8</f>
        <v>0.161957446808511</v>
      </c>
      <c r="E19" s="117" t="e">
        <f t="shared" si="5"/>
        <v>#DIV/0!</v>
      </c>
      <c r="F19" s="117" t="e">
        <f t="shared" si="5"/>
        <v>#DIV/0!</v>
      </c>
      <c r="G19" s="117" t="e">
        <f t="shared" si="5"/>
        <v>#DIV/0!</v>
      </c>
      <c r="H19" s="117" t="e">
        <f t="shared" si="5"/>
        <v>#DIV/0!</v>
      </c>
      <c r="I19" s="117" t="e">
        <f t="shared" si="5"/>
        <v>#DIV/0!</v>
      </c>
      <c r="J19" s="117" t="e">
        <f t="shared" si="5"/>
        <v>#DIV/0!</v>
      </c>
      <c r="K19" s="115"/>
      <c r="L19" s="115"/>
      <c r="M19" s="125"/>
      <c r="N19" s="125"/>
    </row>
    <row r="21" spans="2:13">
      <c r="B21" s="85" t="s">
        <v>232</v>
      </c>
      <c r="C21" s="118">
        <f>C8*0.7</f>
        <v>826</v>
      </c>
      <c r="D21" s="118">
        <f>D8*0.7</f>
        <v>329</v>
      </c>
      <c r="E21" s="118">
        <f>E8*0.7</f>
        <v>0</v>
      </c>
      <c r="M21" s="118"/>
    </row>
    <row r="22" spans="2:13">
      <c r="B22" s="85" t="s">
        <v>233</v>
      </c>
      <c r="C22" s="118">
        <f>C17-C21</f>
        <v>-75.67</v>
      </c>
      <c r="D22" s="118">
        <f>D17-D21</f>
        <v>64.88</v>
      </c>
      <c r="E22" s="118">
        <f>E17-E21</f>
        <v>0</v>
      </c>
      <c r="M22" s="118"/>
    </row>
  </sheetData>
  <mergeCells count="5">
    <mergeCell ref="A1:L1"/>
    <mergeCell ref="A15:B15"/>
    <mergeCell ref="A5:A8"/>
    <mergeCell ref="A9:A14"/>
    <mergeCell ref="L5:L8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pane xSplit="3" ySplit="5" topLeftCell="D6" activePane="bottomRight" state="frozen"/>
      <selection/>
      <selection pane="topRight"/>
      <selection pane="bottomLeft"/>
      <selection pane="bottomRight" activeCell="G21" sqref="G21"/>
    </sheetView>
  </sheetViews>
  <sheetFormatPr defaultColWidth="9" defaultRowHeight="16.5"/>
  <cols>
    <col min="1" max="1" width="8.37272727272727" style="42" customWidth="1"/>
    <col min="2" max="2" width="8.87272727272727" style="42" customWidth="1"/>
    <col min="3" max="3" width="14" style="42" customWidth="1"/>
    <col min="4" max="4" width="16.6272727272727" style="42" customWidth="1"/>
    <col min="5" max="5" width="17" style="42" customWidth="1"/>
    <col min="6" max="11" width="16.2545454545455" style="42" customWidth="1"/>
    <col min="12" max="12" width="17.1272727272727" style="42" customWidth="1"/>
    <col min="13" max="13" width="17.3727272727273" style="42" customWidth="1"/>
    <col min="14" max="14" width="16" style="42" customWidth="1"/>
    <col min="15" max="16384" width="9" style="42"/>
  </cols>
  <sheetData>
    <row r="1" s="40" customFormat="1" ht="28.5" customHeight="1" spans="1:14">
      <c r="A1" s="43" t="s">
        <v>7</v>
      </c>
      <c r="B1" s="43"/>
      <c r="C1" s="43"/>
      <c r="N1" s="74"/>
    </row>
    <row r="2" spans="1:13">
      <c r="A2" s="44" t="s">
        <v>234</v>
      </c>
      <c r="B2" s="44"/>
      <c r="C2" s="45"/>
      <c r="D2" s="45"/>
      <c r="E2" s="46" t="s">
        <v>235</v>
      </c>
      <c r="F2" s="47"/>
      <c r="G2" s="47"/>
      <c r="H2" s="47"/>
      <c r="I2" s="47"/>
      <c r="J2" s="47"/>
      <c r="K2" s="47"/>
      <c r="L2" s="47"/>
      <c r="M2" s="75"/>
    </row>
    <row r="3" ht="24" customHeight="1" spans="1:13">
      <c r="A3" s="48" t="s">
        <v>21</v>
      </c>
      <c r="B3" s="48" t="s">
        <v>236</v>
      </c>
      <c r="C3" s="48" t="s">
        <v>237</v>
      </c>
      <c r="D3" s="49" t="str">
        <f>损益表!A1</f>
        <v>豪瀚MAX座椅项目投资收益分析</v>
      </c>
      <c r="E3" s="49"/>
      <c r="F3" s="48" t="s">
        <v>238</v>
      </c>
      <c r="G3" s="50" t="s">
        <v>239</v>
      </c>
      <c r="H3" s="50"/>
      <c r="I3" s="50"/>
      <c r="J3" s="50"/>
      <c r="K3" s="50"/>
      <c r="L3" s="76"/>
      <c r="M3" s="77" t="s">
        <v>173</v>
      </c>
    </row>
    <row r="4" ht="49.5" spans="1:13">
      <c r="A4" s="48"/>
      <c r="B4" s="48"/>
      <c r="C4" s="48" t="s">
        <v>157</v>
      </c>
      <c r="D4" s="51" t="str">
        <f>销量!C5</f>
        <v>MAX左座椅总成（TX平台 空气减震）</v>
      </c>
      <c r="E4" s="51" t="str">
        <f>销量!D5</f>
        <v>MAX右座椅总成（TX平台 简易版 无</v>
      </c>
      <c r="F4" s="51">
        <f>销量!E5</f>
        <v>0</v>
      </c>
      <c r="G4" s="51">
        <f>销量!F5</f>
        <v>0</v>
      </c>
      <c r="H4" s="51">
        <f>销量!G5</f>
        <v>0</v>
      </c>
      <c r="I4" s="51">
        <f>销量!H5</f>
        <v>0</v>
      </c>
      <c r="J4" s="51">
        <f>销量!I5</f>
        <v>0</v>
      </c>
      <c r="K4" s="51">
        <f>销量!J5</f>
        <v>0</v>
      </c>
      <c r="L4" s="51"/>
      <c r="M4" s="78"/>
    </row>
    <row r="5" ht="33" spans="1:13">
      <c r="A5" s="48"/>
      <c r="B5" s="48"/>
      <c r="C5" s="48" t="s">
        <v>240</v>
      </c>
      <c r="D5" s="52" t="str">
        <f>销量!C6</f>
        <v>YZ167151000039</v>
      </c>
      <c r="E5" s="52" t="str">
        <f>销量!D6</f>
        <v>YZ167151000040</v>
      </c>
      <c r="F5" s="52">
        <f>销量!E6</f>
        <v>0</v>
      </c>
      <c r="G5" s="52">
        <f>销量!F6</f>
        <v>0</v>
      </c>
      <c r="H5" s="52">
        <f>销量!G6</f>
        <v>0</v>
      </c>
      <c r="I5" s="52">
        <f>销量!H6</f>
        <v>0</v>
      </c>
      <c r="J5" s="52">
        <f>销量!I6</f>
        <v>0</v>
      </c>
      <c r="K5" s="52">
        <f>销量!J6</f>
        <v>0</v>
      </c>
      <c r="L5" s="52"/>
      <c r="M5" s="79"/>
    </row>
    <row r="6" s="41" customFormat="1" ht="38.25" customHeight="1" spans="1:13">
      <c r="A6" s="53">
        <v>1</v>
      </c>
      <c r="B6" s="54"/>
      <c r="C6" s="55"/>
      <c r="D6" s="56">
        <v>750.33</v>
      </c>
      <c r="E6" s="56">
        <v>393.88</v>
      </c>
      <c r="F6" s="56"/>
      <c r="G6" s="56"/>
      <c r="H6" s="56"/>
      <c r="I6" s="56"/>
      <c r="J6" s="56"/>
      <c r="K6" s="56"/>
      <c r="L6" s="58"/>
      <c r="M6" s="11" t="s">
        <v>241</v>
      </c>
    </row>
    <row r="7" s="41" customFormat="1" customHeight="1" spans="1:13">
      <c r="A7" s="53">
        <v>2</v>
      </c>
      <c r="B7" s="54"/>
      <c r="C7" s="55"/>
      <c r="D7" s="57"/>
      <c r="E7" s="57"/>
      <c r="F7" s="57"/>
      <c r="G7" s="57"/>
      <c r="H7" s="57"/>
      <c r="I7" s="57"/>
      <c r="J7" s="57"/>
      <c r="K7" s="57"/>
      <c r="L7" s="57"/>
      <c r="M7" s="80"/>
    </row>
    <row r="8" s="41" customFormat="1" customHeight="1" spans="1:13">
      <c r="A8" s="53">
        <v>3</v>
      </c>
      <c r="B8" s="54"/>
      <c r="C8" s="55"/>
      <c r="D8" s="58"/>
      <c r="E8" s="57"/>
      <c r="F8" s="58"/>
      <c r="G8" s="58"/>
      <c r="H8" s="58"/>
      <c r="I8" s="58"/>
      <c r="J8" s="58"/>
      <c r="K8" s="58"/>
      <c r="L8" s="57"/>
      <c r="M8" s="80"/>
    </row>
    <row r="9" s="41" customFormat="1" spans="1:13">
      <c r="A9" s="53">
        <v>4</v>
      </c>
      <c r="B9" s="54"/>
      <c r="C9" s="55"/>
      <c r="D9" s="58"/>
      <c r="E9" s="57"/>
      <c r="F9" s="58"/>
      <c r="G9" s="58"/>
      <c r="H9" s="58"/>
      <c r="I9" s="58"/>
      <c r="J9" s="58"/>
      <c r="K9" s="58"/>
      <c r="L9" s="57"/>
      <c r="M9" s="80"/>
    </row>
    <row r="10" s="41" customFormat="1" customHeight="1" spans="1:15">
      <c r="A10" s="53">
        <v>5</v>
      </c>
      <c r="B10" s="54"/>
      <c r="C10" s="55"/>
      <c r="D10" s="58"/>
      <c r="E10" s="57"/>
      <c r="F10" s="58"/>
      <c r="G10" s="58"/>
      <c r="H10" s="58"/>
      <c r="I10" s="58"/>
      <c r="J10" s="58"/>
      <c r="K10" s="58"/>
      <c r="L10" s="57"/>
      <c r="M10" s="80"/>
      <c r="N10" s="81"/>
      <c r="O10" s="82"/>
    </row>
    <row r="11" s="41" customFormat="1" customHeight="1" spans="1:15">
      <c r="A11" s="53">
        <v>6</v>
      </c>
      <c r="B11" s="54"/>
      <c r="C11" s="55"/>
      <c r="D11" s="58"/>
      <c r="E11" s="57"/>
      <c r="F11" s="58"/>
      <c r="G11" s="58"/>
      <c r="H11" s="58"/>
      <c r="I11" s="58"/>
      <c r="J11" s="58"/>
      <c r="K11" s="58"/>
      <c r="L11" s="57"/>
      <c r="M11" s="80"/>
      <c r="N11" s="81"/>
      <c r="O11" s="82"/>
    </row>
    <row r="12" ht="31.5" customHeight="1" spans="1:13">
      <c r="A12" s="59" t="s">
        <v>242</v>
      </c>
      <c r="B12" s="60"/>
      <c r="C12" s="61"/>
      <c r="D12" s="62">
        <f>SUM(D6:D11)</f>
        <v>750.33</v>
      </c>
      <c r="E12" s="62">
        <f>SUM(E6:E11)</f>
        <v>393.88</v>
      </c>
      <c r="F12" s="62">
        <f>SUM(F6:F11)</f>
        <v>0</v>
      </c>
      <c r="G12" s="62">
        <f t="shared" ref="G12:L12" si="0">SUM(G6:G11)</f>
        <v>0</v>
      </c>
      <c r="H12" s="62">
        <f t="shared" si="0"/>
        <v>0</v>
      </c>
      <c r="I12" s="62">
        <f t="shared" si="0"/>
        <v>0</v>
      </c>
      <c r="J12" s="62">
        <f t="shared" si="0"/>
        <v>0</v>
      </c>
      <c r="K12" s="62">
        <f t="shared" si="0"/>
        <v>0</v>
      </c>
      <c r="L12" s="62">
        <f t="shared" si="0"/>
        <v>0</v>
      </c>
      <c r="M12" s="83" t="s">
        <v>243</v>
      </c>
    </row>
    <row r="13" spans="4:11">
      <c r="D13" s="63" t="s">
        <v>244</v>
      </c>
      <c r="E13" s="64" t="s">
        <v>245</v>
      </c>
      <c r="F13" s="64"/>
      <c r="G13" s="64"/>
      <c r="H13" s="64"/>
      <c r="I13" s="64"/>
      <c r="J13" s="64"/>
      <c r="K13" s="64"/>
    </row>
    <row r="14" spans="4:11">
      <c r="D14" s="64"/>
      <c r="E14" s="64"/>
      <c r="F14" s="64"/>
      <c r="G14" s="64"/>
      <c r="H14" s="64"/>
      <c r="I14" s="64"/>
      <c r="J14" s="64"/>
      <c r="K14" s="64"/>
    </row>
    <row r="15" spans="4:11">
      <c r="D15" s="64"/>
      <c r="E15" s="64"/>
      <c r="F15" s="64"/>
      <c r="G15" s="64"/>
      <c r="H15" s="64"/>
      <c r="I15" s="64"/>
      <c r="J15" s="64"/>
      <c r="K15" s="64"/>
    </row>
    <row r="17" ht="27.75" customHeight="1" spans="3:13">
      <c r="C17" s="65"/>
      <c r="D17" s="66" t="s">
        <v>246</v>
      </c>
      <c r="E17" s="66"/>
      <c r="F17" s="66"/>
      <c r="G17" s="66"/>
      <c r="H17" s="66"/>
      <c r="I17" s="66"/>
      <c r="J17" s="66"/>
      <c r="K17" s="66"/>
      <c r="L17" s="66"/>
      <c r="M17" s="66"/>
    </row>
    <row r="18" spans="3:13">
      <c r="C18" s="67" t="s">
        <v>157</v>
      </c>
      <c r="D18" s="67" t="s">
        <v>247</v>
      </c>
      <c r="E18" s="68" t="s">
        <v>248</v>
      </c>
      <c r="F18" s="69"/>
      <c r="G18" s="69"/>
      <c r="H18" s="69"/>
      <c r="I18" s="69"/>
      <c r="J18" s="69"/>
      <c r="K18" s="69"/>
      <c r="L18" s="69"/>
      <c r="M18" s="84"/>
    </row>
    <row r="19" spans="2:13">
      <c r="B19" s="64"/>
      <c r="C19" s="70"/>
      <c r="D19" s="70"/>
      <c r="E19" s="66" t="s">
        <v>74</v>
      </c>
      <c r="F19" s="66" t="s">
        <v>75</v>
      </c>
      <c r="G19" s="66" t="s">
        <v>76</v>
      </c>
      <c r="H19" s="66" t="s">
        <v>77</v>
      </c>
      <c r="I19" s="66" t="s">
        <v>78</v>
      </c>
      <c r="J19" s="66" t="s">
        <v>229</v>
      </c>
      <c r="K19" s="66" t="s">
        <v>249</v>
      </c>
      <c r="L19" s="66" t="s">
        <v>250</v>
      </c>
      <c r="M19" s="66"/>
    </row>
    <row r="20" ht="49.5" spans="3:13">
      <c r="C20" s="52" t="str">
        <f>D4</f>
        <v>MAX左座椅总成（TX平台 空气减震）</v>
      </c>
      <c r="D20" s="52" t="str">
        <f>D5</f>
        <v>YZ167151000039</v>
      </c>
      <c r="E20" s="57">
        <f>D12</f>
        <v>750.33</v>
      </c>
      <c r="F20" s="71">
        <f>E20*(1-0.04)</f>
        <v>720.3168</v>
      </c>
      <c r="G20" s="71">
        <f>F20*(1-0.04)</f>
        <v>691.504128</v>
      </c>
      <c r="H20" s="71"/>
      <c r="I20" s="71"/>
      <c r="J20" s="71"/>
      <c r="K20" s="71"/>
      <c r="L20" s="71"/>
      <c r="M20" s="71"/>
    </row>
    <row r="21" ht="49.5" spans="3:13">
      <c r="C21" s="52" t="str">
        <f>E4</f>
        <v>MAX右座椅总成（TX平台 简易版 无</v>
      </c>
      <c r="D21" s="52" t="str">
        <f>E5</f>
        <v>YZ167151000040</v>
      </c>
      <c r="E21" s="57">
        <f>E12</f>
        <v>393.88</v>
      </c>
      <c r="F21" s="71">
        <f>E21*(1-0.04)</f>
        <v>378.1248</v>
      </c>
      <c r="G21" s="71">
        <f>F21*(1-0.04)</f>
        <v>362.999808</v>
      </c>
      <c r="H21" s="71"/>
      <c r="I21" s="71"/>
      <c r="J21" s="71"/>
      <c r="K21" s="71"/>
      <c r="L21" s="71"/>
      <c r="M21" s="71"/>
    </row>
    <row r="22" spans="3:13">
      <c r="C22" s="72"/>
      <c r="D22" s="72"/>
      <c r="E22" s="57"/>
      <c r="F22" s="71">
        <f t="shared" ref="F22:H27" si="1">E22*(1-0.01)</f>
        <v>0</v>
      </c>
      <c r="G22" s="71">
        <f t="shared" si="1"/>
        <v>0</v>
      </c>
      <c r="H22" s="71">
        <f t="shared" si="1"/>
        <v>0</v>
      </c>
      <c r="I22" s="71"/>
      <c r="J22" s="71"/>
      <c r="K22" s="71"/>
      <c r="L22" s="71"/>
      <c r="M22" s="71"/>
    </row>
    <row r="23" spans="3:13">
      <c r="C23" s="73"/>
      <c r="D23" s="73"/>
      <c r="E23" s="57"/>
      <c r="F23" s="71">
        <f t="shared" si="1"/>
        <v>0</v>
      </c>
      <c r="G23" s="71">
        <f t="shared" si="1"/>
        <v>0</v>
      </c>
      <c r="H23" s="71">
        <f t="shared" si="1"/>
        <v>0</v>
      </c>
      <c r="I23" s="71"/>
      <c r="J23" s="71"/>
      <c r="K23" s="71"/>
      <c r="L23" s="71"/>
      <c r="M23" s="71"/>
    </row>
    <row r="24" spans="3:13">
      <c r="C24" s="73"/>
      <c r="D24" s="73"/>
      <c r="E24" s="57"/>
      <c r="F24" s="71">
        <f t="shared" si="1"/>
        <v>0</v>
      </c>
      <c r="G24" s="71">
        <f t="shared" si="1"/>
        <v>0</v>
      </c>
      <c r="H24" s="71">
        <f t="shared" si="1"/>
        <v>0</v>
      </c>
      <c r="I24" s="71"/>
      <c r="J24" s="71"/>
      <c r="K24" s="71"/>
      <c r="L24" s="71"/>
      <c r="M24" s="71"/>
    </row>
    <row r="25" spans="3:13">
      <c r="C25" s="73"/>
      <c r="D25" s="73"/>
      <c r="E25" s="57"/>
      <c r="F25" s="71">
        <f t="shared" si="1"/>
        <v>0</v>
      </c>
      <c r="G25" s="71">
        <f t="shared" si="1"/>
        <v>0</v>
      </c>
      <c r="H25" s="71">
        <f t="shared" si="1"/>
        <v>0</v>
      </c>
      <c r="I25" s="71"/>
      <c r="J25" s="71"/>
      <c r="K25" s="71"/>
      <c r="L25" s="71"/>
      <c r="M25" s="71"/>
    </row>
    <row r="26" spans="3:13">
      <c r="C26" s="73"/>
      <c r="D26" s="73"/>
      <c r="E26" s="57"/>
      <c r="F26" s="71">
        <f t="shared" si="1"/>
        <v>0</v>
      </c>
      <c r="G26" s="71">
        <f t="shared" si="1"/>
        <v>0</v>
      </c>
      <c r="H26" s="71">
        <f t="shared" si="1"/>
        <v>0</v>
      </c>
      <c r="I26" s="71"/>
      <c r="J26" s="71"/>
      <c r="K26" s="71"/>
      <c r="L26" s="71"/>
      <c r="M26" s="65"/>
    </row>
    <row r="27" spans="3:13">
      <c r="C27" s="73"/>
      <c r="D27" s="73"/>
      <c r="E27" s="57"/>
      <c r="F27" s="71">
        <f t="shared" si="1"/>
        <v>0</v>
      </c>
      <c r="G27" s="71">
        <f t="shared" si="1"/>
        <v>0</v>
      </c>
      <c r="H27" s="71">
        <f t="shared" si="1"/>
        <v>0</v>
      </c>
      <c r="I27" s="71"/>
      <c r="J27" s="71"/>
      <c r="K27" s="71"/>
      <c r="L27" s="71"/>
      <c r="M27" s="65"/>
    </row>
  </sheetData>
  <mergeCells count="20">
    <mergeCell ref="A1:B1"/>
    <mergeCell ref="A2:D2"/>
    <mergeCell ref="E2:M2"/>
    <mergeCell ref="D3:E3"/>
    <mergeCell ref="B6:C6"/>
    <mergeCell ref="B7:C7"/>
    <mergeCell ref="B8:C8"/>
    <mergeCell ref="B9:C9"/>
    <mergeCell ref="B10:C10"/>
    <mergeCell ref="N10:O10"/>
    <mergeCell ref="B11:C11"/>
    <mergeCell ref="N11:O11"/>
    <mergeCell ref="A12:C12"/>
    <mergeCell ref="D17:M17"/>
    <mergeCell ref="E18:M18"/>
    <mergeCell ref="A3:A5"/>
    <mergeCell ref="B3:B5"/>
    <mergeCell ref="C18:C19"/>
    <mergeCell ref="D18:D19"/>
    <mergeCell ref="M3:M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4" outlineLevelCol="4"/>
  <cols>
    <col min="1" max="1" width="9" style="30"/>
    <col min="2" max="2" width="29.6272727272727" style="30" customWidth="1"/>
    <col min="3" max="3" width="25.5" style="30" customWidth="1"/>
    <col min="4" max="4" width="22" style="30" customWidth="1"/>
    <col min="5" max="16384" width="9" style="30"/>
  </cols>
  <sheetData>
    <row r="1" ht="27" customHeight="1" spans="1:4">
      <c r="A1" s="31" t="s">
        <v>21</v>
      </c>
      <c r="B1" s="31" t="s">
        <v>251</v>
      </c>
      <c r="C1" s="31" t="s">
        <v>252</v>
      </c>
      <c r="D1" s="31" t="s">
        <v>253</v>
      </c>
    </row>
    <row r="2" ht="19.5" customHeight="1" spans="1:4">
      <c r="A2" s="31">
        <v>1</v>
      </c>
      <c r="B2" s="32" t="s">
        <v>254</v>
      </c>
      <c r="C2" s="33" t="s">
        <v>255</v>
      </c>
      <c r="D2" s="34"/>
    </row>
    <row r="3" ht="36" customHeight="1" spans="1:4">
      <c r="A3" s="31">
        <v>2</v>
      </c>
      <c r="B3" s="32" t="s">
        <v>256</v>
      </c>
      <c r="C3" s="35" t="s">
        <v>257</v>
      </c>
      <c r="D3" s="34" t="s">
        <v>258</v>
      </c>
    </row>
    <row r="4" ht="19.5" customHeight="1" spans="1:4">
      <c r="A4" s="31">
        <v>3</v>
      </c>
      <c r="B4" s="32" t="s">
        <v>259</v>
      </c>
      <c r="C4" s="33" t="s">
        <v>260</v>
      </c>
      <c r="D4" s="34" t="s">
        <v>261</v>
      </c>
    </row>
    <row r="5" ht="42.75" customHeight="1" spans="1:4">
      <c r="A5" s="31">
        <v>4</v>
      </c>
      <c r="B5" s="32" t="s">
        <v>262</v>
      </c>
      <c r="C5" s="33"/>
      <c r="D5" s="34"/>
    </row>
    <row r="6" ht="39" customHeight="1" spans="1:4">
      <c r="A6" s="31">
        <v>5</v>
      </c>
      <c r="B6" s="32" t="s">
        <v>263</v>
      </c>
      <c r="C6" s="33"/>
      <c r="D6" s="34"/>
    </row>
    <row r="7" ht="27.75" customHeight="1" spans="1:4">
      <c r="A7" s="31">
        <v>6</v>
      </c>
      <c r="B7" s="34" t="s">
        <v>264</v>
      </c>
      <c r="C7" s="35" t="s">
        <v>265</v>
      </c>
      <c r="D7" s="34"/>
    </row>
    <row r="8" ht="36" customHeight="1" spans="1:4">
      <c r="A8" s="31">
        <v>7</v>
      </c>
      <c r="B8" s="32" t="s">
        <v>266</v>
      </c>
      <c r="C8" s="36" t="s">
        <v>267</v>
      </c>
      <c r="D8" s="34"/>
    </row>
    <row r="9" ht="34.5" customHeight="1" spans="1:4">
      <c r="A9" s="31">
        <v>8</v>
      </c>
      <c r="B9" s="34" t="s">
        <v>268</v>
      </c>
      <c r="C9" s="36" t="s">
        <v>269</v>
      </c>
      <c r="D9" s="34"/>
    </row>
    <row r="10" ht="34.5" customHeight="1" spans="1:5">
      <c r="A10" s="31">
        <v>9</v>
      </c>
      <c r="B10" s="34" t="s">
        <v>270</v>
      </c>
      <c r="C10" s="36" t="s">
        <v>269</v>
      </c>
      <c r="D10" s="34"/>
      <c r="E10" s="37"/>
    </row>
    <row r="11" ht="34.5" customHeight="1" spans="1:4">
      <c r="A11" s="31">
        <v>10</v>
      </c>
      <c r="B11" s="34" t="s">
        <v>271</v>
      </c>
      <c r="C11" s="36" t="s">
        <v>272</v>
      </c>
      <c r="D11" s="34" t="s">
        <v>273</v>
      </c>
    </row>
    <row r="12" ht="34.5" customHeight="1" spans="1:4">
      <c r="A12" s="31">
        <v>11</v>
      </c>
      <c r="B12" s="34" t="s">
        <v>274</v>
      </c>
      <c r="C12" s="36" t="s">
        <v>275</v>
      </c>
      <c r="D12" s="34"/>
    </row>
    <row r="13" ht="24" customHeight="1" spans="1:4">
      <c r="A13" s="31">
        <v>12</v>
      </c>
      <c r="B13" s="32" t="s">
        <v>276</v>
      </c>
      <c r="C13" s="36" t="s">
        <v>277</v>
      </c>
      <c r="D13" s="34"/>
    </row>
    <row r="14" ht="24" customHeight="1" spans="1:4">
      <c r="A14" s="31">
        <v>13</v>
      </c>
      <c r="B14" s="32" t="s">
        <v>278</v>
      </c>
      <c r="C14" s="36" t="s">
        <v>279</v>
      </c>
      <c r="D14" s="34"/>
    </row>
    <row r="15" ht="24" customHeight="1" spans="1:4">
      <c r="A15" s="31">
        <v>14</v>
      </c>
      <c r="B15" s="32" t="s">
        <v>280</v>
      </c>
      <c r="C15" s="36" t="s">
        <v>281</v>
      </c>
      <c r="D15" s="34"/>
    </row>
    <row r="16" ht="24" customHeight="1" spans="1:4">
      <c r="A16" s="31">
        <v>15</v>
      </c>
      <c r="B16" s="34" t="s">
        <v>141</v>
      </c>
      <c r="C16" s="34"/>
      <c r="D16" s="34"/>
    </row>
    <row r="17" ht="16.5" spans="2:4">
      <c r="B17" s="38" t="s">
        <v>282</v>
      </c>
      <c r="C17" s="39"/>
      <c r="D17" s="39"/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zoomScale="85" zoomScaleNormal="85" workbookViewId="0">
      <selection activeCell="K13" sqref="K13"/>
    </sheetView>
  </sheetViews>
  <sheetFormatPr defaultColWidth="9" defaultRowHeight="14"/>
  <cols>
    <col min="1" max="2" width="9" style="2"/>
    <col min="3" max="3" width="14.6272727272727" style="2" customWidth="1"/>
    <col min="4" max="4" width="12.3727272727273" style="2" customWidth="1"/>
    <col min="5" max="7" width="11.1272727272727" style="2" customWidth="1"/>
    <col min="8" max="8" width="11" style="3" customWidth="1"/>
    <col min="9" max="16384" width="9" style="2"/>
  </cols>
  <sheetData>
    <row r="1" s="1" customFormat="1" ht="18.75" customHeight="1" spans="6:8">
      <c r="F1" s="4" t="s">
        <v>283</v>
      </c>
      <c r="G1" s="4"/>
      <c r="H1" s="5"/>
    </row>
    <row r="2" ht="20.25" customHeight="1" spans="1:11">
      <c r="A2" s="6" t="s">
        <v>284</v>
      </c>
      <c r="B2" s="6"/>
      <c r="C2" s="7"/>
      <c r="D2" s="7"/>
      <c r="E2" s="7"/>
      <c r="F2" s="7"/>
      <c r="G2" s="8"/>
      <c r="H2" s="9" t="s">
        <v>285</v>
      </c>
      <c r="J2" s="26"/>
      <c r="K2" s="26"/>
    </row>
    <row r="3" ht="34.5" customHeight="1" spans="1:8">
      <c r="A3" s="6"/>
      <c r="B3" s="6"/>
      <c r="C3" s="10" t="s">
        <v>286</v>
      </c>
      <c r="D3" s="10" t="s">
        <v>287</v>
      </c>
      <c r="E3" s="11" t="s">
        <v>288</v>
      </c>
      <c r="F3" s="11" t="s">
        <v>289</v>
      </c>
      <c r="G3" s="11" t="s">
        <v>290</v>
      </c>
      <c r="H3" s="12">
        <f>销量!C8</f>
        <v>1180</v>
      </c>
    </row>
    <row r="4" spans="1:11">
      <c r="A4" s="13" t="s">
        <v>291</v>
      </c>
      <c r="B4" s="13"/>
      <c r="C4" s="14"/>
      <c r="D4" s="15">
        <f>$H$3*E4</f>
        <v>66.3395839194973</v>
      </c>
      <c r="E4" s="16">
        <v>0.0562199863724554</v>
      </c>
      <c r="F4" s="16">
        <v>0.10179</v>
      </c>
      <c r="G4" s="17">
        <v>0.06327</v>
      </c>
      <c r="I4" s="27"/>
      <c r="J4" s="28"/>
      <c r="K4" s="28"/>
    </row>
    <row r="5" spans="1:11">
      <c r="A5" s="13" t="s">
        <v>292</v>
      </c>
      <c r="B5" s="13" t="s">
        <v>293</v>
      </c>
      <c r="C5" s="14"/>
      <c r="D5" s="15">
        <f>$H$3*E5</f>
        <v>53.1</v>
      </c>
      <c r="E5" s="17">
        <v>0.045</v>
      </c>
      <c r="F5" s="16">
        <v>0.2</v>
      </c>
      <c r="G5" s="17">
        <v>0.08</v>
      </c>
      <c r="I5" s="29"/>
      <c r="J5" s="28"/>
      <c r="K5" s="28"/>
    </row>
    <row r="6" spans="1:11">
      <c r="A6" s="13"/>
      <c r="B6" s="13" t="s">
        <v>294</v>
      </c>
      <c r="C6" s="14"/>
      <c r="D6" s="15">
        <f t="shared" ref="D6:D10" si="0">$H$3*E6</f>
        <v>17.7896677292704</v>
      </c>
      <c r="E6" s="16">
        <v>0.0150759896010766</v>
      </c>
      <c r="F6" s="16">
        <v>0.04028</v>
      </c>
      <c r="G6" s="17">
        <v>0.02068</v>
      </c>
      <c r="I6" s="27"/>
      <c r="J6" s="28"/>
      <c r="K6" s="28"/>
    </row>
    <row r="7" spans="1:11">
      <c r="A7" s="18" t="s">
        <v>295</v>
      </c>
      <c r="B7" s="8"/>
      <c r="C7" s="19"/>
      <c r="D7" s="20">
        <f t="shared" si="0"/>
        <v>137.229251648768</v>
      </c>
      <c r="E7" s="21">
        <v>0.116295975973532</v>
      </c>
      <c r="F7" s="21">
        <f>SUM(F4:F6)</f>
        <v>0.34207</v>
      </c>
      <c r="G7" s="22">
        <f>SUM(G4:G6)</f>
        <v>0.16395</v>
      </c>
      <c r="I7" s="27"/>
      <c r="J7" s="28"/>
      <c r="K7" s="28"/>
    </row>
    <row r="8" spans="1:11">
      <c r="A8" s="13" t="s">
        <v>57</v>
      </c>
      <c r="B8" s="13"/>
      <c r="C8" s="14"/>
      <c r="D8" s="15">
        <f t="shared" si="0"/>
        <v>47.2</v>
      </c>
      <c r="E8" s="23">
        <v>0.04</v>
      </c>
      <c r="F8" s="16">
        <v>0.02935</v>
      </c>
      <c r="G8" s="17">
        <v>0.0492</v>
      </c>
      <c r="I8" s="29"/>
      <c r="J8" s="28"/>
      <c r="K8" s="28"/>
    </row>
    <row r="9" spans="1:11">
      <c r="A9" s="24" t="s">
        <v>296</v>
      </c>
      <c r="B9" s="13" t="s">
        <v>293</v>
      </c>
      <c r="C9" s="14"/>
      <c r="D9" s="15">
        <f t="shared" si="0"/>
        <v>8.26</v>
      </c>
      <c r="E9" s="17">
        <v>0.007</v>
      </c>
      <c r="F9" s="16">
        <v>0.02149</v>
      </c>
      <c r="G9" s="17">
        <v>0.00949</v>
      </c>
      <c r="I9" s="3"/>
      <c r="J9" s="28"/>
      <c r="K9" s="28"/>
    </row>
    <row r="10" spans="1:11">
      <c r="A10" s="25"/>
      <c r="B10" s="13" t="s">
        <v>294</v>
      </c>
      <c r="C10" s="14"/>
      <c r="D10" s="15">
        <f t="shared" si="0"/>
        <v>47.2</v>
      </c>
      <c r="E10" s="3">
        <v>0.04</v>
      </c>
      <c r="F10" s="16">
        <v>0.05812</v>
      </c>
      <c r="G10" s="17">
        <v>0.0549</v>
      </c>
      <c r="I10" s="3"/>
      <c r="J10" s="28"/>
      <c r="K10" s="28"/>
    </row>
    <row r="11" spans="1:11">
      <c r="A11" s="13" t="s">
        <v>60</v>
      </c>
      <c r="B11" s="13"/>
      <c r="C11" s="14"/>
      <c r="D11" s="15">
        <f t="shared" ref="D11" si="1">$H$3*E11</f>
        <v>25.134</v>
      </c>
      <c r="E11" s="17">
        <v>0.0213</v>
      </c>
      <c r="F11" s="16">
        <v>0.0213</v>
      </c>
      <c r="G11" s="17">
        <v>0.0213</v>
      </c>
      <c r="I11" s="3"/>
      <c r="J11" s="28"/>
      <c r="K11" s="28"/>
    </row>
    <row r="15" spans="1:8">
      <c r="A15" s="1"/>
      <c r="B15" s="1"/>
      <c r="C15" s="1"/>
      <c r="D15" s="1"/>
      <c r="E15" s="1"/>
      <c r="F15" s="4" t="s">
        <v>283</v>
      </c>
      <c r="G15" s="4"/>
      <c r="H15" s="5"/>
    </row>
    <row r="16" ht="22.5" customHeight="1" spans="1:8">
      <c r="A16" s="6" t="s">
        <v>284</v>
      </c>
      <c r="B16" s="6"/>
      <c r="C16" s="7"/>
      <c r="D16" s="7"/>
      <c r="E16" s="7"/>
      <c r="F16" s="7"/>
      <c r="G16" s="8"/>
      <c r="H16" s="9" t="s">
        <v>285</v>
      </c>
    </row>
    <row r="17" ht="28" spans="1:8">
      <c r="A17" s="6"/>
      <c r="B17" s="6"/>
      <c r="C17" s="10" t="s">
        <v>286</v>
      </c>
      <c r="D17" s="10" t="s">
        <v>287</v>
      </c>
      <c r="E17" s="11" t="s">
        <v>288</v>
      </c>
      <c r="F17" s="11" t="s">
        <v>289</v>
      </c>
      <c r="G17" s="11" t="s">
        <v>290</v>
      </c>
      <c r="H17" s="12">
        <f>销量!D8</f>
        <v>470</v>
      </c>
    </row>
    <row r="18" spans="1:7">
      <c r="A18" s="13" t="s">
        <v>291</v>
      </c>
      <c r="B18" s="13"/>
      <c r="C18" s="14"/>
      <c r="D18" s="15">
        <f>$H$17*E18</f>
        <v>26.423393595054</v>
      </c>
      <c r="E18" s="16">
        <v>0.0562199863724554</v>
      </c>
      <c r="F18" s="16">
        <v>0.10179</v>
      </c>
      <c r="G18" s="17">
        <v>0.06327</v>
      </c>
    </row>
    <row r="19" spans="1:7">
      <c r="A19" s="13" t="s">
        <v>292</v>
      </c>
      <c r="B19" s="13" t="s">
        <v>293</v>
      </c>
      <c r="C19" s="14"/>
      <c r="D19" s="15">
        <f t="shared" ref="D19:D24" si="2">$H$17*E19</f>
        <v>21.15</v>
      </c>
      <c r="E19" s="17">
        <v>0.045</v>
      </c>
      <c r="F19" s="16">
        <v>0.2</v>
      </c>
      <c r="G19" s="17">
        <v>0.08</v>
      </c>
    </row>
    <row r="20" spans="1:7">
      <c r="A20" s="13"/>
      <c r="B20" s="13" t="s">
        <v>294</v>
      </c>
      <c r="C20" s="14"/>
      <c r="D20" s="15">
        <f t="shared" si="2"/>
        <v>7.085715112506</v>
      </c>
      <c r="E20" s="16">
        <v>0.0150759896010766</v>
      </c>
      <c r="F20" s="16">
        <v>0.04028</v>
      </c>
      <c r="G20" s="17">
        <v>0.02068</v>
      </c>
    </row>
    <row r="21" spans="1:7">
      <c r="A21" s="18" t="s">
        <v>295</v>
      </c>
      <c r="B21" s="8"/>
      <c r="C21" s="19"/>
      <c r="D21" s="15">
        <f t="shared" si="2"/>
        <v>54.65910870756</v>
      </c>
      <c r="E21" s="21">
        <v>0.116295975973532</v>
      </c>
      <c r="F21" s="21">
        <f>SUM(F18:F20)</f>
        <v>0.34207</v>
      </c>
      <c r="G21" s="22">
        <f>SUM(G18:G20)</f>
        <v>0.16395</v>
      </c>
    </row>
    <row r="22" spans="1:7">
      <c r="A22" s="13" t="s">
        <v>57</v>
      </c>
      <c r="B22" s="13"/>
      <c r="C22" s="14"/>
      <c r="D22" s="15">
        <f t="shared" si="2"/>
        <v>18.8</v>
      </c>
      <c r="E22" s="23">
        <v>0.04</v>
      </c>
      <c r="F22" s="16">
        <v>0.02935</v>
      </c>
      <c r="G22" s="17">
        <v>0.0492</v>
      </c>
    </row>
    <row r="23" spans="1:7">
      <c r="A23" s="24" t="s">
        <v>296</v>
      </c>
      <c r="B23" s="13" t="s">
        <v>293</v>
      </c>
      <c r="C23" s="14"/>
      <c r="D23" s="15">
        <f t="shared" si="2"/>
        <v>3.29</v>
      </c>
      <c r="E23" s="17">
        <v>0.007</v>
      </c>
      <c r="F23" s="16">
        <v>0.02149</v>
      </c>
      <c r="G23" s="17">
        <v>0.00949</v>
      </c>
    </row>
    <row r="24" spans="1:7">
      <c r="A24" s="25"/>
      <c r="B24" s="13" t="s">
        <v>294</v>
      </c>
      <c r="C24" s="14"/>
      <c r="D24" s="15">
        <f t="shared" si="2"/>
        <v>18.8</v>
      </c>
      <c r="E24" s="3">
        <v>0.04</v>
      </c>
      <c r="F24" s="16">
        <v>0.05812</v>
      </c>
      <c r="G24" s="17">
        <v>0.0549</v>
      </c>
    </row>
    <row r="25" spans="1:7">
      <c r="A25" s="13" t="s">
        <v>60</v>
      </c>
      <c r="B25" s="13"/>
      <c r="C25" s="14"/>
      <c r="D25" s="15">
        <f t="shared" ref="D25" si="3">$H$17*E25</f>
        <v>10.011</v>
      </c>
      <c r="E25" s="17">
        <v>0.0213</v>
      </c>
      <c r="F25" s="16">
        <v>0.0213</v>
      </c>
      <c r="G25" s="17">
        <v>0.0213</v>
      </c>
    </row>
    <row r="29" spans="1:8">
      <c r="A29" s="1"/>
      <c r="B29" s="1"/>
      <c r="C29" s="1"/>
      <c r="D29" s="1"/>
      <c r="E29" s="1"/>
      <c r="F29" s="4" t="s">
        <v>283</v>
      </c>
      <c r="G29" s="4"/>
      <c r="H29" s="5"/>
    </row>
    <row r="30" ht="30" customHeight="1" spans="1:8">
      <c r="A30" s="6" t="s">
        <v>284</v>
      </c>
      <c r="B30" s="6"/>
      <c r="C30" s="7"/>
      <c r="D30" s="7"/>
      <c r="E30" s="7"/>
      <c r="F30" s="7"/>
      <c r="G30" s="8"/>
      <c r="H30" s="9" t="s">
        <v>285</v>
      </c>
    </row>
    <row r="31" ht="28" spans="1:8">
      <c r="A31" s="6"/>
      <c r="B31" s="6"/>
      <c r="C31" s="10" t="s">
        <v>286</v>
      </c>
      <c r="D31" s="10" t="s">
        <v>287</v>
      </c>
      <c r="E31" s="11" t="s">
        <v>288</v>
      </c>
      <c r="F31" s="11" t="s">
        <v>289</v>
      </c>
      <c r="G31" s="11" t="s">
        <v>290</v>
      </c>
      <c r="H31" s="12">
        <f>销量!E8</f>
        <v>0</v>
      </c>
    </row>
    <row r="32" spans="1:7">
      <c r="A32" s="13" t="s">
        <v>291</v>
      </c>
      <c r="B32" s="13"/>
      <c r="C32" s="14"/>
      <c r="D32" s="15">
        <f>$H$31*E32</f>
        <v>0</v>
      </c>
      <c r="E32" s="16">
        <v>0.0581406001265202</v>
      </c>
      <c r="F32" s="16">
        <v>0.10179</v>
      </c>
      <c r="G32" s="17">
        <v>0.06327</v>
      </c>
    </row>
    <row r="33" spans="1:7">
      <c r="A33" s="13" t="s">
        <v>292</v>
      </c>
      <c r="B33" s="13" t="s">
        <v>293</v>
      </c>
      <c r="C33" s="14"/>
      <c r="D33" s="15">
        <f t="shared" ref="D33:D38" si="4">$H$31*E33</f>
        <v>0</v>
      </c>
      <c r="E33" s="17">
        <v>0.045</v>
      </c>
      <c r="F33" s="16">
        <v>0.2</v>
      </c>
      <c r="G33" s="17">
        <v>0.08</v>
      </c>
    </row>
    <row r="34" spans="1:7">
      <c r="A34" s="13"/>
      <c r="B34" s="13" t="s">
        <v>294</v>
      </c>
      <c r="C34" s="14"/>
      <c r="D34" s="15">
        <f t="shared" si="4"/>
        <v>0</v>
      </c>
      <c r="E34" s="16">
        <v>0.0180683568912032</v>
      </c>
      <c r="F34" s="16">
        <v>0.04028</v>
      </c>
      <c r="G34" s="17">
        <v>0.02068</v>
      </c>
    </row>
    <row r="35" spans="1:7">
      <c r="A35" s="18" t="s">
        <v>295</v>
      </c>
      <c r="B35" s="8"/>
      <c r="C35" s="19"/>
      <c r="D35" s="15">
        <f t="shared" si="4"/>
        <v>0</v>
      </c>
      <c r="E35" s="21">
        <f>SUM(E32:E34)</f>
        <v>0.121208957017723</v>
      </c>
      <c r="F35" s="21">
        <f>SUM(F32:F34)</f>
        <v>0.34207</v>
      </c>
      <c r="G35" s="22">
        <f>SUM(G32:G34)</f>
        <v>0.16395</v>
      </c>
    </row>
    <row r="36" spans="1:7">
      <c r="A36" s="13" t="s">
        <v>57</v>
      </c>
      <c r="B36" s="13"/>
      <c r="C36" s="14"/>
      <c r="D36" s="15">
        <f t="shared" si="4"/>
        <v>0</v>
      </c>
      <c r="E36" s="23">
        <v>0.0405633092913798</v>
      </c>
      <c r="F36" s="16">
        <v>0.02935</v>
      </c>
      <c r="G36" s="17">
        <v>0.0492</v>
      </c>
    </row>
    <row r="37" spans="1:7">
      <c r="A37" s="24" t="s">
        <v>296</v>
      </c>
      <c r="B37" s="13" t="s">
        <v>293</v>
      </c>
      <c r="C37" s="14"/>
      <c r="D37" s="15">
        <f t="shared" si="4"/>
        <v>0</v>
      </c>
      <c r="E37" s="17">
        <v>0.0079</v>
      </c>
      <c r="F37" s="16">
        <v>0.02149</v>
      </c>
      <c r="G37" s="17">
        <v>0.00949</v>
      </c>
    </row>
    <row r="38" spans="1:7">
      <c r="A38" s="25"/>
      <c r="B38" s="13" t="s">
        <v>294</v>
      </c>
      <c r="C38" s="14"/>
      <c r="D38" s="15">
        <f t="shared" si="4"/>
        <v>0</v>
      </c>
      <c r="E38" s="3">
        <v>0.01</v>
      </c>
      <c r="F38" s="16">
        <v>0.05812</v>
      </c>
      <c r="G38" s="17">
        <v>0.0549</v>
      </c>
    </row>
    <row r="39" spans="1:7">
      <c r="A39" s="13" t="s">
        <v>60</v>
      </c>
      <c r="B39" s="13"/>
      <c r="C39" s="14"/>
      <c r="D39" s="15">
        <f t="shared" ref="D39" si="5">$H$31*E39</f>
        <v>0</v>
      </c>
      <c r="E39" s="17">
        <v>0.0213</v>
      </c>
      <c r="F39" s="16">
        <v>0.0213</v>
      </c>
      <c r="G39" s="17">
        <v>0.0213</v>
      </c>
    </row>
    <row r="42" spans="1:8">
      <c r="A42" s="1"/>
      <c r="B42" s="1"/>
      <c r="C42" s="1"/>
      <c r="D42" s="1"/>
      <c r="E42" s="1"/>
      <c r="F42" s="4" t="s">
        <v>283</v>
      </c>
      <c r="G42" s="4"/>
      <c r="H42" s="5"/>
    </row>
    <row r="43" ht="28.5" customHeight="1" spans="1:8">
      <c r="A43" s="6" t="s">
        <v>284</v>
      </c>
      <c r="B43" s="6"/>
      <c r="C43" s="7"/>
      <c r="D43" s="7"/>
      <c r="E43" s="7"/>
      <c r="F43" s="7"/>
      <c r="G43" s="8"/>
      <c r="H43" s="9" t="s">
        <v>285</v>
      </c>
    </row>
    <row r="44" ht="28" spans="1:8">
      <c r="A44" s="6"/>
      <c r="B44" s="6"/>
      <c r="C44" s="10" t="s">
        <v>286</v>
      </c>
      <c r="D44" s="10" t="s">
        <v>287</v>
      </c>
      <c r="E44" s="11" t="s">
        <v>288</v>
      </c>
      <c r="F44" s="11" t="s">
        <v>289</v>
      </c>
      <c r="G44" s="11" t="s">
        <v>290</v>
      </c>
      <c r="H44" s="12">
        <f>销量!F8</f>
        <v>0</v>
      </c>
    </row>
    <row r="45" spans="1:7">
      <c r="A45" s="13" t="s">
        <v>291</v>
      </c>
      <c r="B45" s="13"/>
      <c r="C45" s="14"/>
      <c r="D45" s="15">
        <f>$H$44*E45</f>
        <v>0</v>
      </c>
      <c r="E45" s="16">
        <v>0.0581406001265202</v>
      </c>
      <c r="F45" s="16">
        <v>0.10179</v>
      </c>
      <c r="G45" s="17">
        <v>0.06327</v>
      </c>
    </row>
    <row r="46" spans="1:7">
      <c r="A46" s="13" t="s">
        <v>292</v>
      </c>
      <c r="B46" s="13" t="s">
        <v>293</v>
      </c>
      <c r="C46" s="14"/>
      <c r="D46" s="15">
        <f t="shared" ref="D46:D51" si="6">$H$44*E46</f>
        <v>0</v>
      </c>
      <c r="E46" s="17">
        <v>0.045</v>
      </c>
      <c r="F46" s="16">
        <v>0.2</v>
      </c>
      <c r="G46" s="17">
        <v>0.08</v>
      </c>
    </row>
    <row r="47" spans="1:7">
      <c r="A47" s="13"/>
      <c r="B47" s="13" t="s">
        <v>294</v>
      </c>
      <c r="C47" s="14"/>
      <c r="D47" s="15">
        <f t="shared" si="6"/>
        <v>0</v>
      </c>
      <c r="E47" s="16">
        <v>0.0180683568912032</v>
      </c>
      <c r="F47" s="16">
        <v>0.04028</v>
      </c>
      <c r="G47" s="17">
        <v>0.02068</v>
      </c>
    </row>
    <row r="48" spans="1:7">
      <c r="A48" s="18" t="s">
        <v>295</v>
      </c>
      <c r="B48" s="8"/>
      <c r="C48" s="19"/>
      <c r="D48" s="15">
        <f t="shared" si="6"/>
        <v>0</v>
      </c>
      <c r="E48" s="21">
        <f>SUM(E45:E47)</f>
        <v>0.121208957017723</v>
      </c>
      <c r="F48" s="21">
        <f>SUM(F45:F47)</f>
        <v>0.34207</v>
      </c>
      <c r="G48" s="22">
        <f>SUM(G45:G47)</f>
        <v>0.16395</v>
      </c>
    </row>
    <row r="49" spans="1:7">
      <c r="A49" s="13" t="s">
        <v>57</v>
      </c>
      <c r="B49" s="13"/>
      <c r="C49" s="14"/>
      <c r="D49" s="15">
        <f t="shared" si="6"/>
        <v>0</v>
      </c>
      <c r="E49" s="23">
        <v>0.0405633092913798</v>
      </c>
      <c r="F49" s="16">
        <v>0.02935</v>
      </c>
      <c r="G49" s="17">
        <v>0.0492</v>
      </c>
    </row>
    <row r="50" spans="1:7">
      <c r="A50" s="24" t="s">
        <v>296</v>
      </c>
      <c r="B50" s="13" t="s">
        <v>293</v>
      </c>
      <c r="C50" s="14"/>
      <c r="D50" s="15">
        <f t="shared" si="6"/>
        <v>0</v>
      </c>
      <c r="E50" s="17">
        <v>0.0079</v>
      </c>
      <c r="F50" s="16">
        <v>0.02149</v>
      </c>
      <c r="G50" s="17">
        <v>0.00949</v>
      </c>
    </row>
    <row r="51" spans="1:7">
      <c r="A51" s="25"/>
      <c r="B51" s="13" t="s">
        <v>294</v>
      </c>
      <c r="C51" s="14"/>
      <c r="D51" s="15">
        <f t="shared" si="6"/>
        <v>0</v>
      </c>
      <c r="E51" s="3">
        <v>0.01</v>
      </c>
      <c r="F51" s="16">
        <v>0.05812</v>
      </c>
      <c r="G51" s="17">
        <v>0.0549</v>
      </c>
    </row>
    <row r="52" spans="1:7">
      <c r="A52" s="13" t="s">
        <v>60</v>
      </c>
      <c r="B52" s="13"/>
      <c r="C52" s="14"/>
      <c r="D52" s="15">
        <f t="shared" ref="D52" si="7">$H$44*E52</f>
        <v>0</v>
      </c>
      <c r="E52" s="17">
        <v>0.0213</v>
      </c>
      <c r="F52" s="16">
        <v>0.0213</v>
      </c>
      <c r="G52" s="17">
        <v>0.0213</v>
      </c>
    </row>
    <row r="55" spans="1:8">
      <c r="A55" s="1"/>
      <c r="B55" s="1"/>
      <c r="C55" s="1"/>
      <c r="D55" s="1"/>
      <c r="E55" s="1"/>
      <c r="F55" s="4" t="s">
        <v>283</v>
      </c>
      <c r="G55" s="4"/>
      <c r="H55" s="5"/>
    </row>
    <row r="56" spans="1:8">
      <c r="A56" s="6" t="s">
        <v>284</v>
      </c>
      <c r="B56" s="6"/>
      <c r="C56" s="7"/>
      <c r="D56" s="7"/>
      <c r="E56" s="7"/>
      <c r="F56" s="7"/>
      <c r="G56" s="8"/>
      <c r="H56" s="9" t="s">
        <v>285</v>
      </c>
    </row>
    <row r="57" ht="28" spans="1:8">
      <c r="A57" s="6"/>
      <c r="B57" s="6"/>
      <c r="C57" s="10" t="s">
        <v>286</v>
      </c>
      <c r="D57" s="10" t="s">
        <v>287</v>
      </c>
      <c r="E57" s="11" t="s">
        <v>288</v>
      </c>
      <c r="F57" s="11" t="s">
        <v>289</v>
      </c>
      <c r="G57" s="11" t="s">
        <v>290</v>
      </c>
      <c r="H57" s="12">
        <f>销量!G8</f>
        <v>0</v>
      </c>
    </row>
    <row r="58" spans="1:7">
      <c r="A58" s="13" t="s">
        <v>291</v>
      </c>
      <c r="B58" s="13"/>
      <c r="C58" s="14"/>
      <c r="D58" s="15">
        <f>$H$57*E58</f>
        <v>0</v>
      </c>
      <c r="E58" s="16">
        <v>0.0581406001265202</v>
      </c>
      <c r="F58" s="16">
        <v>0.10179</v>
      </c>
      <c r="G58" s="17">
        <v>0.06327</v>
      </c>
    </row>
    <row r="59" spans="1:7">
      <c r="A59" s="13" t="s">
        <v>292</v>
      </c>
      <c r="B59" s="13" t="s">
        <v>293</v>
      </c>
      <c r="C59" s="14"/>
      <c r="D59" s="15">
        <f t="shared" ref="D59:D64" si="8">$H$57*E59</f>
        <v>0</v>
      </c>
      <c r="E59" s="17">
        <v>0.045</v>
      </c>
      <c r="F59" s="16">
        <v>0.2</v>
      </c>
      <c r="G59" s="17">
        <v>0.08</v>
      </c>
    </row>
    <row r="60" spans="1:7">
      <c r="A60" s="13"/>
      <c r="B60" s="13" t="s">
        <v>294</v>
      </c>
      <c r="C60" s="14"/>
      <c r="D60" s="15">
        <f t="shared" si="8"/>
        <v>0</v>
      </c>
      <c r="E60" s="16">
        <v>0.0180683568912032</v>
      </c>
      <c r="F60" s="16">
        <v>0.04028</v>
      </c>
      <c r="G60" s="17">
        <v>0.02068</v>
      </c>
    </row>
    <row r="61" spans="1:7">
      <c r="A61" s="18" t="s">
        <v>295</v>
      </c>
      <c r="B61" s="8"/>
      <c r="C61" s="19"/>
      <c r="D61" s="15">
        <f t="shared" si="8"/>
        <v>0</v>
      </c>
      <c r="E61" s="21">
        <f>SUM(E58:E60)</f>
        <v>0.121208957017723</v>
      </c>
      <c r="F61" s="21">
        <f>SUM(F58:F60)</f>
        <v>0.34207</v>
      </c>
      <c r="G61" s="22">
        <f>SUM(G58:G60)</f>
        <v>0.16395</v>
      </c>
    </row>
    <row r="62" spans="1:7">
      <c r="A62" s="13" t="s">
        <v>57</v>
      </c>
      <c r="B62" s="13"/>
      <c r="C62" s="14"/>
      <c r="D62" s="15">
        <f t="shared" si="8"/>
        <v>0</v>
      </c>
      <c r="E62" s="23">
        <v>0.0405633092913798</v>
      </c>
      <c r="F62" s="16">
        <v>0.02935</v>
      </c>
      <c r="G62" s="17">
        <v>0.0492</v>
      </c>
    </row>
    <row r="63" spans="1:7">
      <c r="A63" s="24" t="s">
        <v>296</v>
      </c>
      <c r="B63" s="13" t="s">
        <v>293</v>
      </c>
      <c r="C63" s="14"/>
      <c r="D63" s="15">
        <f t="shared" si="8"/>
        <v>0</v>
      </c>
      <c r="E63" s="17">
        <v>0.0079</v>
      </c>
      <c r="F63" s="16">
        <v>0.02149</v>
      </c>
      <c r="G63" s="17">
        <v>0.00949</v>
      </c>
    </row>
    <row r="64" spans="1:7">
      <c r="A64" s="25"/>
      <c r="B64" s="13" t="s">
        <v>294</v>
      </c>
      <c r="C64" s="14"/>
      <c r="D64" s="15">
        <f t="shared" si="8"/>
        <v>0</v>
      </c>
      <c r="E64" s="3">
        <v>0.01</v>
      </c>
      <c r="F64" s="16">
        <v>0.05812</v>
      </c>
      <c r="G64" s="17">
        <v>0.0549</v>
      </c>
    </row>
    <row r="65" spans="1:7">
      <c r="A65" s="13" t="s">
        <v>60</v>
      </c>
      <c r="B65" s="13"/>
      <c r="C65" s="14"/>
      <c r="D65" s="15">
        <f t="shared" ref="D65" si="9">$H$57*E65</f>
        <v>0</v>
      </c>
      <c r="E65" s="17">
        <v>0.0213</v>
      </c>
      <c r="F65" s="16">
        <v>0.0213</v>
      </c>
      <c r="G65" s="17">
        <v>0.0213</v>
      </c>
    </row>
    <row r="68" spans="1:8">
      <c r="A68" s="1"/>
      <c r="B68" s="1"/>
      <c r="C68" s="1"/>
      <c r="D68" s="1"/>
      <c r="E68" s="1"/>
      <c r="F68" s="4" t="s">
        <v>283</v>
      </c>
      <c r="G68" s="4"/>
      <c r="H68" s="5"/>
    </row>
    <row r="69" spans="1:8">
      <c r="A69" s="6" t="s">
        <v>284</v>
      </c>
      <c r="B69" s="6"/>
      <c r="C69" s="7"/>
      <c r="D69" s="7"/>
      <c r="E69" s="7"/>
      <c r="F69" s="7"/>
      <c r="G69" s="8"/>
      <c r="H69" s="9" t="s">
        <v>285</v>
      </c>
    </row>
    <row r="70" ht="28" spans="1:8">
      <c r="A70" s="6"/>
      <c r="B70" s="6"/>
      <c r="C70" s="10" t="s">
        <v>286</v>
      </c>
      <c r="D70" s="10" t="s">
        <v>287</v>
      </c>
      <c r="E70" s="11" t="s">
        <v>288</v>
      </c>
      <c r="F70" s="11" t="s">
        <v>289</v>
      </c>
      <c r="G70" s="11" t="s">
        <v>290</v>
      </c>
      <c r="H70" s="12">
        <f>销量!H8</f>
        <v>0</v>
      </c>
    </row>
    <row r="71" spans="1:7">
      <c r="A71" s="13" t="s">
        <v>291</v>
      </c>
      <c r="B71" s="13"/>
      <c r="C71" s="14"/>
      <c r="D71" s="15">
        <f>$H$70*E71</f>
        <v>0</v>
      </c>
      <c r="E71" s="16">
        <v>0.0581406001265202</v>
      </c>
      <c r="F71" s="16">
        <v>0.10179</v>
      </c>
      <c r="G71" s="17">
        <v>0.06327</v>
      </c>
    </row>
    <row r="72" spans="1:7">
      <c r="A72" s="13" t="s">
        <v>292</v>
      </c>
      <c r="B72" s="13" t="s">
        <v>293</v>
      </c>
      <c r="C72" s="14"/>
      <c r="D72" s="15">
        <f t="shared" ref="D72:D77" si="10">$H$70*E72</f>
        <v>0</v>
      </c>
      <c r="E72" s="17">
        <v>0.045</v>
      </c>
      <c r="F72" s="16">
        <v>0.2</v>
      </c>
      <c r="G72" s="17">
        <v>0.08</v>
      </c>
    </row>
    <row r="73" spans="1:7">
      <c r="A73" s="13"/>
      <c r="B73" s="13" t="s">
        <v>294</v>
      </c>
      <c r="C73" s="14"/>
      <c r="D73" s="15">
        <f t="shared" si="10"/>
        <v>0</v>
      </c>
      <c r="E73" s="16">
        <v>0.0180683568912032</v>
      </c>
      <c r="F73" s="16">
        <v>0.04028</v>
      </c>
      <c r="G73" s="17">
        <v>0.02068</v>
      </c>
    </row>
    <row r="74" spans="1:7">
      <c r="A74" s="18" t="s">
        <v>295</v>
      </c>
      <c r="B74" s="8"/>
      <c r="C74" s="19"/>
      <c r="D74" s="15">
        <f t="shared" si="10"/>
        <v>0</v>
      </c>
      <c r="E74" s="21">
        <f>SUM(E71:E73)</f>
        <v>0.121208957017723</v>
      </c>
      <c r="F74" s="21">
        <f>SUM(F71:F73)</f>
        <v>0.34207</v>
      </c>
      <c r="G74" s="22">
        <f>SUM(G71:G73)</f>
        <v>0.16395</v>
      </c>
    </row>
    <row r="75" spans="1:7">
      <c r="A75" s="13" t="s">
        <v>57</v>
      </c>
      <c r="B75" s="13"/>
      <c r="C75" s="14"/>
      <c r="D75" s="15">
        <f t="shared" si="10"/>
        <v>0</v>
      </c>
      <c r="E75" s="23">
        <v>0.0405633092913798</v>
      </c>
      <c r="F75" s="16">
        <v>0.02935</v>
      </c>
      <c r="G75" s="17">
        <v>0.0492</v>
      </c>
    </row>
    <row r="76" spans="1:7">
      <c r="A76" s="24" t="s">
        <v>296</v>
      </c>
      <c r="B76" s="13" t="s">
        <v>293</v>
      </c>
      <c r="C76" s="14"/>
      <c r="D76" s="15">
        <f t="shared" si="10"/>
        <v>0</v>
      </c>
      <c r="E76" s="17">
        <v>0.0079</v>
      </c>
      <c r="F76" s="16">
        <v>0.02149</v>
      </c>
      <c r="G76" s="17">
        <v>0.00949</v>
      </c>
    </row>
    <row r="77" spans="1:7">
      <c r="A77" s="25"/>
      <c r="B77" s="13" t="s">
        <v>294</v>
      </c>
      <c r="C77" s="14"/>
      <c r="D77" s="15">
        <f t="shared" si="10"/>
        <v>0</v>
      </c>
      <c r="E77" s="3">
        <v>0.01</v>
      </c>
      <c r="F77" s="16">
        <v>0.05812</v>
      </c>
      <c r="G77" s="17">
        <v>0.0549</v>
      </c>
    </row>
    <row r="78" spans="1:7">
      <c r="A78" s="13" t="s">
        <v>60</v>
      </c>
      <c r="B78" s="13"/>
      <c r="C78" s="14"/>
      <c r="D78" s="15">
        <f t="shared" ref="D78" si="11">$H$70*E78</f>
        <v>0</v>
      </c>
      <c r="E78" s="17">
        <v>0.0213</v>
      </c>
      <c r="F78" s="16">
        <v>0.0213</v>
      </c>
      <c r="G78" s="17">
        <v>0.0213</v>
      </c>
    </row>
    <row r="81" spans="1:8">
      <c r="A81" s="1"/>
      <c r="B81" s="1"/>
      <c r="C81" s="1"/>
      <c r="D81" s="1"/>
      <c r="E81" s="1"/>
      <c r="F81" s="4" t="s">
        <v>283</v>
      </c>
      <c r="G81" s="4"/>
      <c r="H81" s="5"/>
    </row>
    <row r="82" spans="1:8">
      <c r="A82" s="6" t="s">
        <v>284</v>
      </c>
      <c r="B82" s="6"/>
      <c r="C82" s="7"/>
      <c r="D82" s="7"/>
      <c r="E82" s="7"/>
      <c r="F82" s="7"/>
      <c r="G82" s="8"/>
      <c r="H82" s="9" t="s">
        <v>285</v>
      </c>
    </row>
    <row r="83" ht="28" spans="1:8">
      <c r="A83" s="6"/>
      <c r="B83" s="6"/>
      <c r="C83" s="10" t="s">
        <v>286</v>
      </c>
      <c r="D83" s="10" t="s">
        <v>287</v>
      </c>
      <c r="E83" s="11" t="s">
        <v>288</v>
      </c>
      <c r="F83" s="11" t="s">
        <v>289</v>
      </c>
      <c r="G83" s="11" t="s">
        <v>290</v>
      </c>
      <c r="H83" s="12">
        <f>销量!I8</f>
        <v>0</v>
      </c>
    </row>
    <row r="84" spans="1:7">
      <c r="A84" s="13" t="s">
        <v>291</v>
      </c>
      <c r="B84" s="13"/>
      <c r="C84" s="14"/>
      <c r="D84" s="15">
        <f>$H$83*E84</f>
        <v>0</v>
      </c>
      <c r="E84" s="16">
        <v>0.0581406001265202</v>
      </c>
      <c r="F84" s="16">
        <v>0.10179</v>
      </c>
      <c r="G84" s="17">
        <v>0.06327</v>
      </c>
    </row>
    <row r="85" spans="1:7">
      <c r="A85" s="13" t="s">
        <v>292</v>
      </c>
      <c r="B85" s="13" t="s">
        <v>293</v>
      </c>
      <c r="C85" s="14"/>
      <c r="D85" s="15">
        <f t="shared" ref="D85:D89" si="12">$H$83*E85</f>
        <v>0</v>
      </c>
      <c r="E85" s="17">
        <v>0.045</v>
      </c>
      <c r="F85" s="16">
        <v>0.2</v>
      </c>
      <c r="G85" s="17">
        <v>0.08</v>
      </c>
    </row>
    <row r="86" spans="1:7">
      <c r="A86" s="13"/>
      <c r="B86" s="13" t="s">
        <v>294</v>
      </c>
      <c r="C86" s="14"/>
      <c r="D86" s="15">
        <f t="shared" si="12"/>
        <v>0</v>
      </c>
      <c r="E86" s="16">
        <v>0.0180683568912032</v>
      </c>
      <c r="F86" s="16">
        <v>0.04028</v>
      </c>
      <c r="G86" s="17">
        <v>0.02068</v>
      </c>
    </row>
    <row r="87" spans="1:7">
      <c r="A87" s="18" t="s">
        <v>295</v>
      </c>
      <c r="B87" s="8"/>
      <c r="C87" s="19"/>
      <c r="D87" s="15">
        <f t="shared" si="12"/>
        <v>0</v>
      </c>
      <c r="E87" s="21">
        <f>SUM(E84:E86)</f>
        <v>0.121208957017723</v>
      </c>
      <c r="F87" s="21">
        <f>SUM(F84:F86)</f>
        <v>0.34207</v>
      </c>
      <c r="G87" s="22">
        <f>SUM(G84:G86)</f>
        <v>0.16395</v>
      </c>
    </row>
    <row r="88" spans="1:7">
      <c r="A88" s="13" t="s">
        <v>57</v>
      </c>
      <c r="B88" s="13"/>
      <c r="C88" s="14"/>
      <c r="D88" s="15">
        <f t="shared" si="12"/>
        <v>0</v>
      </c>
      <c r="E88" s="23">
        <v>0.0405633092913798</v>
      </c>
      <c r="F88" s="16">
        <v>0.02935</v>
      </c>
      <c r="G88" s="17">
        <v>0.0492</v>
      </c>
    </row>
    <row r="89" spans="1:7">
      <c r="A89" s="24" t="s">
        <v>296</v>
      </c>
      <c r="B89" s="13" t="s">
        <v>293</v>
      </c>
      <c r="C89" s="14"/>
      <c r="D89" s="15">
        <f t="shared" si="12"/>
        <v>0</v>
      </c>
      <c r="E89" s="17">
        <v>0.0079</v>
      </c>
      <c r="F89" s="16">
        <v>0.02149</v>
      </c>
      <c r="G89" s="17">
        <v>0.00949</v>
      </c>
    </row>
    <row r="90" spans="1:7">
      <c r="A90" s="25"/>
      <c r="B90" s="13" t="s">
        <v>294</v>
      </c>
      <c r="C90" s="14"/>
      <c r="D90" s="15">
        <f t="shared" ref="D90:D91" si="13">$H$83*E90</f>
        <v>0</v>
      </c>
      <c r="E90" s="3">
        <v>0.01</v>
      </c>
      <c r="F90" s="16">
        <v>0.05812</v>
      </c>
      <c r="G90" s="17">
        <v>0.0549</v>
      </c>
    </row>
    <row r="91" spans="1:7">
      <c r="A91" s="13" t="s">
        <v>60</v>
      </c>
      <c r="B91" s="13"/>
      <c r="C91" s="14"/>
      <c r="D91" s="15">
        <f t="shared" si="13"/>
        <v>0</v>
      </c>
      <c r="E91" s="17">
        <v>0.0213</v>
      </c>
      <c r="F91" s="16">
        <v>0.0213</v>
      </c>
      <c r="G91" s="17">
        <v>0.0213</v>
      </c>
    </row>
    <row r="94" spans="1:8">
      <c r="A94" s="1"/>
      <c r="B94" s="1"/>
      <c r="C94" s="1"/>
      <c r="D94" s="1"/>
      <c r="E94" s="1"/>
      <c r="F94" s="4" t="s">
        <v>283</v>
      </c>
      <c r="G94" s="4"/>
      <c r="H94" s="5"/>
    </row>
    <row r="95" spans="1:8">
      <c r="A95" s="6" t="s">
        <v>284</v>
      </c>
      <c r="B95" s="6"/>
      <c r="C95" s="7"/>
      <c r="D95" s="7"/>
      <c r="E95" s="7"/>
      <c r="F95" s="7"/>
      <c r="G95" s="8"/>
      <c r="H95" s="9" t="s">
        <v>285</v>
      </c>
    </row>
    <row r="96" ht="28" spans="1:8">
      <c r="A96" s="6"/>
      <c r="B96" s="6"/>
      <c r="C96" s="10" t="s">
        <v>286</v>
      </c>
      <c r="D96" s="10" t="s">
        <v>287</v>
      </c>
      <c r="E96" s="11" t="s">
        <v>288</v>
      </c>
      <c r="F96" s="11" t="s">
        <v>289</v>
      </c>
      <c r="G96" s="11" t="s">
        <v>290</v>
      </c>
      <c r="H96" s="12">
        <f>销量!J8</f>
        <v>0</v>
      </c>
    </row>
    <row r="97" spans="1:7">
      <c r="A97" s="13" t="s">
        <v>291</v>
      </c>
      <c r="B97" s="13"/>
      <c r="C97" s="14"/>
      <c r="D97" s="15">
        <f>$H$96*E97</f>
        <v>0</v>
      </c>
      <c r="E97" s="16">
        <v>0.0581406001265202</v>
      </c>
      <c r="F97" s="16">
        <v>0.10179</v>
      </c>
      <c r="G97" s="17">
        <v>0.06327</v>
      </c>
    </row>
    <row r="98" spans="1:7">
      <c r="A98" s="13" t="s">
        <v>292</v>
      </c>
      <c r="B98" s="13" t="s">
        <v>293</v>
      </c>
      <c r="C98" s="14"/>
      <c r="D98" s="15">
        <f t="shared" ref="D98:D103" si="14">$H$96*E98</f>
        <v>0</v>
      </c>
      <c r="E98" s="17">
        <v>0.045</v>
      </c>
      <c r="F98" s="16">
        <v>0.2</v>
      </c>
      <c r="G98" s="17">
        <v>0.08</v>
      </c>
    </row>
    <row r="99" spans="1:7">
      <c r="A99" s="13"/>
      <c r="B99" s="13" t="s">
        <v>294</v>
      </c>
      <c r="C99" s="14"/>
      <c r="D99" s="15">
        <f t="shared" si="14"/>
        <v>0</v>
      </c>
      <c r="E99" s="16">
        <v>0.0180683568912032</v>
      </c>
      <c r="F99" s="16">
        <v>0.04028</v>
      </c>
      <c r="G99" s="17">
        <v>0.02068</v>
      </c>
    </row>
    <row r="100" spans="1:7">
      <c r="A100" s="18" t="s">
        <v>295</v>
      </c>
      <c r="B100" s="8"/>
      <c r="C100" s="19"/>
      <c r="D100" s="15">
        <f t="shared" si="14"/>
        <v>0</v>
      </c>
      <c r="E100" s="21">
        <f>SUM(E97:E99)</f>
        <v>0.121208957017723</v>
      </c>
      <c r="F100" s="21">
        <f>SUM(F97:F99)</f>
        <v>0.34207</v>
      </c>
      <c r="G100" s="22">
        <f>SUM(G97:G99)</f>
        <v>0.16395</v>
      </c>
    </row>
    <row r="101" spans="1:7">
      <c r="A101" s="13" t="s">
        <v>57</v>
      </c>
      <c r="B101" s="13"/>
      <c r="C101" s="14"/>
      <c r="D101" s="15">
        <f t="shared" si="14"/>
        <v>0</v>
      </c>
      <c r="E101" s="23">
        <v>0.0405633092913798</v>
      </c>
      <c r="F101" s="16">
        <v>0.02935</v>
      </c>
      <c r="G101" s="17">
        <v>0.0492</v>
      </c>
    </row>
    <row r="102" spans="1:7">
      <c r="A102" s="24" t="s">
        <v>296</v>
      </c>
      <c r="B102" s="13" t="s">
        <v>293</v>
      </c>
      <c r="C102" s="14"/>
      <c r="D102" s="15">
        <f t="shared" si="14"/>
        <v>0</v>
      </c>
      <c r="E102" s="17">
        <v>0.0079</v>
      </c>
      <c r="F102" s="16">
        <v>0.02149</v>
      </c>
      <c r="G102" s="17">
        <v>0.00949</v>
      </c>
    </row>
    <row r="103" spans="1:7">
      <c r="A103" s="25"/>
      <c r="B103" s="13" t="s">
        <v>294</v>
      </c>
      <c r="C103" s="14"/>
      <c r="D103" s="15">
        <f t="shared" si="14"/>
        <v>0</v>
      </c>
      <c r="E103" s="3">
        <v>0.01</v>
      </c>
      <c r="F103" s="16">
        <v>0.05812</v>
      </c>
      <c r="G103" s="17">
        <v>0.0549</v>
      </c>
    </row>
    <row r="104" spans="1:7">
      <c r="A104" s="13" t="s">
        <v>60</v>
      </c>
      <c r="B104" s="13"/>
      <c r="C104" s="14"/>
      <c r="D104" s="15">
        <f t="shared" ref="D104" si="15">$H$96*E104</f>
        <v>0</v>
      </c>
      <c r="E104" s="17">
        <v>0.0213</v>
      </c>
      <c r="F104" s="16">
        <v>0.0213</v>
      </c>
      <c r="G104" s="17">
        <v>0.0213</v>
      </c>
    </row>
    <row r="107" spans="1:8">
      <c r="A107" s="1"/>
      <c r="B107" s="1"/>
      <c r="C107" s="1"/>
      <c r="D107" s="1"/>
      <c r="E107" s="1"/>
      <c r="F107" s="4" t="s">
        <v>283</v>
      </c>
      <c r="G107" s="4"/>
      <c r="H107" s="5"/>
    </row>
    <row r="108" spans="1:8">
      <c r="A108" s="6" t="s">
        <v>284</v>
      </c>
      <c r="B108" s="6"/>
      <c r="C108" s="7"/>
      <c r="D108" s="7"/>
      <c r="E108" s="7"/>
      <c r="F108" s="7"/>
      <c r="G108" s="8"/>
      <c r="H108" s="9" t="s">
        <v>285</v>
      </c>
    </row>
    <row r="109" ht="28" spans="1:8">
      <c r="A109" s="6"/>
      <c r="B109" s="6"/>
      <c r="C109" s="10" t="s">
        <v>286</v>
      </c>
      <c r="D109" s="10" t="s">
        <v>287</v>
      </c>
      <c r="E109" s="11" t="s">
        <v>288</v>
      </c>
      <c r="F109" s="11" t="s">
        <v>289</v>
      </c>
      <c r="G109" s="11" t="s">
        <v>290</v>
      </c>
      <c r="H109" s="12">
        <f>销量!K8</f>
        <v>0</v>
      </c>
    </row>
    <row r="110" spans="1:7">
      <c r="A110" s="13" t="s">
        <v>291</v>
      </c>
      <c r="B110" s="13"/>
      <c r="C110" s="14"/>
      <c r="D110" s="15">
        <f>$H$109*E110</f>
        <v>0</v>
      </c>
      <c r="E110" s="16">
        <v>0.0581406001265202</v>
      </c>
      <c r="F110" s="16">
        <v>0.10179</v>
      </c>
      <c r="G110" s="17">
        <v>0.06327</v>
      </c>
    </row>
    <row r="111" spans="1:7">
      <c r="A111" s="13" t="s">
        <v>292</v>
      </c>
      <c r="B111" s="13" t="s">
        <v>293</v>
      </c>
      <c r="C111" s="14"/>
      <c r="D111" s="15">
        <f t="shared" ref="D111:D116" si="16">$H$109*E111</f>
        <v>0</v>
      </c>
      <c r="E111" s="17">
        <v>0.045</v>
      </c>
      <c r="F111" s="16">
        <v>0.2</v>
      </c>
      <c r="G111" s="17">
        <v>0.08</v>
      </c>
    </row>
    <row r="112" spans="1:7">
      <c r="A112" s="13"/>
      <c r="B112" s="13" t="s">
        <v>294</v>
      </c>
      <c r="C112" s="14"/>
      <c r="D112" s="15">
        <f t="shared" si="16"/>
        <v>0</v>
      </c>
      <c r="E112" s="16">
        <v>0.0180683568912032</v>
      </c>
      <c r="F112" s="16">
        <v>0.04028</v>
      </c>
      <c r="G112" s="17">
        <v>0.02068</v>
      </c>
    </row>
    <row r="113" spans="1:7">
      <c r="A113" s="18" t="s">
        <v>295</v>
      </c>
      <c r="B113" s="8"/>
      <c r="C113" s="19"/>
      <c r="D113" s="15">
        <f t="shared" si="16"/>
        <v>0</v>
      </c>
      <c r="E113" s="21">
        <f>SUM(E110:E112)</f>
        <v>0.121208957017723</v>
      </c>
      <c r="F113" s="21">
        <f>SUM(F110:F112)</f>
        <v>0.34207</v>
      </c>
      <c r="G113" s="22">
        <f>SUM(G110:G112)</f>
        <v>0.16395</v>
      </c>
    </row>
    <row r="114" spans="1:7">
      <c r="A114" s="13" t="s">
        <v>57</v>
      </c>
      <c r="B114" s="13"/>
      <c r="C114" s="14"/>
      <c r="D114" s="15">
        <f t="shared" si="16"/>
        <v>0</v>
      </c>
      <c r="E114" s="23">
        <v>0.0405633092913798</v>
      </c>
      <c r="F114" s="16">
        <v>0.02935</v>
      </c>
      <c r="G114" s="17">
        <v>0.0492</v>
      </c>
    </row>
    <row r="115" spans="1:7">
      <c r="A115" s="24" t="s">
        <v>296</v>
      </c>
      <c r="B115" s="13" t="s">
        <v>293</v>
      </c>
      <c r="C115" s="14"/>
      <c r="D115" s="15">
        <f t="shared" si="16"/>
        <v>0</v>
      </c>
      <c r="E115" s="17">
        <v>0.0079</v>
      </c>
      <c r="F115" s="16">
        <v>0.02149</v>
      </c>
      <c r="G115" s="17">
        <v>0.00949</v>
      </c>
    </row>
    <row r="116" spans="1:7">
      <c r="A116" s="25"/>
      <c r="B116" s="13" t="s">
        <v>294</v>
      </c>
      <c r="C116" s="14"/>
      <c r="D116" s="15">
        <f t="shared" si="16"/>
        <v>0</v>
      </c>
      <c r="E116" s="3">
        <v>0.01</v>
      </c>
      <c r="F116" s="16">
        <v>0.05812</v>
      </c>
      <c r="G116" s="17">
        <v>0.0549</v>
      </c>
    </row>
    <row r="117" spans="1:7">
      <c r="A117" s="13" t="s">
        <v>60</v>
      </c>
      <c r="B117" s="13"/>
      <c r="C117" s="14"/>
      <c r="D117" s="15">
        <f t="shared" ref="D117" si="17">$H$109*E117</f>
        <v>0</v>
      </c>
      <c r="E117" s="17">
        <v>0.0213</v>
      </c>
      <c r="F117" s="16">
        <v>0.0213</v>
      </c>
      <c r="G117" s="17">
        <v>0.0213</v>
      </c>
    </row>
  </sheetData>
  <mergeCells count="81">
    <mergeCell ref="F1:G1"/>
    <mergeCell ref="C2:G2"/>
    <mergeCell ref="A4:B4"/>
    <mergeCell ref="A7:B7"/>
    <mergeCell ref="A8:B8"/>
    <mergeCell ref="A11:B11"/>
    <mergeCell ref="F15:G15"/>
    <mergeCell ref="C16:G16"/>
    <mergeCell ref="A18:B18"/>
    <mergeCell ref="A21:B21"/>
    <mergeCell ref="A22:B22"/>
    <mergeCell ref="A25:B25"/>
    <mergeCell ref="F29:G29"/>
    <mergeCell ref="C30:G30"/>
    <mergeCell ref="A32:B32"/>
    <mergeCell ref="A35:B35"/>
    <mergeCell ref="A36:B36"/>
    <mergeCell ref="A39:B39"/>
    <mergeCell ref="F42:G42"/>
    <mergeCell ref="C43:G43"/>
    <mergeCell ref="A45:B45"/>
    <mergeCell ref="A48:B48"/>
    <mergeCell ref="A49:B49"/>
    <mergeCell ref="A52:B52"/>
    <mergeCell ref="F55:G55"/>
    <mergeCell ref="C56:G56"/>
    <mergeCell ref="A58:B58"/>
    <mergeCell ref="A61:B61"/>
    <mergeCell ref="A62:B62"/>
    <mergeCell ref="A65:B65"/>
    <mergeCell ref="F68:G68"/>
    <mergeCell ref="C69:G69"/>
    <mergeCell ref="A71:B71"/>
    <mergeCell ref="A74:B74"/>
    <mergeCell ref="A75:B75"/>
    <mergeCell ref="A78:B78"/>
    <mergeCell ref="F81:G81"/>
    <mergeCell ref="C82:G82"/>
    <mergeCell ref="A84:B84"/>
    <mergeCell ref="A87:B87"/>
    <mergeCell ref="A88:B88"/>
    <mergeCell ref="A91:B91"/>
    <mergeCell ref="F94:G94"/>
    <mergeCell ref="C95:G95"/>
    <mergeCell ref="A97:B97"/>
    <mergeCell ref="A100:B100"/>
    <mergeCell ref="A101:B101"/>
    <mergeCell ref="A104:B104"/>
    <mergeCell ref="F107:G107"/>
    <mergeCell ref="C108:G108"/>
    <mergeCell ref="A110:B110"/>
    <mergeCell ref="A113:B113"/>
    <mergeCell ref="A114:B114"/>
    <mergeCell ref="A117:B117"/>
    <mergeCell ref="A5:A6"/>
    <mergeCell ref="A9:A10"/>
    <mergeCell ref="A19:A20"/>
    <mergeCell ref="A23:A24"/>
    <mergeCell ref="A33:A34"/>
    <mergeCell ref="A37:A38"/>
    <mergeCell ref="A46:A47"/>
    <mergeCell ref="A50:A51"/>
    <mergeCell ref="A59:A60"/>
    <mergeCell ref="A63:A64"/>
    <mergeCell ref="A72:A73"/>
    <mergeCell ref="A76:A77"/>
    <mergeCell ref="A85:A86"/>
    <mergeCell ref="A89:A90"/>
    <mergeCell ref="A98:A99"/>
    <mergeCell ref="A102:A103"/>
    <mergeCell ref="A111:A112"/>
    <mergeCell ref="A115:A116"/>
    <mergeCell ref="A2:B3"/>
    <mergeCell ref="A16:B17"/>
    <mergeCell ref="A30:B31"/>
    <mergeCell ref="A43:B44"/>
    <mergeCell ref="A56:B57"/>
    <mergeCell ref="A69:B70"/>
    <mergeCell ref="A82:B83"/>
    <mergeCell ref="A95:B96"/>
    <mergeCell ref="A108:B109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4"/>
  <sheetViews>
    <sheetView tabSelected="1" workbookViewId="0">
      <pane xSplit="3" ySplit="7" topLeftCell="D8" activePane="bottomRight" state="frozen"/>
      <selection/>
      <selection pane="topRight"/>
      <selection pane="bottomLeft"/>
      <selection pane="bottomRight" activeCell="E24" sqref="E24"/>
    </sheetView>
  </sheetViews>
  <sheetFormatPr defaultColWidth="9" defaultRowHeight="14.5"/>
  <cols>
    <col min="1" max="1" width="5.12727272727273" style="251" customWidth="1"/>
    <col min="2" max="2" width="35.7545454545455" style="251" customWidth="1"/>
    <col min="3" max="3" width="14.5" style="252" customWidth="1"/>
    <col min="4" max="7" width="13" style="252" customWidth="1"/>
    <col min="8" max="8" width="15.1272727272727" style="252" customWidth="1"/>
    <col min="9" max="9" width="15.5" style="251" customWidth="1"/>
    <col min="10" max="35" width="9" style="251"/>
    <col min="36" max="36" width="4.37272727272727" style="251" customWidth="1"/>
    <col min="37" max="37" width="13.8727272727273" style="251" customWidth="1"/>
    <col min="38" max="16384" width="9" style="251"/>
  </cols>
  <sheetData>
    <row r="1" ht="27" customHeight="1" spans="1:8">
      <c r="A1" s="253" t="s">
        <v>19</v>
      </c>
      <c r="B1" s="253"/>
      <c r="C1" s="253"/>
      <c r="D1" s="253"/>
      <c r="E1" s="253"/>
      <c r="F1" s="253"/>
      <c r="G1" s="253"/>
      <c r="H1" s="253"/>
    </row>
    <row r="2" s="248" customFormat="1" ht="15.75" customHeight="1" spans="1:8">
      <c r="A2" s="254"/>
      <c r="B2" s="255"/>
      <c r="C2" s="255"/>
      <c r="D2" s="255"/>
      <c r="E2" s="255"/>
      <c r="F2" s="255"/>
      <c r="G2" s="255" t="s">
        <v>20</v>
      </c>
      <c r="H2" s="255"/>
    </row>
    <row r="3" ht="15.75" customHeight="1" spans="1:38">
      <c r="A3" s="256" t="s">
        <v>21</v>
      </c>
      <c r="B3" s="257" t="s">
        <v>1</v>
      </c>
      <c r="C3" s="257" t="s">
        <v>22</v>
      </c>
      <c r="D3" s="257" t="s">
        <v>23</v>
      </c>
      <c r="E3" s="257" t="s">
        <v>24</v>
      </c>
      <c r="F3" s="257" t="s">
        <v>25</v>
      </c>
      <c r="G3" s="257" t="s">
        <v>26</v>
      </c>
      <c r="H3" s="183" t="s">
        <v>27</v>
      </c>
      <c r="AL3" s="251" t="s">
        <v>28</v>
      </c>
    </row>
    <row r="4" s="176" customFormat="1" ht="15.75" customHeight="1" spans="1:38">
      <c r="A4" s="258"/>
      <c r="B4" s="185" t="s">
        <v>3</v>
      </c>
      <c r="C4" s="259">
        <f>'2023年'!K6</f>
        <v>3000</v>
      </c>
      <c r="D4" s="259">
        <f>'2024年'!K6</f>
        <v>6000</v>
      </c>
      <c r="E4" s="259">
        <f>'2025年'!K6</f>
        <v>8000</v>
      </c>
      <c r="F4" s="259">
        <f>'2026年'!K6</f>
        <v>0</v>
      </c>
      <c r="G4" s="259">
        <f>'2027年'!K6</f>
        <v>0</v>
      </c>
      <c r="H4" s="259">
        <f>SUM(C4:G4)</f>
        <v>17000</v>
      </c>
      <c r="I4" s="203"/>
      <c r="AJ4" s="184" t="s">
        <v>21</v>
      </c>
      <c r="AK4" s="185" t="s">
        <v>3</v>
      </c>
      <c r="AL4" s="176" t="s">
        <v>29</v>
      </c>
    </row>
    <row r="5" s="176" customFormat="1" ht="15.75" customHeight="1" spans="1:38">
      <c r="A5" s="178">
        <v>1</v>
      </c>
      <c r="B5" s="185" t="s">
        <v>30</v>
      </c>
      <c r="C5" s="259">
        <f>'2023年'!K7</f>
        <v>2475000</v>
      </c>
      <c r="D5" s="259">
        <f>'2024年'!K7</f>
        <v>4950000</v>
      </c>
      <c r="E5" s="259">
        <f>'2025年'!K7</f>
        <v>6600000</v>
      </c>
      <c r="F5" s="259">
        <f>'2026年'!K7</f>
        <v>0</v>
      </c>
      <c r="G5" s="259">
        <f>'2027年'!K7</f>
        <v>0</v>
      </c>
      <c r="H5" s="259">
        <f t="shared" ref="H5:H12" si="0">SUM(C5:G5)</f>
        <v>14025000</v>
      </c>
      <c r="I5" s="203"/>
      <c r="AJ5" s="184" t="s">
        <v>31</v>
      </c>
      <c r="AK5" s="185" t="s">
        <v>30</v>
      </c>
      <c r="AL5" s="176" t="s">
        <v>29</v>
      </c>
    </row>
    <row r="6" s="176" customFormat="1" ht="15.75" customHeight="1" spans="1:38">
      <c r="A6" s="178">
        <v>2</v>
      </c>
      <c r="B6" s="178" t="s">
        <v>32</v>
      </c>
      <c r="C6" s="259">
        <f>'2023年'!K8</f>
        <v>0</v>
      </c>
      <c r="D6" s="259">
        <f>'2024年'!K8</f>
        <v>198000</v>
      </c>
      <c r="E6" s="259">
        <f>'2025年'!K8</f>
        <v>517440</v>
      </c>
      <c r="F6" s="259">
        <f>'2026年'!K8</f>
        <v>0</v>
      </c>
      <c r="G6" s="259">
        <f>'2027年'!K8</f>
        <v>0</v>
      </c>
      <c r="H6" s="259">
        <f t="shared" si="0"/>
        <v>715440</v>
      </c>
      <c r="I6" s="203"/>
      <c r="AJ6" s="184" t="s">
        <v>33</v>
      </c>
      <c r="AK6" s="178" t="s">
        <v>34</v>
      </c>
      <c r="AL6" s="176" t="s">
        <v>29</v>
      </c>
    </row>
    <row r="7" s="176" customFormat="1" ht="15.75" customHeight="1" spans="1:38">
      <c r="A7" s="178">
        <v>3</v>
      </c>
      <c r="B7" s="185" t="s">
        <v>35</v>
      </c>
      <c r="C7" s="260">
        <f>+C5-C6</f>
        <v>2475000</v>
      </c>
      <c r="D7" s="260">
        <f>'2024年'!K9</f>
        <v>4752000</v>
      </c>
      <c r="E7" s="260">
        <f>'2025年'!K9</f>
        <v>6082560</v>
      </c>
      <c r="F7" s="260">
        <f>'2026年'!K9</f>
        <v>0</v>
      </c>
      <c r="G7" s="260">
        <f>'2027年'!K9</f>
        <v>0</v>
      </c>
      <c r="H7" s="259">
        <f t="shared" si="0"/>
        <v>13309560</v>
      </c>
      <c r="I7" s="203"/>
      <c r="AJ7" s="184" t="s">
        <v>36</v>
      </c>
      <c r="AK7" s="185" t="s">
        <v>35</v>
      </c>
      <c r="AL7" s="176" t="s">
        <v>37</v>
      </c>
    </row>
    <row r="8" s="176" customFormat="1" ht="15.75" customHeight="1" spans="1:38">
      <c r="A8" s="178">
        <v>4</v>
      </c>
      <c r="B8" s="184" t="s">
        <v>38</v>
      </c>
      <c r="C8" s="259">
        <f>'2023年'!K10</f>
        <v>1716315</v>
      </c>
      <c r="D8" s="259">
        <f>'2024年'!K10</f>
        <v>3330774</v>
      </c>
      <c r="E8" s="259">
        <f>'2025年'!K10</f>
        <v>4396621.68</v>
      </c>
      <c r="F8" s="259">
        <f>'2026年'!K10</f>
        <v>0</v>
      </c>
      <c r="G8" s="259">
        <f>'2027年'!K10</f>
        <v>0</v>
      </c>
      <c r="H8" s="259">
        <f t="shared" si="0"/>
        <v>9443710.68</v>
      </c>
      <c r="I8" s="203"/>
      <c r="AJ8" s="184" t="s">
        <v>39</v>
      </c>
      <c r="AK8" s="184" t="s">
        <v>38</v>
      </c>
      <c r="AL8" s="176" t="s">
        <v>40</v>
      </c>
    </row>
    <row r="9" s="176" customFormat="1" ht="15.75" customHeight="1" spans="1:37">
      <c r="A9" s="178">
        <v>5</v>
      </c>
      <c r="B9" s="184" t="s">
        <v>41</v>
      </c>
      <c r="C9" s="259">
        <f>'2023年'!K11</f>
        <v>139144.466271827</v>
      </c>
      <c r="D9" s="259">
        <f>'2024年'!K11</f>
        <v>278288.932543654</v>
      </c>
      <c r="E9" s="259">
        <f>'2025年'!K11</f>
        <v>371051.910058205</v>
      </c>
      <c r="F9" s="259">
        <f>'2026年'!K11</f>
        <v>0</v>
      </c>
      <c r="G9" s="259">
        <f>'2027年'!K11</f>
        <v>0</v>
      </c>
      <c r="H9" s="259">
        <f t="shared" si="0"/>
        <v>788485.308873686</v>
      </c>
      <c r="I9" s="203"/>
      <c r="AJ9" s="184" t="s">
        <v>42</v>
      </c>
      <c r="AK9" s="184" t="s">
        <v>41</v>
      </c>
    </row>
    <row r="10" s="176" customFormat="1" ht="15.75" customHeight="1" spans="1:37">
      <c r="A10" s="178">
        <v>6</v>
      </c>
      <c r="B10" s="184" t="s">
        <v>43</v>
      </c>
      <c r="C10" s="259">
        <f>'2023年'!K12</f>
        <v>37313.0742626646</v>
      </c>
      <c r="D10" s="259">
        <f>'2024年'!K12</f>
        <v>74626.1485253292</v>
      </c>
      <c r="E10" s="259">
        <f>'2025年'!K12</f>
        <v>99501.5313671056</v>
      </c>
      <c r="F10" s="259">
        <f>'2026年'!K12</f>
        <v>0</v>
      </c>
      <c r="G10" s="259">
        <f>'2027年'!K12</f>
        <v>0</v>
      </c>
      <c r="H10" s="259">
        <f t="shared" si="0"/>
        <v>211440.754155099</v>
      </c>
      <c r="I10" s="203"/>
      <c r="AJ10" s="184" t="s">
        <v>44</v>
      </c>
      <c r="AK10" s="184" t="s">
        <v>43</v>
      </c>
    </row>
    <row r="11" s="176" customFormat="1" ht="15.75" customHeight="1" spans="1:38">
      <c r="A11" s="178">
        <v>7</v>
      </c>
      <c r="B11" s="261" t="s">
        <v>45</v>
      </c>
      <c r="C11" s="259">
        <f>'2023年'!K13</f>
        <v>99000</v>
      </c>
      <c r="D11" s="259">
        <f>'2024年'!K13</f>
        <v>198000</v>
      </c>
      <c r="E11" s="259">
        <f>'2025年'!K13</f>
        <v>264000</v>
      </c>
      <c r="F11" s="259">
        <f>'2026年'!K13</f>
        <v>0</v>
      </c>
      <c r="G11" s="259">
        <f>'2027年'!K13</f>
        <v>0</v>
      </c>
      <c r="H11" s="259">
        <f t="shared" si="0"/>
        <v>561000</v>
      </c>
      <c r="I11" s="203"/>
      <c r="AJ11" s="184" t="s">
        <v>46</v>
      </c>
      <c r="AK11" s="184" t="s">
        <v>45</v>
      </c>
      <c r="AL11" s="176" t="s">
        <v>29</v>
      </c>
    </row>
    <row r="12" s="176" customFormat="1" ht="15.75" customHeight="1" spans="1:37">
      <c r="A12" s="178">
        <v>8</v>
      </c>
      <c r="B12" s="262" t="s">
        <v>47</v>
      </c>
      <c r="C12" s="263">
        <f>'2023年'!K14</f>
        <v>275457.540534492</v>
      </c>
      <c r="D12" s="263">
        <f>'2024年'!K14</f>
        <v>550915.081068983</v>
      </c>
      <c r="E12" s="263">
        <f>'2025年'!K14</f>
        <v>734553.441425311</v>
      </c>
      <c r="F12" s="263">
        <f>'2026年'!K14</f>
        <v>0</v>
      </c>
      <c r="G12" s="263">
        <f>'2027年'!K14</f>
        <v>0</v>
      </c>
      <c r="H12" s="263">
        <f t="shared" si="0"/>
        <v>1560926.06302879</v>
      </c>
      <c r="I12" s="203"/>
      <c r="AJ12" s="184" t="s">
        <v>48</v>
      </c>
      <c r="AK12" s="188" t="s">
        <v>47</v>
      </c>
    </row>
    <row r="13" s="176" customFormat="1" ht="15.75" customHeight="1" spans="1:37">
      <c r="A13" s="178">
        <v>9</v>
      </c>
      <c r="B13" s="264" t="s">
        <v>49</v>
      </c>
      <c r="C13" s="259">
        <f>'2023年'!K15</f>
        <v>483227.459465508</v>
      </c>
      <c r="D13" s="259">
        <f>'2024年'!K15</f>
        <v>870310.918931017</v>
      </c>
      <c r="E13" s="259">
        <f>'2025年'!K15</f>
        <v>951384.878574689</v>
      </c>
      <c r="F13" s="259">
        <f>'2026年'!K15</f>
        <v>0</v>
      </c>
      <c r="G13" s="259">
        <f>'2027年'!K15</f>
        <v>0</v>
      </c>
      <c r="H13" s="259">
        <f>H7-H8-H12</f>
        <v>2304923.25697121</v>
      </c>
      <c r="I13" s="203"/>
      <c r="K13" s="251"/>
      <c r="L13" s="251"/>
      <c r="M13" s="251"/>
      <c r="N13" s="251"/>
      <c r="O13" s="251"/>
      <c r="P13" s="251"/>
      <c r="AJ13" s="184" t="s">
        <v>50</v>
      </c>
      <c r="AK13" s="188" t="s">
        <v>49</v>
      </c>
    </row>
    <row r="14" ht="15.75" customHeight="1" spans="1:37">
      <c r="A14" s="178">
        <v>10</v>
      </c>
      <c r="B14" s="265" t="s">
        <v>51</v>
      </c>
      <c r="C14" s="266">
        <f>+C13/C7</f>
        <v>0.195243417965862</v>
      </c>
      <c r="D14" s="266">
        <f>'2024年'!K16</f>
        <v>0.183146237148783</v>
      </c>
      <c r="E14" s="267">
        <f>'2025年'!K16</f>
        <v>0.156411918431497</v>
      </c>
      <c r="F14" s="267" t="e">
        <f>'2026年'!K16</f>
        <v>#DIV/0!</v>
      </c>
      <c r="G14" s="267"/>
      <c r="H14" s="266">
        <f>+H13/H7</f>
        <v>0.17317802068372</v>
      </c>
      <c r="I14" s="203"/>
      <c r="AJ14" s="265" t="s">
        <v>52</v>
      </c>
      <c r="AK14" s="265" t="s">
        <v>51</v>
      </c>
    </row>
    <row r="15" ht="15.75" customHeight="1" spans="1:37">
      <c r="A15" s="178">
        <v>11</v>
      </c>
      <c r="B15" s="265" t="s">
        <v>53</v>
      </c>
      <c r="C15" s="259">
        <f>'2023年'!K17</f>
        <v>206375</v>
      </c>
      <c r="D15" s="259">
        <f>'2024年'!K17</f>
        <v>317750</v>
      </c>
      <c r="E15" s="259">
        <f>'2025年'!K17</f>
        <v>392000</v>
      </c>
      <c r="F15" s="259"/>
      <c r="G15" s="259"/>
      <c r="H15" s="259">
        <f>SUM(C15:G15)</f>
        <v>916125</v>
      </c>
      <c r="I15" s="203"/>
      <c r="AJ15" s="265" t="s">
        <v>54</v>
      </c>
      <c r="AK15" s="265" t="s">
        <v>53</v>
      </c>
    </row>
    <row r="16" ht="15.75" hidden="1" customHeight="1" spans="1:37">
      <c r="A16" s="178"/>
      <c r="B16" s="265"/>
      <c r="C16" s="259"/>
      <c r="D16" s="259"/>
      <c r="E16" s="259"/>
      <c r="F16" s="259"/>
      <c r="G16" s="259"/>
      <c r="H16" s="259"/>
      <c r="I16" s="203"/>
      <c r="AJ16" s="265"/>
      <c r="AK16" s="265"/>
    </row>
    <row r="17" ht="15.75" customHeight="1" spans="1:38">
      <c r="A17" s="178">
        <v>12</v>
      </c>
      <c r="B17" s="265" t="s">
        <v>55</v>
      </c>
      <c r="C17" s="268">
        <f>'2023年'!K19</f>
        <v>17325</v>
      </c>
      <c r="D17" s="268">
        <f>'2024年'!K19</f>
        <v>34650</v>
      </c>
      <c r="E17" s="268">
        <f>'2025年'!K19</f>
        <v>46200</v>
      </c>
      <c r="F17" s="268">
        <f>'2026年'!K19</f>
        <v>0</v>
      </c>
      <c r="G17" s="268">
        <f>'2027年'!K19</f>
        <v>0</v>
      </c>
      <c r="H17" s="259">
        <f>SUM(C17:G17)</f>
        <v>98175</v>
      </c>
      <c r="I17" s="203"/>
      <c r="Q17" s="203"/>
      <c r="AJ17" s="265" t="s">
        <v>56</v>
      </c>
      <c r="AK17" s="265" t="s">
        <v>55</v>
      </c>
      <c r="AL17" s="251" t="s">
        <v>29</v>
      </c>
    </row>
    <row r="18" ht="15.75" customHeight="1" spans="1:37">
      <c r="A18" s="178">
        <v>13</v>
      </c>
      <c r="B18" s="265" t="s">
        <v>57</v>
      </c>
      <c r="C18" s="268">
        <f>'2023年'!K20</f>
        <v>99000</v>
      </c>
      <c r="D18" s="268">
        <f>'2024年'!K20</f>
        <v>198000</v>
      </c>
      <c r="E18" s="268">
        <f>'2025年'!K20</f>
        <v>264000</v>
      </c>
      <c r="F18" s="268">
        <f>'2026年'!K20</f>
        <v>0</v>
      </c>
      <c r="G18" s="268">
        <f>'2027年'!K20</f>
        <v>0</v>
      </c>
      <c r="H18" s="259">
        <f>SUM(C18:G18)</f>
        <v>561000</v>
      </c>
      <c r="I18" s="203"/>
      <c r="AJ18" s="265" t="s">
        <v>58</v>
      </c>
      <c r="AK18" s="265" t="s">
        <v>57</v>
      </c>
    </row>
    <row r="19" s="175" customFormat="1" ht="15.75" customHeight="1" spans="1:37">
      <c r="A19" s="178">
        <v>14</v>
      </c>
      <c r="B19" s="193" t="s">
        <v>59</v>
      </c>
      <c r="C19" s="269">
        <f>'2023年'!K21</f>
        <v>86666.6666666667</v>
      </c>
      <c r="D19" s="269">
        <f>'2024年'!K21</f>
        <v>86666.6666666667</v>
      </c>
      <c r="E19" s="269">
        <f>'2025年'!K21</f>
        <v>86666.6666666667</v>
      </c>
      <c r="F19" s="269">
        <f>'2026年'!K21</f>
        <v>0</v>
      </c>
      <c r="G19" s="269">
        <f>'2027年'!K21</f>
        <v>0</v>
      </c>
      <c r="H19" s="259">
        <f>SUM(C19:G19)</f>
        <v>260000</v>
      </c>
      <c r="I19" s="203"/>
      <c r="AJ19" s="193"/>
      <c r="AK19" s="193"/>
    </row>
    <row r="20" s="176" customFormat="1" ht="15.75" customHeight="1" spans="1:37">
      <c r="A20" s="178">
        <v>15</v>
      </c>
      <c r="B20" s="184" t="s">
        <v>60</v>
      </c>
      <c r="C20" s="268">
        <f>'2023年'!K22</f>
        <v>52717.5</v>
      </c>
      <c r="D20" s="268">
        <f>'2024年'!K22</f>
        <v>105435</v>
      </c>
      <c r="E20" s="268">
        <f>'2025年'!K22</f>
        <v>140580</v>
      </c>
      <c r="F20" s="268">
        <f>'2026年'!K22</f>
        <v>0</v>
      </c>
      <c r="G20" s="268">
        <f>'2027年'!K22</f>
        <v>0</v>
      </c>
      <c r="H20" s="259">
        <f>SUM(C20:G20)</f>
        <v>298732.5</v>
      </c>
      <c r="I20" s="203"/>
      <c r="AJ20" s="184" t="s">
        <v>61</v>
      </c>
      <c r="AK20" s="184" t="s">
        <v>60</v>
      </c>
    </row>
    <row r="21" s="249" customFormat="1" ht="15.75" customHeight="1" spans="1:37">
      <c r="A21" s="178">
        <v>16</v>
      </c>
      <c r="B21" s="270" t="s">
        <v>62</v>
      </c>
      <c r="C21" s="263">
        <f t="shared" ref="C21" si="1">+C20+C19+C18+C17+C15</f>
        <v>462084.166666667</v>
      </c>
      <c r="D21" s="263">
        <f>'2024年'!K23</f>
        <v>742501.666666667</v>
      </c>
      <c r="E21" s="263">
        <f>'2025年'!K23</f>
        <v>929446.666666667</v>
      </c>
      <c r="F21" s="263"/>
      <c r="G21" s="263"/>
      <c r="H21" s="263">
        <f>SUM(C21:G21)</f>
        <v>2134032.5</v>
      </c>
      <c r="I21" s="203"/>
      <c r="AJ21" s="284" t="s">
        <v>63</v>
      </c>
      <c r="AK21" s="285" t="s">
        <v>62</v>
      </c>
    </row>
    <row r="22" ht="15.75" customHeight="1" spans="1:37">
      <c r="A22" s="178">
        <v>17</v>
      </c>
      <c r="B22" s="265" t="s">
        <v>64</v>
      </c>
      <c r="C22" s="271">
        <f>+C13-C21</f>
        <v>21143.2927988417</v>
      </c>
      <c r="D22" s="271">
        <f>'2024年'!K24</f>
        <v>127809.25226435</v>
      </c>
      <c r="E22" s="271">
        <f>'2025年'!K24</f>
        <v>21938.2119080219</v>
      </c>
      <c r="F22" s="271" t="e">
        <f>'2026年'!K24</f>
        <v>#DIV/0!</v>
      </c>
      <c r="G22" s="271" t="e">
        <f>'2027年'!K24</f>
        <v>#DIV/0!</v>
      </c>
      <c r="H22" s="271">
        <f>+H13-H21</f>
        <v>170890.756971215</v>
      </c>
      <c r="I22" s="203"/>
      <c r="AJ22" s="265" t="s">
        <v>65</v>
      </c>
      <c r="AK22" s="265" t="s">
        <v>64</v>
      </c>
    </row>
    <row r="23" ht="15.75" customHeight="1" spans="1:37">
      <c r="A23" s="178">
        <v>18</v>
      </c>
      <c r="B23" s="265" t="s">
        <v>66</v>
      </c>
      <c r="C23" s="271">
        <f>IF(C22&lt;0,0,C22*0.15)</f>
        <v>3171.49391982626</v>
      </c>
      <c r="D23" s="271">
        <f>'2024年'!K25</f>
        <v>19171.3878396525</v>
      </c>
      <c r="E23" s="271">
        <f>'2025年'!K25</f>
        <v>3290.73178620329</v>
      </c>
      <c r="F23" s="271" t="e">
        <f>'2026年'!K25</f>
        <v>#DIV/0!</v>
      </c>
      <c r="G23" s="271" t="e">
        <f>'2027年'!K25</f>
        <v>#DIV/0!</v>
      </c>
      <c r="H23" s="271">
        <f>IF(H22&lt;0,0,H22*0.15)</f>
        <v>25633.6135456822</v>
      </c>
      <c r="I23" s="203"/>
      <c r="AJ23" s="265" t="s">
        <v>67</v>
      </c>
      <c r="AK23" s="265" t="s">
        <v>66</v>
      </c>
    </row>
    <row r="24" ht="15.75" customHeight="1" spans="1:37">
      <c r="A24" s="178">
        <v>19</v>
      </c>
      <c r="B24" s="265" t="s">
        <v>68</v>
      </c>
      <c r="C24" s="271">
        <f>C22-C23</f>
        <v>17971.7988790155</v>
      </c>
      <c r="D24" s="271">
        <f>'2024年'!K26</f>
        <v>108637.864424697</v>
      </c>
      <c r="E24" s="271">
        <f>'2025年'!K26</f>
        <v>-30047.4579027173</v>
      </c>
      <c r="F24" s="271" t="e">
        <f>'2026年'!K26</f>
        <v>#DIV/0!</v>
      </c>
      <c r="G24" s="271" t="e">
        <f>'2027年'!K26</f>
        <v>#DIV/0!</v>
      </c>
      <c r="H24" s="271">
        <f>H22-H23</f>
        <v>145257.143425533</v>
      </c>
      <c r="I24" s="203"/>
      <c r="AJ24" s="265" t="s">
        <v>69</v>
      </c>
      <c r="AK24" s="265" t="s">
        <v>68</v>
      </c>
    </row>
    <row r="25" ht="15.75" customHeight="1" spans="1:37">
      <c r="A25" s="178">
        <v>20</v>
      </c>
      <c r="B25" s="265" t="s">
        <v>70</v>
      </c>
      <c r="C25" s="272">
        <f>(C24/C5)*100%</f>
        <v>0.00726133288041029</v>
      </c>
      <c r="D25" s="272">
        <f>'2024年'!K27</f>
        <v>0.0219470433181207</v>
      </c>
      <c r="E25" s="272">
        <f>'2025年'!K27</f>
        <v>-0.00455264513677535</v>
      </c>
      <c r="F25" s="272" t="e">
        <f>'2026年'!K27</f>
        <v>#DIV/0!</v>
      </c>
      <c r="G25" s="272" t="e">
        <f>'2027年'!K27</f>
        <v>#DIV/0!</v>
      </c>
      <c r="H25" s="272">
        <f>(H24/H5)*100%</f>
        <v>0.010357015574013</v>
      </c>
      <c r="I25" s="203"/>
      <c r="AJ25" s="286" t="s">
        <v>71</v>
      </c>
      <c r="AK25" s="286" t="s">
        <v>72</v>
      </c>
    </row>
    <row r="26" s="250" customFormat="1" ht="15.75" customHeight="1" spans="3:9">
      <c r="C26" s="273"/>
      <c r="D26" s="273"/>
      <c r="E26" s="273"/>
      <c r="F26" s="273"/>
      <c r="G26" s="273"/>
      <c r="H26" s="273"/>
      <c r="I26" s="283"/>
    </row>
    <row r="27" s="250" customFormat="1" ht="15.75" customHeight="1" spans="1:36">
      <c r="A27" s="250" t="s">
        <v>73</v>
      </c>
      <c r="C27" s="274"/>
      <c r="D27" s="274"/>
      <c r="E27" s="274"/>
      <c r="F27" s="274"/>
      <c r="G27" s="274"/>
      <c r="H27" s="274"/>
      <c r="I27" s="283"/>
      <c r="AJ27" s="250" t="s">
        <v>73</v>
      </c>
    </row>
    <row r="28" ht="15.75" customHeight="1" spans="1:38">
      <c r="A28" s="265" t="s">
        <v>21</v>
      </c>
      <c r="B28" s="275" t="s">
        <v>1</v>
      </c>
      <c r="C28" s="257" t="s">
        <v>74</v>
      </c>
      <c r="D28" s="257" t="s">
        <v>75</v>
      </c>
      <c r="E28" s="257" t="s">
        <v>76</v>
      </c>
      <c r="F28" s="257" t="s">
        <v>77</v>
      </c>
      <c r="G28" s="257" t="s">
        <v>78</v>
      </c>
      <c r="H28" s="183" t="s">
        <v>27</v>
      </c>
      <c r="AL28" s="251" t="s">
        <v>28</v>
      </c>
    </row>
    <row r="29" s="176" customFormat="1" ht="15.75" customHeight="1" spans="1:37">
      <c r="A29" s="184" t="s">
        <v>79</v>
      </c>
      <c r="B29" s="188" t="s">
        <v>80</v>
      </c>
      <c r="C29" s="192"/>
      <c r="D29" s="192"/>
      <c r="E29" s="192"/>
      <c r="F29" s="192"/>
      <c r="G29" s="192"/>
      <c r="H29" s="192"/>
      <c r="I29" s="203"/>
      <c r="AJ29" s="184" t="s">
        <v>81</v>
      </c>
      <c r="AK29" s="188" t="s">
        <v>80</v>
      </c>
    </row>
    <row r="30" s="176" customFormat="1" ht="15.75" customHeight="1" spans="1:37">
      <c r="A30" s="184" t="s">
        <v>31</v>
      </c>
      <c r="B30" s="184" t="s">
        <v>82</v>
      </c>
      <c r="C30" s="187">
        <f>+C7/C4</f>
        <v>825</v>
      </c>
      <c r="D30" s="187">
        <f t="shared" ref="D30:H30" si="2">+D7/D4</f>
        <v>792</v>
      </c>
      <c r="E30" s="187">
        <f t="shared" si="2"/>
        <v>760.32</v>
      </c>
      <c r="F30" s="187" t="e">
        <f t="shared" si="2"/>
        <v>#DIV/0!</v>
      </c>
      <c r="G30" s="187" t="e">
        <f t="shared" si="2"/>
        <v>#DIV/0!</v>
      </c>
      <c r="H30" s="187">
        <f t="shared" si="2"/>
        <v>782.915294117647</v>
      </c>
      <c r="I30" s="203"/>
      <c r="AJ30" s="184" t="s">
        <v>31</v>
      </c>
      <c r="AK30" s="184" t="s">
        <v>82</v>
      </c>
    </row>
    <row r="31" s="176" customFormat="1" ht="15.75" customHeight="1" spans="1:37">
      <c r="A31" s="184" t="s">
        <v>33</v>
      </c>
      <c r="B31" s="184" t="s">
        <v>83</v>
      </c>
      <c r="C31" s="187">
        <f>+C8/C4</f>
        <v>572.105</v>
      </c>
      <c r="D31" s="187">
        <f t="shared" ref="D31:H31" si="3">+D8/D4</f>
        <v>555.129</v>
      </c>
      <c r="E31" s="187">
        <f t="shared" si="3"/>
        <v>549.57771</v>
      </c>
      <c r="F31" s="187" t="e">
        <f t="shared" si="3"/>
        <v>#DIV/0!</v>
      </c>
      <c r="G31" s="187" t="e">
        <f t="shared" si="3"/>
        <v>#DIV/0!</v>
      </c>
      <c r="H31" s="187">
        <f t="shared" si="3"/>
        <v>555.512392941176</v>
      </c>
      <c r="I31" s="203"/>
      <c r="AJ31" s="184" t="s">
        <v>33</v>
      </c>
      <c r="AK31" s="184" t="s">
        <v>83</v>
      </c>
    </row>
    <row r="32" s="176" customFormat="1" ht="15.75" customHeight="1" spans="1:37">
      <c r="A32" s="184" t="s">
        <v>84</v>
      </c>
      <c r="B32" s="184" t="s">
        <v>85</v>
      </c>
      <c r="C32" s="192">
        <f t="shared" ref="C32:H32" si="4">C30-C31</f>
        <v>252.895</v>
      </c>
      <c r="D32" s="192">
        <f t="shared" ref="D32:G32" si="5">D30-D31</f>
        <v>236.871</v>
      </c>
      <c r="E32" s="192">
        <f t="shared" si="5"/>
        <v>210.74229</v>
      </c>
      <c r="F32" s="192" t="e">
        <f t="shared" si="5"/>
        <v>#DIV/0!</v>
      </c>
      <c r="G32" s="192" t="e">
        <f t="shared" si="5"/>
        <v>#DIV/0!</v>
      </c>
      <c r="H32" s="192">
        <f t="shared" si="4"/>
        <v>227.402901176471</v>
      </c>
      <c r="I32" s="203"/>
      <c r="AJ32" s="184" t="s">
        <v>84</v>
      </c>
      <c r="AK32" s="184" t="s">
        <v>85</v>
      </c>
    </row>
    <row r="33" s="176" customFormat="1" ht="15.75" customHeight="1" spans="1:37">
      <c r="A33" s="184">
        <v>3.1</v>
      </c>
      <c r="B33" s="184" t="s">
        <v>86</v>
      </c>
      <c r="C33" s="276">
        <f t="shared" ref="C33:H33" si="6">C32/C30</f>
        <v>0.306539393939394</v>
      </c>
      <c r="D33" s="276">
        <f t="shared" ref="D33:G33" si="7">D32/D30</f>
        <v>0.299079545454545</v>
      </c>
      <c r="E33" s="276">
        <f t="shared" si="7"/>
        <v>0.27717578125</v>
      </c>
      <c r="F33" s="276" t="e">
        <f t="shared" si="7"/>
        <v>#DIV/0!</v>
      </c>
      <c r="G33" s="276" t="e">
        <f t="shared" si="7"/>
        <v>#DIV/0!</v>
      </c>
      <c r="H33" s="276">
        <f t="shared" si="6"/>
        <v>0.290456583087645</v>
      </c>
      <c r="I33" s="203"/>
      <c r="AJ33" s="184"/>
      <c r="AK33" s="184"/>
    </row>
    <row r="34" s="176" customFormat="1" ht="15.75" customHeight="1" spans="1:37">
      <c r="A34" s="184" t="s">
        <v>81</v>
      </c>
      <c r="B34" s="188" t="s">
        <v>10</v>
      </c>
      <c r="C34" s="192"/>
      <c r="D34" s="192"/>
      <c r="E34" s="192"/>
      <c r="F34" s="192"/>
      <c r="G34" s="192"/>
      <c r="H34" s="192"/>
      <c r="I34" s="203"/>
      <c r="AJ34" s="184" t="s">
        <v>87</v>
      </c>
      <c r="AK34" s="188" t="s">
        <v>10</v>
      </c>
    </row>
    <row r="35" s="176" customFormat="1" ht="15.75" customHeight="1" spans="1:37">
      <c r="A35" s="184" t="s">
        <v>31</v>
      </c>
      <c r="B35" s="193" t="s">
        <v>88</v>
      </c>
      <c r="C35" s="187">
        <f>+C9/C4</f>
        <v>46.3814887572757</v>
      </c>
      <c r="D35" s="187">
        <f t="shared" ref="D35:H35" si="8">+D9/D4</f>
        <v>46.3814887572757</v>
      </c>
      <c r="E35" s="187">
        <f t="shared" si="8"/>
        <v>46.3814887572757</v>
      </c>
      <c r="F35" s="187" t="e">
        <f t="shared" si="8"/>
        <v>#DIV/0!</v>
      </c>
      <c r="G35" s="187" t="e">
        <f t="shared" si="8"/>
        <v>#DIV/0!</v>
      </c>
      <c r="H35" s="187">
        <f t="shared" si="8"/>
        <v>46.3814887572757</v>
      </c>
      <c r="I35" s="203"/>
      <c r="AJ35" s="184" t="s">
        <v>84</v>
      </c>
      <c r="AK35" s="184" t="s">
        <v>88</v>
      </c>
    </row>
    <row r="36" s="176" customFormat="1" ht="15.75" customHeight="1" spans="1:37">
      <c r="A36" s="184" t="s">
        <v>33</v>
      </c>
      <c r="B36" s="193" t="s">
        <v>89</v>
      </c>
      <c r="C36" s="187">
        <f>+C10/C4</f>
        <v>12.4376914208882</v>
      </c>
      <c r="D36" s="187">
        <f t="shared" ref="D36:H36" si="9">+D10/D4</f>
        <v>12.4376914208882</v>
      </c>
      <c r="E36" s="187">
        <f t="shared" si="9"/>
        <v>12.4376914208882</v>
      </c>
      <c r="F36" s="187" t="e">
        <f t="shared" si="9"/>
        <v>#DIV/0!</v>
      </c>
      <c r="G36" s="187" t="e">
        <f t="shared" si="9"/>
        <v>#DIV/0!</v>
      </c>
      <c r="H36" s="187">
        <f t="shared" si="9"/>
        <v>12.4376914208882</v>
      </c>
      <c r="I36" s="203"/>
      <c r="AJ36" s="184" t="s">
        <v>36</v>
      </c>
      <c r="AK36" s="184" t="s">
        <v>89</v>
      </c>
    </row>
    <row r="37" s="176" customFormat="1" ht="15.75" customHeight="1" spans="1:37">
      <c r="A37" s="184" t="s">
        <v>84</v>
      </c>
      <c r="B37" s="193" t="s">
        <v>90</v>
      </c>
      <c r="C37" s="187">
        <f>+C11/C4</f>
        <v>33</v>
      </c>
      <c r="D37" s="187">
        <f t="shared" ref="D37:H37" si="10">+D11/D4</f>
        <v>33</v>
      </c>
      <c r="E37" s="187">
        <f t="shared" si="10"/>
        <v>33</v>
      </c>
      <c r="F37" s="187" t="e">
        <f t="shared" si="10"/>
        <v>#DIV/0!</v>
      </c>
      <c r="G37" s="187" t="e">
        <f t="shared" si="10"/>
        <v>#DIV/0!</v>
      </c>
      <c r="H37" s="187">
        <f t="shared" si="10"/>
        <v>33</v>
      </c>
      <c r="I37" s="203"/>
      <c r="AJ37" s="184" t="s">
        <v>42</v>
      </c>
      <c r="AK37" s="184" t="s">
        <v>90</v>
      </c>
    </row>
    <row r="38" s="176" customFormat="1" ht="15.75" customHeight="1" spans="1:37">
      <c r="A38" s="184" t="s">
        <v>91</v>
      </c>
      <c r="B38" s="264" t="s">
        <v>92</v>
      </c>
      <c r="C38" s="187"/>
      <c r="D38" s="187"/>
      <c r="E38" s="187"/>
      <c r="F38" s="187"/>
      <c r="G38" s="187"/>
      <c r="H38" s="187"/>
      <c r="I38" s="203"/>
      <c r="AJ38" s="184" t="s">
        <v>91</v>
      </c>
      <c r="AK38" s="188" t="s">
        <v>92</v>
      </c>
    </row>
    <row r="39" s="176" customFormat="1" spans="1:37">
      <c r="A39" s="184" t="s">
        <v>31</v>
      </c>
      <c r="B39" s="193" t="s">
        <v>93</v>
      </c>
      <c r="C39" s="187">
        <f>+C13/C4</f>
        <v>161.075819821836</v>
      </c>
      <c r="D39" s="187">
        <f t="shared" ref="D39:H39" si="11">+D13/D4</f>
        <v>145.051819821836</v>
      </c>
      <c r="E39" s="187">
        <f t="shared" si="11"/>
        <v>118.923109821836</v>
      </c>
      <c r="F39" s="187" t="e">
        <f t="shared" si="11"/>
        <v>#DIV/0!</v>
      </c>
      <c r="G39" s="187" t="e">
        <f t="shared" si="11"/>
        <v>#DIV/0!</v>
      </c>
      <c r="H39" s="187">
        <f t="shared" si="11"/>
        <v>135.583720998307</v>
      </c>
      <c r="I39" s="203"/>
      <c r="AJ39" s="184" t="s">
        <v>31</v>
      </c>
      <c r="AK39" s="184" t="s">
        <v>93</v>
      </c>
    </row>
    <row r="40" s="176" customFormat="1" ht="15.75" customHeight="1" spans="1:37">
      <c r="A40" s="184" t="s">
        <v>33</v>
      </c>
      <c r="B40" s="193" t="s">
        <v>94</v>
      </c>
      <c r="C40" s="259">
        <f t="shared" ref="C40" si="12">+C21/C39</f>
        <v>2868.73701575924</v>
      </c>
      <c r="D40" s="259">
        <f t="shared" ref="D40:G40" si="13">+D21/D39</f>
        <v>5118.87177684958</v>
      </c>
      <c r="E40" s="259">
        <f t="shared" si="13"/>
        <v>7815.52608285397</v>
      </c>
      <c r="F40" s="259" t="e">
        <f t="shared" si="13"/>
        <v>#DIV/0!</v>
      </c>
      <c r="G40" s="259" t="e">
        <f t="shared" si="13"/>
        <v>#DIV/0!</v>
      </c>
      <c r="H40" s="277">
        <f t="shared" ref="H40" si="14">+H21/H39</f>
        <v>15739.5923661562</v>
      </c>
      <c r="I40" s="203"/>
      <c r="AJ40" s="184" t="s">
        <v>33</v>
      </c>
      <c r="AK40" s="184" t="s">
        <v>94</v>
      </c>
    </row>
    <row r="41" s="176" customFormat="1" ht="15.75" hidden="1" customHeight="1" spans="1:37">
      <c r="A41" s="184" t="s">
        <v>95</v>
      </c>
      <c r="B41" s="188" t="s">
        <v>96</v>
      </c>
      <c r="C41" s="192"/>
      <c r="D41" s="192"/>
      <c r="E41" s="192"/>
      <c r="F41" s="192"/>
      <c r="G41" s="192"/>
      <c r="H41" s="192"/>
      <c r="I41" s="203"/>
      <c r="AJ41" s="184" t="s">
        <v>95</v>
      </c>
      <c r="AK41" s="188" t="s">
        <v>96</v>
      </c>
    </row>
    <row r="42" s="176" customFormat="1" ht="15.75" hidden="1" customHeight="1" spans="1:37">
      <c r="A42" s="184" t="s">
        <v>31</v>
      </c>
      <c r="B42" s="184" t="s">
        <v>97</v>
      </c>
      <c r="C42" s="192">
        <f>+C15/C4</f>
        <v>68.7916666666667</v>
      </c>
      <c r="D42" s="192">
        <f t="shared" ref="D42:H42" si="15">+D15/D4</f>
        <v>52.9583333333333</v>
      </c>
      <c r="E42" s="192"/>
      <c r="F42" s="192"/>
      <c r="G42" s="192" t="e">
        <f t="shared" si="15"/>
        <v>#DIV/0!</v>
      </c>
      <c r="H42" s="192">
        <f t="shared" si="15"/>
        <v>53.8897058823529</v>
      </c>
      <c r="I42" s="203"/>
      <c r="AJ42" s="184" t="s">
        <v>31</v>
      </c>
      <c r="AK42" s="184" t="s">
        <v>97</v>
      </c>
    </row>
    <row r="43" s="176" customFormat="1" ht="15.75" hidden="1" customHeight="1" spans="1:37">
      <c r="A43" s="184" t="s">
        <v>33</v>
      </c>
      <c r="B43" s="184" t="s">
        <v>98</v>
      </c>
      <c r="C43" s="192">
        <f>+C17/C4</f>
        <v>5.775</v>
      </c>
      <c r="D43" s="192">
        <f t="shared" ref="D43:H43" si="16">+D17/D4</f>
        <v>5.775</v>
      </c>
      <c r="E43" s="192"/>
      <c r="F43" s="192"/>
      <c r="G43" s="192" t="e">
        <f t="shared" si="16"/>
        <v>#DIV/0!</v>
      </c>
      <c r="H43" s="192">
        <f t="shared" si="16"/>
        <v>5.775</v>
      </c>
      <c r="I43" s="203"/>
      <c r="AJ43" s="184" t="s">
        <v>33</v>
      </c>
      <c r="AK43" s="184" t="s">
        <v>98</v>
      </c>
    </row>
    <row r="44" s="176" customFormat="1" ht="15.75" hidden="1" customHeight="1" spans="1:37">
      <c r="A44" s="184" t="s">
        <v>84</v>
      </c>
      <c r="B44" s="184" t="s">
        <v>99</v>
      </c>
      <c r="C44" s="192">
        <f>+C18/C4</f>
        <v>33</v>
      </c>
      <c r="D44" s="192">
        <f t="shared" ref="D44:H44" si="17">+D18/D4</f>
        <v>33</v>
      </c>
      <c r="E44" s="192"/>
      <c r="F44" s="192"/>
      <c r="G44" s="192" t="e">
        <f t="shared" si="17"/>
        <v>#DIV/0!</v>
      </c>
      <c r="H44" s="192">
        <f t="shared" si="17"/>
        <v>33</v>
      </c>
      <c r="I44" s="203"/>
      <c r="AJ44" s="184" t="s">
        <v>84</v>
      </c>
      <c r="AK44" s="184" t="s">
        <v>99</v>
      </c>
    </row>
    <row r="45" s="176" customFormat="1" ht="15.75" hidden="1" customHeight="1" spans="1:37">
      <c r="A45" s="184" t="s">
        <v>36</v>
      </c>
      <c r="B45" s="184" t="s">
        <v>100</v>
      </c>
      <c r="C45" s="192"/>
      <c r="D45" s="192"/>
      <c r="E45" s="192"/>
      <c r="F45" s="192"/>
      <c r="G45" s="192"/>
      <c r="H45" s="192"/>
      <c r="I45" s="203"/>
      <c r="AJ45" s="184" t="s">
        <v>36</v>
      </c>
      <c r="AK45" s="184" t="s">
        <v>101</v>
      </c>
    </row>
    <row r="46" s="176" customFormat="1" ht="15.75" hidden="1" customHeight="1" spans="1:37">
      <c r="A46" s="184" t="s">
        <v>39</v>
      </c>
      <c r="B46" s="184" t="s">
        <v>102</v>
      </c>
      <c r="C46" s="192"/>
      <c r="D46" s="192"/>
      <c r="E46" s="192"/>
      <c r="F46" s="192"/>
      <c r="G46" s="192"/>
      <c r="H46" s="192"/>
      <c r="I46" s="203"/>
      <c r="AJ46" s="184" t="s">
        <v>39</v>
      </c>
      <c r="AK46" s="184" t="s">
        <v>102</v>
      </c>
    </row>
    <row r="47" s="176" customFormat="1" ht="15.75" hidden="1" customHeight="1" spans="1:37">
      <c r="A47" s="184" t="s">
        <v>103</v>
      </c>
      <c r="B47" s="188" t="s">
        <v>104</v>
      </c>
      <c r="C47" s="192"/>
      <c r="D47" s="192"/>
      <c r="E47" s="192"/>
      <c r="F47" s="192"/>
      <c r="G47" s="192"/>
      <c r="H47" s="192"/>
      <c r="I47" s="203"/>
      <c r="AJ47" s="184" t="s">
        <v>103</v>
      </c>
      <c r="AK47" s="188" t="s">
        <v>104</v>
      </c>
    </row>
    <row r="48" s="176" customFormat="1" ht="15.75" hidden="1" customHeight="1" spans="1:37">
      <c r="A48" s="184" t="s">
        <v>31</v>
      </c>
      <c r="B48" s="184" t="s">
        <v>105</v>
      </c>
      <c r="C48" s="278">
        <f>+(C11+C17)/C7</f>
        <v>0.047</v>
      </c>
      <c r="D48" s="278">
        <f t="shared" ref="D48:H48" si="18">+(D11+D17)/D7</f>
        <v>0.0489583333333333</v>
      </c>
      <c r="E48" s="278"/>
      <c r="F48" s="278"/>
      <c r="G48" s="278" t="e">
        <f t="shared" si="18"/>
        <v>#DIV/0!</v>
      </c>
      <c r="H48" s="278">
        <f t="shared" si="18"/>
        <v>0.0495264306258058</v>
      </c>
      <c r="I48" s="203"/>
      <c r="AJ48" s="184" t="s">
        <v>31</v>
      </c>
      <c r="AK48" s="184" t="s">
        <v>105</v>
      </c>
    </row>
    <row r="49" s="176" customFormat="1" ht="15.75" hidden="1" customHeight="1" spans="1:37">
      <c r="A49" s="184" t="s">
        <v>33</v>
      </c>
      <c r="B49" s="184" t="s">
        <v>106</v>
      </c>
      <c r="C49" s="278">
        <f>+(C9+C10+C15)/C7</f>
        <v>0.15467981435737</v>
      </c>
      <c r="D49" s="278">
        <f t="shared" ref="D49:H49" si="19">+(D9+D10+D15)/D7</f>
        <v>0.141133224130678</v>
      </c>
      <c r="E49" s="278"/>
      <c r="F49" s="278"/>
      <c r="G49" s="278" t="e">
        <f t="shared" si="19"/>
        <v>#DIV/0!</v>
      </c>
      <c r="H49" s="278">
        <f t="shared" si="19"/>
        <v>0.14396051131884</v>
      </c>
      <c r="I49" s="203"/>
      <c r="AJ49" s="184" t="s">
        <v>33</v>
      </c>
      <c r="AK49" s="184" t="s">
        <v>106</v>
      </c>
    </row>
    <row r="50" s="176" customFormat="1" ht="15.75" hidden="1" customHeight="1" spans="1:37">
      <c r="A50" s="184" t="s">
        <v>84</v>
      </c>
      <c r="B50" s="184" t="s">
        <v>107</v>
      </c>
      <c r="C50" s="278">
        <f>+C18/C7</f>
        <v>0.04</v>
      </c>
      <c r="D50" s="278">
        <f t="shared" ref="D50:H50" si="20">+D18/D7</f>
        <v>0.0416666666666667</v>
      </c>
      <c r="E50" s="278"/>
      <c r="F50" s="278"/>
      <c r="G50" s="278" t="e">
        <f t="shared" si="20"/>
        <v>#DIV/0!</v>
      </c>
      <c r="H50" s="278">
        <f t="shared" si="20"/>
        <v>0.0421501537240901</v>
      </c>
      <c r="I50" s="203"/>
      <c r="AJ50" s="184" t="s">
        <v>84</v>
      </c>
      <c r="AK50" s="184" t="s">
        <v>107</v>
      </c>
    </row>
    <row r="51" s="176" customFormat="1" ht="15.75" hidden="1" customHeight="1" spans="1:37">
      <c r="A51" s="184" t="s">
        <v>36</v>
      </c>
      <c r="B51" s="184" t="s">
        <v>108</v>
      </c>
      <c r="C51" s="278">
        <f>+C19/C7</f>
        <v>0.035016835016835</v>
      </c>
      <c r="D51" s="278">
        <f t="shared" ref="D51:H51" si="21">+D19/D7</f>
        <v>0.0182379349046016</v>
      </c>
      <c r="E51" s="278"/>
      <c r="F51" s="278"/>
      <c r="G51" s="278" t="e">
        <f t="shared" si="21"/>
        <v>#DIV/0!</v>
      </c>
      <c r="H51" s="278">
        <f t="shared" si="21"/>
        <v>0.0195348306029651</v>
      </c>
      <c r="I51" s="203"/>
      <c r="AJ51" s="184" t="s">
        <v>36</v>
      </c>
      <c r="AK51" s="184" t="s">
        <v>108</v>
      </c>
    </row>
    <row r="52" s="176" customFormat="1" ht="15.75" hidden="1" customHeight="1" spans="1:37">
      <c r="A52" s="184" t="s">
        <v>39</v>
      </c>
      <c r="B52" s="184" t="s">
        <v>109</v>
      </c>
      <c r="C52" s="278">
        <f>+C20/C7</f>
        <v>0.0213</v>
      </c>
      <c r="D52" s="278">
        <f t="shared" ref="D52:H52" si="22">+D20/D7</f>
        <v>0.0221875</v>
      </c>
      <c r="E52" s="278"/>
      <c r="F52" s="278"/>
      <c r="G52" s="278" t="e">
        <f t="shared" si="22"/>
        <v>#DIV/0!</v>
      </c>
      <c r="H52" s="278">
        <f t="shared" si="22"/>
        <v>0.022444956858078</v>
      </c>
      <c r="I52" s="203"/>
      <c r="AJ52" s="184" t="s">
        <v>39</v>
      </c>
      <c r="AK52" s="184" t="s">
        <v>109</v>
      </c>
    </row>
    <row r="53" s="176" customFormat="1" ht="15.75" hidden="1" customHeight="1" spans="1:37">
      <c r="A53" s="184" t="s">
        <v>42</v>
      </c>
      <c r="B53" s="184" t="s">
        <v>110</v>
      </c>
      <c r="C53" s="278">
        <f>+C24/C7</f>
        <v>0.00726133288041029</v>
      </c>
      <c r="D53" s="278">
        <f t="shared" ref="D53:H53" si="23">+D24/D7</f>
        <v>0.0228615034563757</v>
      </c>
      <c r="E53" s="278"/>
      <c r="F53" s="278"/>
      <c r="G53" s="278" t="e">
        <f t="shared" si="23"/>
        <v>#DIV/0!</v>
      </c>
      <c r="H53" s="278">
        <f t="shared" si="23"/>
        <v>0.0109137449641861</v>
      </c>
      <c r="I53" s="203"/>
      <c r="AJ53" s="184" t="s">
        <v>42</v>
      </c>
      <c r="AK53" s="184" t="s">
        <v>111</v>
      </c>
    </row>
    <row r="54" s="176" customFormat="1" ht="15.75" hidden="1" customHeight="1" spans="1:37">
      <c r="A54" s="184" t="s">
        <v>112</v>
      </c>
      <c r="B54" s="188" t="s">
        <v>113</v>
      </c>
      <c r="C54" s="192">
        <f>+C22/C4</f>
        <v>7.04776426628057</v>
      </c>
      <c r="D54" s="192">
        <f t="shared" ref="D54:H54" si="24">+D22/D4</f>
        <v>21.3015420440583</v>
      </c>
      <c r="E54" s="192"/>
      <c r="F54" s="192"/>
      <c r="G54" s="192" t="e">
        <f t="shared" si="24"/>
        <v>#DIV/0!</v>
      </c>
      <c r="H54" s="192">
        <f t="shared" si="24"/>
        <v>10.052397468895</v>
      </c>
      <c r="I54" s="203"/>
      <c r="AJ54" s="184" t="s">
        <v>112</v>
      </c>
      <c r="AK54" s="188" t="s">
        <v>113</v>
      </c>
    </row>
    <row r="55" s="176" customFormat="1" ht="15.75" hidden="1" customHeight="1" spans="1:37">
      <c r="A55" s="184" t="s">
        <v>114</v>
      </c>
      <c r="B55" s="279" t="s">
        <v>115</v>
      </c>
      <c r="C55" s="192"/>
      <c r="D55" s="192"/>
      <c r="E55" s="192"/>
      <c r="F55" s="192"/>
      <c r="G55" s="192"/>
      <c r="H55" s="192"/>
      <c r="I55" s="203"/>
      <c r="AJ55" s="184"/>
      <c r="AK55" s="188"/>
    </row>
    <row r="56" s="176" customFormat="1" ht="15.75" hidden="1" customHeight="1" spans="1:9">
      <c r="A56" s="184" t="s">
        <v>31</v>
      </c>
      <c r="B56" s="184" t="s">
        <v>116</v>
      </c>
      <c r="C56" s="192">
        <f>C57+C58</f>
        <v>560000</v>
      </c>
      <c r="D56" s="192"/>
      <c r="E56" s="192"/>
      <c r="F56" s="192"/>
      <c r="G56" s="192"/>
      <c r="H56" s="192"/>
      <c r="I56" s="203"/>
    </row>
    <row r="57" s="176" customFormat="1" ht="15.75" hidden="1" customHeight="1" spans="1:9">
      <c r="A57" s="184">
        <v>1.1</v>
      </c>
      <c r="B57" s="280" t="s">
        <v>117</v>
      </c>
      <c r="C57" s="192">
        <f>项目投资!B27</f>
        <v>260000</v>
      </c>
      <c r="D57" s="192"/>
      <c r="E57" s="192"/>
      <c r="F57" s="192"/>
      <c r="G57" s="192"/>
      <c r="H57" s="192"/>
      <c r="I57" s="203"/>
    </row>
    <row r="58" s="176" customFormat="1" ht="15.75" hidden="1" customHeight="1" spans="1:9">
      <c r="A58" s="184">
        <v>1.2</v>
      </c>
      <c r="B58" s="184" t="s">
        <v>118</v>
      </c>
      <c r="C58" s="192">
        <f>项目投资!B26</f>
        <v>300000</v>
      </c>
      <c r="D58" s="192"/>
      <c r="E58" s="192"/>
      <c r="F58" s="192"/>
      <c r="G58" s="192"/>
      <c r="H58" s="192"/>
      <c r="I58" s="203"/>
    </row>
    <row r="59" ht="15.75" hidden="1" customHeight="1" spans="1:9">
      <c r="A59" s="265" t="s">
        <v>33</v>
      </c>
      <c r="B59" s="265" t="s">
        <v>119</v>
      </c>
      <c r="C59" s="281">
        <f t="shared" ref="C59:G59" si="25">C60+C61</f>
        <v>112971.798879015</v>
      </c>
      <c r="D59" s="281">
        <f t="shared" si="25"/>
        <v>203637.864424697</v>
      </c>
      <c r="E59" s="281"/>
      <c r="F59" s="281"/>
      <c r="G59" s="281" t="e">
        <f t="shared" si="25"/>
        <v>#DIV/0!</v>
      </c>
      <c r="H59" s="281">
        <f t="shared" ref="H59" si="26">H60+H61</f>
        <v>430257.143425533</v>
      </c>
      <c r="I59" s="203"/>
    </row>
    <row r="60" ht="15.75" hidden="1" customHeight="1" spans="1:9">
      <c r="A60" s="265" t="s">
        <v>84</v>
      </c>
      <c r="B60" s="265" t="s">
        <v>120</v>
      </c>
      <c r="C60" s="281">
        <f t="shared" ref="C60:G60" si="27">C24</f>
        <v>17971.7988790155</v>
      </c>
      <c r="D60" s="281">
        <f t="shared" si="27"/>
        <v>108637.864424697</v>
      </c>
      <c r="E60" s="281"/>
      <c r="F60" s="281"/>
      <c r="G60" s="281" t="e">
        <f t="shared" si="27"/>
        <v>#DIV/0!</v>
      </c>
      <c r="H60" s="281">
        <f t="shared" ref="H60" si="28">H24</f>
        <v>145257.143425533</v>
      </c>
      <c r="I60" s="203"/>
    </row>
    <row r="61" ht="15.75" hidden="1" customHeight="1" spans="1:9">
      <c r="A61" s="265" t="s">
        <v>36</v>
      </c>
      <c r="B61" s="265" t="s">
        <v>121</v>
      </c>
      <c r="C61" s="281">
        <f>'2023年'!K18</f>
        <v>95000</v>
      </c>
      <c r="D61" s="281">
        <f>'2024年'!K18</f>
        <v>95000</v>
      </c>
      <c r="E61" s="281"/>
      <c r="F61" s="281"/>
      <c r="G61" s="281">
        <f>'2027年'!K18</f>
        <v>95000</v>
      </c>
      <c r="H61" s="281">
        <f>项目投资!I26</f>
        <v>285000</v>
      </c>
      <c r="I61" s="203"/>
    </row>
    <row r="62" ht="15.75" hidden="1" customHeight="1" spans="1:9">
      <c r="A62" s="265" t="s">
        <v>39</v>
      </c>
      <c r="B62" s="265" t="s">
        <v>122</v>
      </c>
      <c r="C62" s="282"/>
      <c r="D62" s="282"/>
      <c r="E62" s="282"/>
      <c r="F62" s="282"/>
      <c r="G62" s="282"/>
      <c r="H62" s="281"/>
      <c r="I62" s="203"/>
    </row>
    <row r="64" spans="2:2">
      <c r="B64"/>
    </row>
  </sheetData>
  <mergeCells count="2">
    <mergeCell ref="A1:H1"/>
    <mergeCell ref="A3:A4"/>
  </mergeCells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13" customWidth="1"/>
    <col min="2" max="2" width="28.5" style="213" customWidth="1"/>
    <col min="3" max="4" width="9.12727272727273" style="213"/>
    <col min="5" max="5" width="13.8727272727273" style="213" customWidth="1"/>
    <col min="6" max="12" width="16.1272727272727" style="213" customWidth="1"/>
    <col min="13" max="13" width="10.6272727272727" style="213" customWidth="1"/>
    <col min="14" max="254" width="9.12727272727273" style="213"/>
    <col min="255" max="255" width="8" style="213" customWidth="1"/>
    <col min="256" max="256" width="28.5" style="213" customWidth="1"/>
    <col min="257" max="268" width="9.12727272727273" style="213"/>
    <col min="269" max="269" width="10.6272727272727" style="213" customWidth="1"/>
    <col min="270" max="510" width="9.12727272727273" style="213"/>
    <col min="511" max="511" width="8" style="213" customWidth="1"/>
    <col min="512" max="512" width="28.5" style="213" customWidth="1"/>
    <col min="513" max="524" width="9.12727272727273" style="213"/>
    <col min="525" max="525" width="10.6272727272727" style="213" customWidth="1"/>
    <col min="526" max="766" width="9.12727272727273" style="213"/>
    <col min="767" max="767" width="8" style="213" customWidth="1"/>
    <col min="768" max="768" width="28.5" style="213" customWidth="1"/>
    <col min="769" max="780" width="9.12727272727273" style="213"/>
    <col min="781" max="781" width="10.6272727272727" style="213" customWidth="1"/>
    <col min="782" max="1022" width="9.12727272727273" style="213"/>
    <col min="1023" max="1023" width="8" style="213" customWidth="1"/>
    <col min="1024" max="1024" width="28.5" style="213" customWidth="1"/>
    <col min="1025" max="1036" width="9.12727272727273" style="213"/>
    <col min="1037" max="1037" width="10.6272727272727" style="213" customWidth="1"/>
    <col min="1038" max="1278" width="9.12727272727273" style="213"/>
    <col min="1279" max="1279" width="8" style="213" customWidth="1"/>
    <col min="1280" max="1280" width="28.5" style="213" customWidth="1"/>
    <col min="1281" max="1292" width="9.12727272727273" style="213"/>
    <col min="1293" max="1293" width="10.6272727272727" style="213" customWidth="1"/>
    <col min="1294" max="1534" width="9.12727272727273" style="213"/>
    <col min="1535" max="1535" width="8" style="213" customWidth="1"/>
    <col min="1536" max="1536" width="28.5" style="213" customWidth="1"/>
    <col min="1537" max="1548" width="9.12727272727273" style="213"/>
    <col min="1549" max="1549" width="10.6272727272727" style="213" customWidth="1"/>
    <col min="1550" max="1790" width="9.12727272727273" style="213"/>
    <col min="1791" max="1791" width="8" style="213" customWidth="1"/>
    <col min="1792" max="1792" width="28.5" style="213" customWidth="1"/>
    <col min="1793" max="1804" width="9.12727272727273" style="213"/>
    <col min="1805" max="1805" width="10.6272727272727" style="213" customWidth="1"/>
    <col min="1806" max="2046" width="9.12727272727273" style="213"/>
    <col min="2047" max="2047" width="8" style="213" customWidth="1"/>
    <col min="2048" max="2048" width="28.5" style="213" customWidth="1"/>
    <col min="2049" max="2060" width="9.12727272727273" style="213"/>
    <col min="2061" max="2061" width="10.6272727272727" style="213" customWidth="1"/>
    <col min="2062" max="2302" width="9.12727272727273" style="213"/>
    <col min="2303" max="2303" width="8" style="213" customWidth="1"/>
    <col min="2304" max="2304" width="28.5" style="213" customWidth="1"/>
    <col min="2305" max="2316" width="9.12727272727273" style="213"/>
    <col min="2317" max="2317" width="10.6272727272727" style="213" customWidth="1"/>
    <col min="2318" max="2558" width="9.12727272727273" style="213"/>
    <col min="2559" max="2559" width="8" style="213" customWidth="1"/>
    <col min="2560" max="2560" width="28.5" style="213" customWidth="1"/>
    <col min="2561" max="2572" width="9.12727272727273" style="213"/>
    <col min="2573" max="2573" width="10.6272727272727" style="213" customWidth="1"/>
    <col min="2574" max="2814" width="9.12727272727273" style="213"/>
    <col min="2815" max="2815" width="8" style="213" customWidth="1"/>
    <col min="2816" max="2816" width="28.5" style="213" customWidth="1"/>
    <col min="2817" max="2828" width="9.12727272727273" style="213"/>
    <col min="2829" max="2829" width="10.6272727272727" style="213" customWidth="1"/>
    <col min="2830" max="3070" width="9.12727272727273" style="213"/>
    <col min="3071" max="3071" width="8" style="213" customWidth="1"/>
    <col min="3072" max="3072" width="28.5" style="213" customWidth="1"/>
    <col min="3073" max="3084" width="9.12727272727273" style="213"/>
    <col min="3085" max="3085" width="10.6272727272727" style="213" customWidth="1"/>
    <col min="3086" max="3326" width="9.12727272727273" style="213"/>
    <col min="3327" max="3327" width="8" style="213" customWidth="1"/>
    <col min="3328" max="3328" width="28.5" style="213" customWidth="1"/>
    <col min="3329" max="3340" width="9.12727272727273" style="213"/>
    <col min="3341" max="3341" width="10.6272727272727" style="213" customWidth="1"/>
    <col min="3342" max="3582" width="9.12727272727273" style="213"/>
    <col min="3583" max="3583" width="8" style="213" customWidth="1"/>
    <col min="3584" max="3584" width="28.5" style="213" customWidth="1"/>
    <col min="3585" max="3596" width="9.12727272727273" style="213"/>
    <col min="3597" max="3597" width="10.6272727272727" style="213" customWidth="1"/>
    <col min="3598" max="3838" width="9.12727272727273" style="213"/>
    <col min="3839" max="3839" width="8" style="213" customWidth="1"/>
    <col min="3840" max="3840" width="28.5" style="213" customWidth="1"/>
    <col min="3841" max="3852" width="9.12727272727273" style="213"/>
    <col min="3853" max="3853" width="10.6272727272727" style="213" customWidth="1"/>
    <col min="3854" max="4094" width="9.12727272727273" style="213"/>
    <col min="4095" max="4095" width="8" style="213" customWidth="1"/>
    <col min="4096" max="4096" width="28.5" style="213" customWidth="1"/>
    <col min="4097" max="4108" width="9.12727272727273" style="213"/>
    <col min="4109" max="4109" width="10.6272727272727" style="213" customWidth="1"/>
    <col min="4110" max="4350" width="9.12727272727273" style="213"/>
    <col min="4351" max="4351" width="8" style="213" customWidth="1"/>
    <col min="4352" max="4352" width="28.5" style="213" customWidth="1"/>
    <col min="4353" max="4364" width="9.12727272727273" style="213"/>
    <col min="4365" max="4365" width="10.6272727272727" style="213" customWidth="1"/>
    <col min="4366" max="4606" width="9.12727272727273" style="213"/>
    <col min="4607" max="4607" width="8" style="213" customWidth="1"/>
    <col min="4608" max="4608" width="28.5" style="213" customWidth="1"/>
    <col min="4609" max="4620" width="9.12727272727273" style="213"/>
    <col min="4621" max="4621" width="10.6272727272727" style="213" customWidth="1"/>
    <col min="4622" max="4862" width="9.12727272727273" style="213"/>
    <col min="4863" max="4863" width="8" style="213" customWidth="1"/>
    <col min="4864" max="4864" width="28.5" style="213" customWidth="1"/>
    <col min="4865" max="4876" width="9.12727272727273" style="213"/>
    <col min="4877" max="4877" width="10.6272727272727" style="213" customWidth="1"/>
    <col min="4878" max="5118" width="9.12727272727273" style="213"/>
    <col min="5119" max="5119" width="8" style="213" customWidth="1"/>
    <col min="5120" max="5120" width="28.5" style="213" customWidth="1"/>
    <col min="5121" max="5132" width="9.12727272727273" style="213"/>
    <col min="5133" max="5133" width="10.6272727272727" style="213" customWidth="1"/>
    <col min="5134" max="5374" width="9.12727272727273" style="213"/>
    <col min="5375" max="5375" width="8" style="213" customWidth="1"/>
    <col min="5376" max="5376" width="28.5" style="213" customWidth="1"/>
    <col min="5377" max="5388" width="9.12727272727273" style="213"/>
    <col min="5389" max="5389" width="10.6272727272727" style="213" customWidth="1"/>
    <col min="5390" max="5630" width="9.12727272727273" style="213"/>
    <col min="5631" max="5631" width="8" style="213" customWidth="1"/>
    <col min="5632" max="5632" width="28.5" style="213" customWidth="1"/>
    <col min="5633" max="5644" width="9.12727272727273" style="213"/>
    <col min="5645" max="5645" width="10.6272727272727" style="213" customWidth="1"/>
    <col min="5646" max="5886" width="9.12727272727273" style="213"/>
    <col min="5887" max="5887" width="8" style="213" customWidth="1"/>
    <col min="5888" max="5888" width="28.5" style="213" customWidth="1"/>
    <col min="5889" max="5900" width="9.12727272727273" style="213"/>
    <col min="5901" max="5901" width="10.6272727272727" style="213" customWidth="1"/>
    <col min="5902" max="6142" width="9.12727272727273" style="213"/>
    <col min="6143" max="6143" width="8" style="213" customWidth="1"/>
    <col min="6144" max="6144" width="28.5" style="213" customWidth="1"/>
    <col min="6145" max="6156" width="9.12727272727273" style="213"/>
    <col min="6157" max="6157" width="10.6272727272727" style="213" customWidth="1"/>
    <col min="6158" max="6398" width="9.12727272727273" style="213"/>
    <col min="6399" max="6399" width="8" style="213" customWidth="1"/>
    <col min="6400" max="6400" width="28.5" style="213" customWidth="1"/>
    <col min="6401" max="6412" width="9.12727272727273" style="213"/>
    <col min="6413" max="6413" width="10.6272727272727" style="213" customWidth="1"/>
    <col min="6414" max="6654" width="9.12727272727273" style="213"/>
    <col min="6655" max="6655" width="8" style="213" customWidth="1"/>
    <col min="6656" max="6656" width="28.5" style="213" customWidth="1"/>
    <col min="6657" max="6668" width="9.12727272727273" style="213"/>
    <col min="6669" max="6669" width="10.6272727272727" style="213" customWidth="1"/>
    <col min="6670" max="6910" width="9.12727272727273" style="213"/>
    <col min="6911" max="6911" width="8" style="213" customWidth="1"/>
    <col min="6912" max="6912" width="28.5" style="213" customWidth="1"/>
    <col min="6913" max="6924" width="9.12727272727273" style="213"/>
    <col min="6925" max="6925" width="10.6272727272727" style="213" customWidth="1"/>
    <col min="6926" max="7166" width="9.12727272727273" style="213"/>
    <col min="7167" max="7167" width="8" style="213" customWidth="1"/>
    <col min="7168" max="7168" width="28.5" style="213" customWidth="1"/>
    <col min="7169" max="7180" width="9.12727272727273" style="213"/>
    <col min="7181" max="7181" width="10.6272727272727" style="213" customWidth="1"/>
    <col min="7182" max="7422" width="9.12727272727273" style="213"/>
    <col min="7423" max="7423" width="8" style="213" customWidth="1"/>
    <col min="7424" max="7424" width="28.5" style="213" customWidth="1"/>
    <col min="7425" max="7436" width="9.12727272727273" style="213"/>
    <col min="7437" max="7437" width="10.6272727272727" style="213" customWidth="1"/>
    <col min="7438" max="7678" width="9.12727272727273" style="213"/>
    <col min="7679" max="7679" width="8" style="213" customWidth="1"/>
    <col min="7680" max="7680" width="28.5" style="213" customWidth="1"/>
    <col min="7681" max="7692" width="9.12727272727273" style="213"/>
    <col min="7693" max="7693" width="10.6272727272727" style="213" customWidth="1"/>
    <col min="7694" max="7934" width="9.12727272727273" style="213"/>
    <col min="7935" max="7935" width="8" style="213" customWidth="1"/>
    <col min="7936" max="7936" width="28.5" style="213" customWidth="1"/>
    <col min="7937" max="7948" width="9.12727272727273" style="213"/>
    <col min="7949" max="7949" width="10.6272727272727" style="213" customWidth="1"/>
    <col min="7950" max="8190" width="9.12727272727273" style="213"/>
    <col min="8191" max="8191" width="8" style="213" customWidth="1"/>
    <col min="8192" max="8192" width="28.5" style="213" customWidth="1"/>
    <col min="8193" max="8204" width="9.12727272727273" style="213"/>
    <col min="8205" max="8205" width="10.6272727272727" style="213" customWidth="1"/>
    <col min="8206" max="8446" width="9.12727272727273" style="213"/>
    <col min="8447" max="8447" width="8" style="213" customWidth="1"/>
    <col min="8448" max="8448" width="28.5" style="213" customWidth="1"/>
    <col min="8449" max="8460" width="9.12727272727273" style="213"/>
    <col min="8461" max="8461" width="10.6272727272727" style="213" customWidth="1"/>
    <col min="8462" max="8702" width="9.12727272727273" style="213"/>
    <col min="8703" max="8703" width="8" style="213" customWidth="1"/>
    <col min="8704" max="8704" width="28.5" style="213" customWidth="1"/>
    <col min="8705" max="8716" width="9.12727272727273" style="213"/>
    <col min="8717" max="8717" width="10.6272727272727" style="213" customWidth="1"/>
    <col min="8718" max="8958" width="9.12727272727273" style="213"/>
    <col min="8959" max="8959" width="8" style="213" customWidth="1"/>
    <col min="8960" max="8960" width="28.5" style="213" customWidth="1"/>
    <col min="8961" max="8972" width="9.12727272727273" style="213"/>
    <col min="8973" max="8973" width="10.6272727272727" style="213" customWidth="1"/>
    <col min="8974" max="9214" width="9.12727272727273" style="213"/>
    <col min="9215" max="9215" width="8" style="213" customWidth="1"/>
    <col min="9216" max="9216" width="28.5" style="213" customWidth="1"/>
    <col min="9217" max="9228" width="9.12727272727273" style="213"/>
    <col min="9229" max="9229" width="10.6272727272727" style="213" customWidth="1"/>
    <col min="9230" max="9470" width="9.12727272727273" style="213"/>
    <col min="9471" max="9471" width="8" style="213" customWidth="1"/>
    <col min="9472" max="9472" width="28.5" style="213" customWidth="1"/>
    <col min="9473" max="9484" width="9.12727272727273" style="213"/>
    <col min="9485" max="9485" width="10.6272727272727" style="213" customWidth="1"/>
    <col min="9486" max="9726" width="9.12727272727273" style="213"/>
    <col min="9727" max="9727" width="8" style="213" customWidth="1"/>
    <col min="9728" max="9728" width="28.5" style="213" customWidth="1"/>
    <col min="9729" max="9740" width="9.12727272727273" style="213"/>
    <col min="9741" max="9741" width="10.6272727272727" style="213" customWidth="1"/>
    <col min="9742" max="9982" width="9.12727272727273" style="213"/>
    <col min="9983" max="9983" width="8" style="213" customWidth="1"/>
    <col min="9984" max="9984" width="28.5" style="213" customWidth="1"/>
    <col min="9985" max="9996" width="9.12727272727273" style="213"/>
    <col min="9997" max="9997" width="10.6272727272727" style="213" customWidth="1"/>
    <col min="9998" max="10238" width="9.12727272727273" style="213"/>
    <col min="10239" max="10239" width="8" style="213" customWidth="1"/>
    <col min="10240" max="10240" width="28.5" style="213" customWidth="1"/>
    <col min="10241" max="10252" width="9.12727272727273" style="213"/>
    <col min="10253" max="10253" width="10.6272727272727" style="213" customWidth="1"/>
    <col min="10254" max="10494" width="9.12727272727273" style="213"/>
    <col min="10495" max="10495" width="8" style="213" customWidth="1"/>
    <col min="10496" max="10496" width="28.5" style="213" customWidth="1"/>
    <col min="10497" max="10508" width="9.12727272727273" style="213"/>
    <col min="10509" max="10509" width="10.6272727272727" style="213" customWidth="1"/>
    <col min="10510" max="10750" width="9.12727272727273" style="213"/>
    <col min="10751" max="10751" width="8" style="213" customWidth="1"/>
    <col min="10752" max="10752" width="28.5" style="213" customWidth="1"/>
    <col min="10753" max="10764" width="9.12727272727273" style="213"/>
    <col min="10765" max="10765" width="10.6272727272727" style="213" customWidth="1"/>
    <col min="10766" max="11006" width="9.12727272727273" style="213"/>
    <col min="11007" max="11007" width="8" style="213" customWidth="1"/>
    <col min="11008" max="11008" width="28.5" style="213" customWidth="1"/>
    <col min="11009" max="11020" width="9.12727272727273" style="213"/>
    <col min="11021" max="11021" width="10.6272727272727" style="213" customWidth="1"/>
    <col min="11022" max="11262" width="9.12727272727273" style="213"/>
    <col min="11263" max="11263" width="8" style="213" customWidth="1"/>
    <col min="11264" max="11264" width="28.5" style="213" customWidth="1"/>
    <col min="11265" max="11276" width="9.12727272727273" style="213"/>
    <col min="11277" max="11277" width="10.6272727272727" style="213" customWidth="1"/>
    <col min="11278" max="11518" width="9.12727272727273" style="213"/>
    <col min="11519" max="11519" width="8" style="213" customWidth="1"/>
    <col min="11520" max="11520" width="28.5" style="213" customWidth="1"/>
    <col min="11521" max="11532" width="9.12727272727273" style="213"/>
    <col min="11533" max="11533" width="10.6272727272727" style="213" customWidth="1"/>
    <col min="11534" max="11774" width="9.12727272727273" style="213"/>
    <col min="11775" max="11775" width="8" style="213" customWidth="1"/>
    <col min="11776" max="11776" width="28.5" style="213" customWidth="1"/>
    <col min="11777" max="11788" width="9.12727272727273" style="213"/>
    <col min="11789" max="11789" width="10.6272727272727" style="213" customWidth="1"/>
    <col min="11790" max="12030" width="9.12727272727273" style="213"/>
    <col min="12031" max="12031" width="8" style="213" customWidth="1"/>
    <col min="12032" max="12032" width="28.5" style="213" customWidth="1"/>
    <col min="12033" max="12044" width="9.12727272727273" style="213"/>
    <col min="12045" max="12045" width="10.6272727272727" style="213" customWidth="1"/>
    <col min="12046" max="12286" width="9.12727272727273" style="213"/>
    <col min="12287" max="12287" width="8" style="213" customWidth="1"/>
    <col min="12288" max="12288" width="28.5" style="213" customWidth="1"/>
    <col min="12289" max="12300" width="9.12727272727273" style="213"/>
    <col min="12301" max="12301" width="10.6272727272727" style="213" customWidth="1"/>
    <col min="12302" max="12542" width="9.12727272727273" style="213"/>
    <col min="12543" max="12543" width="8" style="213" customWidth="1"/>
    <col min="12544" max="12544" width="28.5" style="213" customWidth="1"/>
    <col min="12545" max="12556" width="9.12727272727273" style="213"/>
    <col min="12557" max="12557" width="10.6272727272727" style="213" customWidth="1"/>
    <col min="12558" max="12798" width="9.12727272727273" style="213"/>
    <col min="12799" max="12799" width="8" style="213" customWidth="1"/>
    <col min="12800" max="12800" width="28.5" style="213" customWidth="1"/>
    <col min="12801" max="12812" width="9.12727272727273" style="213"/>
    <col min="12813" max="12813" width="10.6272727272727" style="213" customWidth="1"/>
    <col min="12814" max="13054" width="9.12727272727273" style="213"/>
    <col min="13055" max="13055" width="8" style="213" customWidth="1"/>
    <col min="13056" max="13056" width="28.5" style="213" customWidth="1"/>
    <col min="13057" max="13068" width="9.12727272727273" style="213"/>
    <col min="13069" max="13069" width="10.6272727272727" style="213" customWidth="1"/>
    <col min="13070" max="13310" width="9.12727272727273" style="213"/>
    <col min="13311" max="13311" width="8" style="213" customWidth="1"/>
    <col min="13312" max="13312" width="28.5" style="213" customWidth="1"/>
    <col min="13313" max="13324" width="9.12727272727273" style="213"/>
    <col min="13325" max="13325" width="10.6272727272727" style="213" customWidth="1"/>
    <col min="13326" max="13566" width="9.12727272727273" style="213"/>
    <col min="13567" max="13567" width="8" style="213" customWidth="1"/>
    <col min="13568" max="13568" width="28.5" style="213" customWidth="1"/>
    <col min="13569" max="13580" width="9.12727272727273" style="213"/>
    <col min="13581" max="13581" width="10.6272727272727" style="213" customWidth="1"/>
    <col min="13582" max="13822" width="9.12727272727273" style="213"/>
    <col min="13823" max="13823" width="8" style="213" customWidth="1"/>
    <col min="13824" max="13824" width="28.5" style="213" customWidth="1"/>
    <col min="13825" max="13836" width="9.12727272727273" style="213"/>
    <col min="13837" max="13837" width="10.6272727272727" style="213" customWidth="1"/>
    <col min="13838" max="14078" width="9.12727272727273" style="213"/>
    <col min="14079" max="14079" width="8" style="213" customWidth="1"/>
    <col min="14080" max="14080" width="28.5" style="213" customWidth="1"/>
    <col min="14081" max="14092" width="9.12727272727273" style="213"/>
    <col min="14093" max="14093" width="10.6272727272727" style="213" customWidth="1"/>
    <col min="14094" max="14334" width="9.12727272727273" style="213"/>
    <col min="14335" max="14335" width="8" style="213" customWidth="1"/>
    <col min="14336" max="14336" width="28.5" style="213" customWidth="1"/>
    <col min="14337" max="14348" width="9.12727272727273" style="213"/>
    <col min="14349" max="14349" width="10.6272727272727" style="213" customWidth="1"/>
    <col min="14350" max="14590" width="9.12727272727273" style="213"/>
    <col min="14591" max="14591" width="8" style="213" customWidth="1"/>
    <col min="14592" max="14592" width="28.5" style="213" customWidth="1"/>
    <col min="14593" max="14604" width="9.12727272727273" style="213"/>
    <col min="14605" max="14605" width="10.6272727272727" style="213" customWidth="1"/>
    <col min="14606" max="14846" width="9.12727272727273" style="213"/>
    <col min="14847" max="14847" width="8" style="213" customWidth="1"/>
    <col min="14848" max="14848" width="28.5" style="213" customWidth="1"/>
    <col min="14849" max="14860" width="9.12727272727273" style="213"/>
    <col min="14861" max="14861" width="10.6272727272727" style="213" customWidth="1"/>
    <col min="14862" max="15102" width="9.12727272727273" style="213"/>
    <col min="15103" max="15103" width="8" style="213" customWidth="1"/>
    <col min="15104" max="15104" width="28.5" style="213" customWidth="1"/>
    <col min="15105" max="15116" width="9.12727272727273" style="213"/>
    <col min="15117" max="15117" width="10.6272727272727" style="213" customWidth="1"/>
    <col min="15118" max="15358" width="9.12727272727273" style="213"/>
    <col min="15359" max="15359" width="8" style="213" customWidth="1"/>
    <col min="15360" max="15360" width="28.5" style="213" customWidth="1"/>
    <col min="15361" max="15372" width="9.12727272727273" style="213"/>
    <col min="15373" max="15373" width="10.6272727272727" style="213" customWidth="1"/>
    <col min="15374" max="15614" width="9.12727272727273" style="213"/>
    <col min="15615" max="15615" width="8" style="213" customWidth="1"/>
    <col min="15616" max="15616" width="28.5" style="213" customWidth="1"/>
    <col min="15617" max="15628" width="9.12727272727273" style="213"/>
    <col min="15629" max="15629" width="10.6272727272727" style="213" customWidth="1"/>
    <col min="15630" max="15870" width="9.12727272727273" style="213"/>
    <col min="15871" max="15871" width="8" style="213" customWidth="1"/>
    <col min="15872" max="15872" width="28.5" style="213" customWidth="1"/>
    <col min="15873" max="15884" width="9.12727272727273" style="213"/>
    <col min="15885" max="15885" width="10.6272727272727" style="213" customWidth="1"/>
    <col min="15886" max="16126" width="9.12727272727273" style="213"/>
    <col min="16127" max="16127" width="8" style="213" customWidth="1"/>
    <col min="16128" max="16128" width="28.5" style="213" customWidth="1"/>
    <col min="16129" max="16140" width="9.12727272727273" style="213"/>
    <col min="16141" max="16141" width="10.6272727272727" style="213" customWidth="1"/>
    <col min="16142" max="16384" width="9.12727272727273" style="213"/>
  </cols>
  <sheetData>
    <row r="1" ht="17.5" spans="1:13">
      <c r="A1" s="214" t="s">
        <v>123</v>
      </c>
      <c r="B1" s="215"/>
      <c r="C1" s="216"/>
      <c r="D1" s="216"/>
      <c r="E1" s="215"/>
      <c r="F1" s="216"/>
      <c r="G1" s="216"/>
      <c r="H1" s="215"/>
      <c r="I1" s="216"/>
      <c r="J1" s="216"/>
      <c r="K1" s="216"/>
      <c r="L1" s="216"/>
      <c r="M1" s="216"/>
    </row>
    <row r="2" ht="14" spans="1:2">
      <c r="A2" s="213" t="s">
        <v>124</v>
      </c>
      <c r="B2" s="217"/>
    </row>
    <row r="3" ht="16.9" customHeight="1" spans="1:13">
      <c r="A3" s="218" t="s">
        <v>21</v>
      </c>
      <c r="B3" s="218" t="s">
        <v>125</v>
      </c>
      <c r="C3" s="219" t="s">
        <v>126</v>
      </c>
      <c r="D3" s="219"/>
      <c r="E3" s="219"/>
      <c r="F3" s="220"/>
      <c r="G3" s="221"/>
      <c r="H3" s="222"/>
      <c r="I3" s="222"/>
      <c r="J3" s="222" t="s">
        <v>127</v>
      </c>
      <c r="K3" s="222"/>
      <c r="L3" s="222"/>
      <c r="M3" s="243"/>
    </row>
    <row r="4" ht="16.15" customHeight="1" spans="1:13">
      <c r="A4" s="223"/>
      <c r="B4" s="223" t="s">
        <v>128</v>
      </c>
      <c r="C4" s="219">
        <v>2017</v>
      </c>
      <c r="D4" s="219">
        <f t="shared" ref="D4:L4" si="0">C4+1</f>
        <v>2018</v>
      </c>
      <c r="E4" s="219">
        <f t="shared" si="0"/>
        <v>2019</v>
      </c>
      <c r="F4" s="219">
        <f t="shared" si="0"/>
        <v>2020</v>
      </c>
      <c r="G4" s="219">
        <f t="shared" si="0"/>
        <v>2021</v>
      </c>
      <c r="H4" s="224">
        <f t="shared" si="0"/>
        <v>2022</v>
      </c>
      <c r="I4" s="224">
        <f t="shared" si="0"/>
        <v>2023</v>
      </c>
      <c r="J4" s="224">
        <f t="shared" si="0"/>
        <v>2024</v>
      </c>
      <c r="K4" s="224">
        <f t="shared" si="0"/>
        <v>2025</v>
      </c>
      <c r="L4" s="224">
        <f t="shared" si="0"/>
        <v>2026</v>
      </c>
      <c r="M4" s="244" t="s">
        <v>129</v>
      </c>
    </row>
    <row r="5" ht="15.6" customHeight="1" spans="1:13">
      <c r="A5" s="225">
        <v>1</v>
      </c>
      <c r="B5" s="226" t="s">
        <v>130</v>
      </c>
      <c r="C5" s="227">
        <f>SUM(C6:C9)</f>
        <v>0</v>
      </c>
      <c r="D5" s="227">
        <f t="shared" ref="D5:L5" si="1">SUM(D6:D9)</f>
        <v>0</v>
      </c>
      <c r="E5" s="227" t="e">
        <f t="shared" si="1"/>
        <v>#REF!</v>
      </c>
      <c r="F5" s="227">
        <f t="shared" si="1"/>
        <v>2475000</v>
      </c>
      <c r="G5" s="227">
        <f t="shared" si="1"/>
        <v>4950000</v>
      </c>
      <c r="H5" s="227">
        <f t="shared" si="1"/>
        <v>0</v>
      </c>
      <c r="I5" s="227" t="e">
        <f t="shared" si="1"/>
        <v>#REF!</v>
      </c>
      <c r="J5" s="227" t="e">
        <f t="shared" si="1"/>
        <v>#REF!</v>
      </c>
      <c r="K5" s="227" t="e">
        <f t="shared" si="1"/>
        <v>#REF!</v>
      </c>
      <c r="L5" s="227">
        <f t="shared" si="1"/>
        <v>14025000</v>
      </c>
      <c r="M5" s="231" t="e">
        <f t="shared" ref="M5:M17" si="2">SUM(C5:L5)</f>
        <v>#REF!</v>
      </c>
    </row>
    <row r="6" ht="15.6" customHeight="1" spans="1:13">
      <c r="A6" s="225">
        <v>1.1</v>
      </c>
      <c r="B6" s="228" t="s">
        <v>131</v>
      </c>
      <c r="C6" s="229"/>
      <c r="D6" s="229"/>
      <c r="E6" s="229" t="e">
        <f>损益表!#REF!</f>
        <v>#REF!</v>
      </c>
      <c r="F6" s="229">
        <f>损益表!C5</f>
        <v>2475000</v>
      </c>
      <c r="G6" s="229">
        <f>损益表!D5</f>
        <v>4950000</v>
      </c>
      <c r="H6" s="229">
        <f>损益表!G5</f>
        <v>0</v>
      </c>
      <c r="I6" s="229" t="e">
        <f>损益表!#REF!</f>
        <v>#REF!</v>
      </c>
      <c r="J6" s="229" t="e">
        <f>损益表!#REF!</f>
        <v>#REF!</v>
      </c>
      <c r="K6" s="229" t="e">
        <f>损益表!#REF!</f>
        <v>#REF!</v>
      </c>
      <c r="L6" s="229">
        <f>损益表!H5</f>
        <v>14025000</v>
      </c>
      <c r="M6" s="231" t="e">
        <f t="shared" si="2"/>
        <v>#REF!</v>
      </c>
    </row>
    <row r="7" ht="15.6" customHeight="1" spans="1:13">
      <c r="A7" s="225">
        <v>1.2</v>
      </c>
      <c r="B7" s="228" t="s">
        <v>132</v>
      </c>
      <c r="C7" s="229"/>
      <c r="D7" s="229"/>
      <c r="E7" s="229">
        <f>[1]折、摊!G18</f>
        <v>0</v>
      </c>
      <c r="F7" s="229">
        <f>[1]折、摊!H18</f>
        <v>0</v>
      </c>
      <c r="G7" s="229">
        <f>[1]折、摊!I18</f>
        <v>0</v>
      </c>
      <c r="H7" s="229">
        <f>[1]折、摊!J18</f>
        <v>0</v>
      </c>
      <c r="I7" s="229">
        <f>[1]折、摊!K18</f>
        <v>0</v>
      </c>
      <c r="J7" s="229">
        <f>[1]折、摊!L18</f>
        <v>0</v>
      </c>
      <c r="K7" s="229">
        <f>[1]折、摊!M18</f>
        <v>0</v>
      </c>
      <c r="L7" s="229">
        <f>[1]折、摊!N18</f>
        <v>0</v>
      </c>
      <c r="M7" s="231">
        <f t="shared" si="2"/>
        <v>0</v>
      </c>
    </row>
    <row r="8" ht="15.6" customHeight="1" spans="1:13">
      <c r="A8" s="225">
        <v>1.3</v>
      </c>
      <c r="B8" s="228" t="s">
        <v>133</v>
      </c>
      <c r="C8" s="229" t="s">
        <v>134</v>
      </c>
      <c r="D8" s="229" t="s">
        <v>134</v>
      </c>
      <c r="E8" s="229" t="s">
        <v>134</v>
      </c>
      <c r="F8" s="229" t="s">
        <v>134</v>
      </c>
      <c r="G8" s="229" t="s">
        <v>134</v>
      </c>
      <c r="H8" s="229" t="s">
        <v>134</v>
      </c>
      <c r="I8" s="229" t="s">
        <v>134</v>
      </c>
      <c r="J8" s="229" t="s">
        <v>134</v>
      </c>
      <c r="K8" s="229" t="s">
        <v>134</v>
      </c>
      <c r="L8" s="229"/>
      <c r="M8" s="231">
        <f t="shared" si="2"/>
        <v>0</v>
      </c>
    </row>
    <row r="9" s="212" customFormat="1" ht="15.6" customHeight="1" spans="1:13">
      <c r="A9" s="230">
        <v>1.4</v>
      </c>
      <c r="B9" s="231" t="s">
        <v>135</v>
      </c>
      <c r="C9" s="229" t="s">
        <v>134</v>
      </c>
      <c r="D9" s="229" t="s">
        <v>134</v>
      </c>
      <c r="E9" s="229" t="s">
        <v>134</v>
      </c>
      <c r="F9" s="229" t="s">
        <v>134</v>
      </c>
      <c r="G9" s="229" t="s">
        <v>134</v>
      </c>
      <c r="H9" s="229" t="s">
        <v>134</v>
      </c>
      <c r="I9" s="229" t="s">
        <v>134</v>
      </c>
      <c r="J9" s="229" t="s">
        <v>134</v>
      </c>
      <c r="K9" s="229" t="s">
        <v>134</v>
      </c>
      <c r="L9" s="229" t="s">
        <v>134</v>
      </c>
      <c r="M9" s="231">
        <f t="shared" si="2"/>
        <v>0</v>
      </c>
    </row>
    <row r="10" ht="15.6" customHeight="1" spans="1:13">
      <c r="A10" s="230">
        <v>2</v>
      </c>
      <c r="B10" s="226" t="s">
        <v>136</v>
      </c>
      <c r="C10" s="227">
        <f t="shared" ref="C10:L10" si="3">SUM(C11:C16)</f>
        <v>0</v>
      </c>
      <c r="D10" s="227">
        <f t="shared" si="3"/>
        <v>0</v>
      </c>
      <c r="E10" s="227">
        <f t="shared" si="3"/>
        <v>0</v>
      </c>
      <c r="F10" s="227">
        <f t="shared" si="3"/>
        <v>0</v>
      </c>
      <c r="G10" s="227">
        <f t="shared" si="3"/>
        <v>0</v>
      </c>
      <c r="H10" s="227">
        <f t="shared" si="3"/>
        <v>0</v>
      </c>
      <c r="I10" s="227">
        <f t="shared" si="3"/>
        <v>0</v>
      </c>
      <c r="J10" s="227">
        <f t="shared" si="3"/>
        <v>0</v>
      </c>
      <c r="K10" s="227">
        <f t="shared" si="3"/>
        <v>0</v>
      </c>
      <c r="L10" s="227">
        <f t="shared" si="3"/>
        <v>0</v>
      </c>
      <c r="M10" s="231">
        <f t="shared" si="2"/>
        <v>0</v>
      </c>
    </row>
    <row r="11" ht="15" customHeight="1" spans="1:13">
      <c r="A11" s="225">
        <v>2.1</v>
      </c>
      <c r="B11" s="225" t="s">
        <v>137</v>
      </c>
      <c r="C11" s="229">
        <f>([1]计划!C6-[1]计划!C7)</f>
        <v>0</v>
      </c>
      <c r="D11" s="229">
        <f>([1]计划!D6-[1]计划!D7)</f>
        <v>0</v>
      </c>
      <c r="E11" s="229">
        <f>([1]计划!E6-[1]计划!E7)</f>
        <v>0</v>
      </c>
      <c r="F11" s="229">
        <f>([1]计划!F6-[1]计划!F7)</f>
        <v>0</v>
      </c>
      <c r="G11" s="229">
        <f>([1]计划!G6-[1]计划!G7)</f>
        <v>0</v>
      </c>
      <c r="H11" s="229">
        <f>([1]计划!H6-[1]计划!H7)</f>
        <v>0</v>
      </c>
      <c r="I11" s="229">
        <f>([1]计划!I6-[1]计划!I7)</f>
        <v>0</v>
      </c>
      <c r="J11" s="229">
        <f>([1]计划!J6-[1]计划!J7)</f>
        <v>0</v>
      </c>
      <c r="K11" s="229">
        <f>([1]计划!K6-[1]计划!K7)</f>
        <v>0</v>
      </c>
      <c r="L11" s="229">
        <f>([1]计划!L6-[1]计划!L7)</f>
        <v>0</v>
      </c>
      <c r="M11" s="231">
        <f t="shared" si="2"/>
        <v>0</v>
      </c>
    </row>
    <row r="12" s="212" customFormat="1" ht="15" customHeight="1" spans="1:13">
      <c r="A12" s="225">
        <v>2.2</v>
      </c>
      <c r="B12" s="231" t="s">
        <v>138</v>
      </c>
      <c r="C12" s="229">
        <f>[1]计划!C8</f>
        <v>0</v>
      </c>
      <c r="D12" s="229">
        <f>[1]计划!D8</f>
        <v>0</v>
      </c>
      <c r="E12" s="229">
        <f>[1]计划!E8</f>
        <v>0</v>
      </c>
      <c r="F12" s="229">
        <f>[1]计划!F8</f>
        <v>0</v>
      </c>
      <c r="G12" s="229">
        <f>[1]计划!G8</f>
        <v>0</v>
      </c>
      <c r="H12" s="229">
        <f>[1]计划!H8</f>
        <v>0</v>
      </c>
      <c r="I12" s="229">
        <f>[1]计划!I8</f>
        <v>0</v>
      </c>
      <c r="J12" s="229">
        <f>[1]计划!J8</f>
        <v>0</v>
      </c>
      <c r="K12" s="229">
        <f>[1]计划!K8</f>
        <v>0</v>
      </c>
      <c r="L12" s="229">
        <f>[1]计划!L8</f>
        <v>0</v>
      </c>
      <c r="M12" s="231">
        <f t="shared" si="2"/>
        <v>0</v>
      </c>
    </row>
    <row r="13" ht="15" customHeight="1" spans="1:13">
      <c r="A13" s="225">
        <v>2.3</v>
      </c>
      <c r="B13" s="228" t="s">
        <v>139</v>
      </c>
      <c r="C13" s="229">
        <f>[1]总成本!C22</f>
        <v>0</v>
      </c>
      <c r="D13" s="229">
        <f>[1]总成本!D22</f>
        <v>0</v>
      </c>
      <c r="E13" s="229">
        <f>[1]总成本!E22</f>
        <v>0</v>
      </c>
      <c r="F13" s="229">
        <f>[1]总成本!F22</f>
        <v>0</v>
      </c>
      <c r="G13" s="229">
        <f>[1]总成本!G22</f>
        <v>0</v>
      </c>
      <c r="H13" s="229">
        <f>[1]总成本!H22</f>
        <v>0</v>
      </c>
      <c r="I13" s="229">
        <f>[1]总成本!I22</f>
        <v>0</v>
      </c>
      <c r="J13" s="229">
        <f>[1]总成本!J22</f>
        <v>0</v>
      </c>
      <c r="K13" s="229">
        <f>[1]总成本!K22</f>
        <v>0</v>
      </c>
      <c r="L13" s="229">
        <f>[1]总成本!L22</f>
        <v>0</v>
      </c>
      <c r="M13" s="231">
        <f t="shared" si="2"/>
        <v>0</v>
      </c>
    </row>
    <row r="14" ht="15" customHeight="1" spans="1:13">
      <c r="A14" s="225">
        <v>2.4</v>
      </c>
      <c r="B14" s="228" t="s">
        <v>140</v>
      </c>
      <c r="C14" s="229">
        <f>[1]价格!D15</f>
        <v>0</v>
      </c>
      <c r="D14" s="229">
        <f>[1]价格!E15</f>
        <v>0</v>
      </c>
      <c r="E14" s="229">
        <f>[1]价格!F15</f>
        <v>0</v>
      </c>
      <c r="F14" s="229">
        <f>[1]价格!G15</f>
        <v>0</v>
      </c>
      <c r="G14" s="229">
        <f>[1]价格!H15</f>
        <v>0</v>
      </c>
      <c r="H14" s="229">
        <f>[1]价格!I15</f>
        <v>0</v>
      </c>
      <c r="I14" s="229">
        <f>[1]价格!J15</f>
        <v>0</v>
      </c>
      <c r="J14" s="229">
        <f>[1]价格!K15</f>
        <v>0</v>
      </c>
      <c r="K14" s="229">
        <f>[1]价格!L15</f>
        <v>0</v>
      </c>
      <c r="L14" s="229">
        <f>[1]价格!M15</f>
        <v>0</v>
      </c>
      <c r="M14" s="231">
        <f t="shared" si="2"/>
        <v>0</v>
      </c>
    </row>
    <row r="15" ht="15" customHeight="1" spans="1:13">
      <c r="A15" s="225">
        <v>2.5</v>
      </c>
      <c r="B15" s="228" t="s">
        <v>66</v>
      </c>
      <c r="C15" s="229">
        <f>[1]利润!C13</f>
        <v>0</v>
      </c>
      <c r="D15" s="229">
        <f>[1]利润!D13</f>
        <v>0</v>
      </c>
      <c r="E15" s="229">
        <f>[1]利润!E13</f>
        <v>0</v>
      </c>
      <c r="F15" s="229">
        <f>[1]利润!F13</f>
        <v>0</v>
      </c>
      <c r="G15" s="229">
        <f>[1]利润!G13</f>
        <v>0</v>
      </c>
      <c r="H15" s="229">
        <f>[1]利润!H13</f>
        <v>0</v>
      </c>
      <c r="I15" s="229">
        <f>[1]利润!I13</f>
        <v>0</v>
      </c>
      <c r="J15" s="229">
        <f>[1]利润!J13</f>
        <v>0</v>
      </c>
      <c r="K15" s="229">
        <f>[1]利润!K13</f>
        <v>0</v>
      </c>
      <c r="L15" s="229">
        <f>[1]利润!L13</f>
        <v>0</v>
      </c>
      <c r="M15" s="231">
        <f t="shared" si="2"/>
        <v>0</v>
      </c>
    </row>
    <row r="16" ht="15" customHeight="1" spans="1:13">
      <c r="A16" s="225">
        <v>2.6</v>
      </c>
      <c r="B16" s="228" t="s">
        <v>141</v>
      </c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31">
        <f t="shared" si="2"/>
        <v>0</v>
      </c>
    </row>
    <row r="17" ht="14" spans="1:13">
      <c r="A17" s="225">
        <v>3</v>
      </c>
      <c r="B17" s="226" t="s">
        <v>142</v>
      </c>
      <c r="C17" s="227">
        <f t="shared" ref="C17:L17" si="4">C5-C10</f>
        <v>0</v>
      </c>
      <c r="D17" s="227">
        <f t="shared" si="4"/>
        <v>0</v>
      </c>
      <c r="E17" s="227" t="e">
        <f t="shared" si="4"/>
        <v>#REF!</v>
      </c>
      <c r="F17" s="227">
        <f t="shared" si="4"/>
        <v>2475000</v>
      </c>
      <c r="G17" s="227">
        <f t="shared" si="4"/>
        <v>4950000</v>
      </c>
      <c r="H17" s="227">
        <f t="shared" si="4"/>
        <v>0</v>
      </c>
      <c r="I17" s="227" t="e">
        <f t="shared" si="4"/>
        <v>#REF!</v>
      </c>
      <c r="J17" s="227" t="e">
        <f t="shared" si="4"/>
        <v>#REF!</v>
      </c>
      <c r="K17" s="227" t="e">
        <f t="shared" si="4"/>
        <v>#REF!</v>
      </c>
      <c r="L17" s="227">
        <f t="shared" si="4"/>
        <v>14025000</v>
      </c>
      <c r="M17" s="231" t="e">
        <f t="shared" si="2"/>
        <v>#REF!</v>
      </c>
    </row>
    <row r="18" ht="14" spans="1:13">
      <c r="A18" s="232">
        <v>4</v>
      </c>
      <c r="B18" s="228" t="s">
        <v>143</v>
      </c>
      <c r="C18" s="229">
        <f>C17</f>
        <v>0</v>
      </c>
      <c r="D18" s="229">
        <f t="shared" ref="D18:L18" si="5">C18+D17</f>
        <v>0</v>
      </c>
      <c r="E18" s="229" t="e">
        <f t="shared" si="5"/>
        <v>#REF!</v>
      </c>
      <c r="F18" s="229" t="e">
        <f t="shared" si="5"/>
        <v>#REF!</v>
      </c>
      <c r="G18" s="229" t="e">
        <f t="shared" si="5"/>
        <v>#REF!</v>
      </c>
      <c r="H18" s="229" t="e">
        <f t="shared" si="5"/>
        <v>#REF!</v>
      </c>
      <c r="I18" s="229" t="e">
        <f t="shared" si="5"/>
        <v>#REF!</v>
      </c>
      <c r="J18" s="229" t="e">
        <f t="shared" si="5"/>
        <v>#REF!</v>
      </c>
      <c r="K18" s="229" t="e">
        <f t="shared" si="5"/>
        <v>#REF!</v>
      </c>
      <c r="L18" s="229" t="e">
        <f t="shared" si="5"/>
        <v>#REF!</v>
      </c>
      <c r="M18" s="228" t="s">
        <v>134</v>
      </c>
    </row>
    <row r="19" s="212" customFormat="1" ht="13" spans="1:13">
      <c r="A19" s="232">
        <v>5</v>
      </c>
      <c r="B19" s="228" t="s">
        <v>144</v>
      </c>
      <c r="C19" s="229">
        <f t="shared" ref="C19:L19" si="6">C17+C15</f>
        <v>0</v>
      </c>
      <c r="D19" s="229">
        <f t="shared" si="6"/>
        <v>0</v>
      </c>
      <c r="E19" s="229" t="e">
        <f t="shared" si="6"/>
        <v>#REF!</v>
      </c>
      <c r="F19" s="229">
        <f t="shared" si="6"/>
        <v>2475000</v>
      </c>
      <c r="G19" s="229">
        <f t="shared" si="6"/>
        <v>4950000</v>
      </c>
      <c r="H19" s="229">
        <f t="shared" si="6"/>
        <v>0</v>
      </c>
      <c r="I19" s="229" t="e">
        <f t="shared" si="6"/>
        <v>#REF!</v>
      </c>
      <c r="J19" s="229" t="e">
        <f t="shared" si="6"/>
        <v>#REF!</v>
      </c>
      <c r="K19" s="229" t="e">
        <f t="shared" si="6"/>
        <v>#REF!</v>
      </c>
      <c r="L19" s="229">
        <f t="shared" si="6"/>
        <v>14025000</v>
      </c>
      <c r="M19" s="231" t="e">
        <f>SUM(C19:L19)</f>
        <v>#REF!</v>
      </c>
    </row>
    <row r="20" s="212" customFormat="1" ht="13" spans="1:13">
      <c r="A20" s="225">
        <v>6</v>
      </c>
      <c r="B20" s="228" t="s">
        <v>145</v>
      </c>
      <c r="C20" s="229">
        <f>C19</f>
        <v>0</v>
      </c>
      <c r="D20" s="229">
        <f t="shared" ref="D20:L20" si="7">C20+D19</f>
        <v>0</v>
      </c>
      <c r="E20" s="229" t="e">
        <f t="shared" si="7"/>
        <v>#REF!</v>
      </c>
      <c r="F20" s="229" t="e">
        <f t="shared" si="7"/>
        <v>#REF!</v>
      </c>
      <c r="G20" s="229" t="e">
        <f t="shared" si="7"/>
        <v>#REF!</v>
      </c>
      <c r="H20" s="229" t="e">
        <f t="shared" si="7"/>
        <v>#REF!</v>
      </c>
      <c r="I20" s="229" t="e">
        <f t="shared" si="7"/>
        <v>#REF!</v>
      </c>
      <c r="J20" s="229" t="e">
        <f t="shared" si="7"/>
        <v>#REF!</v>
      </c>
      <c r="K20" s="229" t="e">
        <f t="shared" si="7"/>
        <v>#REF!</v>
      </c>
      <c r="L20" s="229" t="e">
        <f t="shared" si="7"/>
        <v>#REF!</v>
      </c>
      <c r="M20" s="228" t="s">
        <v>134</v>
      </c>
    </row>
    <row r="21" ht="14" spans="1:13">
      <c r="A21" s="233"/>
      <c r="B21" s="234" t="s">
        <v>146</v>
      </c>
      <c r="C21" s="234"/>
      <c r="D21" s="234"/>
      <c r="E21" s="234" t="s">
        <v>147</v>
      </c>
      <c r="F21" s="234"/>
      <c r="G21" s="234"/>
      <c r="H21" s="234"/>
      <c r="I21" s="234" t="s">
        <v>148</v>
      </c>
      <c r="J21" s="234"/>
      <c r="K21" s="234"/>
      <c r="L21" s="234"/>
      <c r="M21" s="245"/>
    </row>
    <row r="22" ht="14" spans="1:13">
      <c r="A22" s="235"/>
      <c r="B22" s="236" t="s">
        <v>149</v>
      </c>
      <c r="C22" s="236"/>
      <c r="D22" s="237" t="s">
        <v>150</v>
      </c>
      <c r="E22" s="238" t="e">
        <f>IRR(C17:L17,0.15)</f>
        <v>#VALUE!</v>
      </c>
      <c r="F22" s="236"/>
      <c r="G22" s="236"/>
      <c r="H22" s="236"/>
      <c r="I22" s="238" t="e">
        <f>IRR(C19:L19,0.15)</f>
        <v>#VALUE!</v>
      </c>
      <c r="J22" s="236"/>
      <c r="K22" s="236"/>
      <c r="L22" s="236"/>
      <c r="M22" s="246"/>
    </row>
    <row r="23" ht="14" spans="1:18">
      <c r="A23" s="235"/>
      <c r="B23" s="236" t="s">
        <v>151</v>
      </c>
      <c r="C23" s="236"/>
      <c r="D23" s="236"/>
      <c r="E23" s="239" t="e">
        <f>NPV(0.12,C17:L17)</f>
        <v>#REF!</v>
      </c>
      <c r="F23" s="236"/>
      <c r="G23" s="236"/>
      <c r="H23" s="236"/>
      <c r="I23" s="239" t="e">
        <f>NPV(0.12,C19:L19)</f>
        <v>#REF!</v>
      </c>
      <c r="J23" s="236"/>
      <c r="K23" s="236"/>
      <c r="L23" s="236"/>
      <c r="M23" s="246"/>
      <c r="R23" s="213">
        <f>30.9-29.82</f>
        <v>1.08</v>
      </c>
    </row>
    <row r="24" ht="14" spans="1:13">
      <c r="A24" s="240"/>
      <c r="B24" s="241" t="s">
        <v>152</v>
      </c>
      <c r="C24" s="241"/>
      <c r="D24" s="241"/>
      <c r="E24" s="242" t="e">
        <f>6-H18/I17</f>
        <v>#REF!</v>
      </c>
      <c r="F24" s="241"/>
      <c r="G24" s="241"/>
      <c r="H24" s="241"/>
      <c r="I24" s="242" t="e">
        <f>6-H20/I19</f>
        <v>#REF!</v>
      </c>
      <c r="J24" s="241"/>
      <c r="K24" s="241"/>
      <c r="L24" s="241"/>
      <c r="M24" s="247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4"/>
  <sheetViews>
    <sheetView workbookViewId="0">
      <pane xSplit="2" ySplit="7" topLeftCell="C31" activePane="bottomRight" state="frozen"/>
      <selection/>
      <selection pane="topRight"/>
      <selection pane="bottomLeft"/>
      <selection pane="bottomRight" activeCell="D33" sqref="D33"/>
    </sheetView>
  </sheetViews>
  <sheetFormatPr defaultColWidth="9" defaultRowHeight="14.5"/>
  <cols>
    <col min="1" max="1" width="5.12727272727273" style="176" customWidth="1"/>
    <col min="2" max="2" width="17.5" style="176" customWidth="1"/>
    <col min="3" max="10" width="13.2545454545455" style="177" customWidth="1"/>
    <col min="11" max="11" width="18.7545454545455" style="177" customWidth="1"/>
    <col min="12" max="12" width="12.3727272727273" style="176" customWidth="1"/>
    <col min="13" max="13" width="10.1272727272727" style="176" customWidth="1"/>
    <col min="14" max="20" width="9" style="176" customWidth="1"/>
    <col min="21" max="34" width="9" style="176"/>
    <col min="35" max="35" width="4.37272727272727" style="176" customWidth="1"/>
    <col min="36" max="36" width="13.8727272727273" style="176" customWidth="1"/>
    <col min="37" max="16384" width="9" style="176"/>
  </cols>
  <sheetData>
    <row r="1" spans="1:11">
      <c r="A1" s="178" t="s">
        <v>153</v>
      </c>
      <c r="B1" s="178"/>
      <c r="C1" s="179" t="s">
        <v>154</v>
      </c>
      <c r="D1" s="180"/>
      <c r="E1" s="180"/>
      <c r="F1" s="180"/>
      <c r="G1" s="180"/>
      <c r="H1" s="180"/>
      <c r="I1" s="180"/>
      <c r="J1" s="180"/>
      <c r="K1" s="199"/>
    </row>
    <row r="2" spans="1:11">
      <c r="A2" s="178" t="s">
        <v>155</v>
      </c>
      <c r="B2" s="178"/>
      <c r="C2" s="181" t="s">
        <v>156</v>
      </c>
      <c r="D2" s="181"/>
      <c r="E2" s="181"/>
      <c r="F2" s="181"/>
      <c r="G2" s="181"/>
      <c r="H2" s="181"/>
      <c r="I2" s="181"/>
      <c r="J2" s="181"/>
      <c r="K2" s="181"/>
    </row>
    <row r="3" ht="39" spans="1:11">
      <c r="A3" s="178" t="s">
        <v>157</v>
      </c>
      <c r="B3" s="178"/>
      <c r="C3" s="182" t="str">
        <f>销量!C5</f>
        <v>MAX左座椅总成（TX平台 空气减震）</v>
      </c>
      <c r="D3" s="182" t="str">
        <f>销量!D5</f>
        <v>MAX右座椅总成（TX平台 简易版 无</v>
      </c>
      <c r="E3" s="182">
        <f>销量!E5</f>
        <v>0</v>
      </c>
      <c r="F3" s="182">
        <f>销量!F5</f>
        <v>0</v>
      </c>
      <c r="G3" s="182">
        <f>销量!G5</f>
        <v>0</v>
      </c>
      <c r="H3" s="182">
        <f>销量!H5</f>
        <v>0</v>
      </c>
      <c r="I3" s="182">
        <f>销量!I5</f>
        <v>0</v>
      </c>
      <c r="J3" s="182">
        <f>销量!J5</f>
        <v>0</v>
      </c>
      <c r="K3" s="200" t="s">
        <v>27</v>
      </c>
    </row>
    <row r="4" ht="26" spans="1:11">
      <c r="A4" s="178" t="s">
        <v>158</v>
      </c>
      <c r="B4" s="178"/>
      <c r="C4" s="182" t="str">
        <f>销量!C6</f>
        <v>YZ167151000039</v>
      </c>
      <c r="D4" s="182" t="str">
        <f>销量!D6</f>
        <v>YZ167151000040</v>
      </c>
      <c r="E4" s="182">
        <f>销量!E6</f>
        <v>0</v>
      </c>
      <c r="F4" s="182">
        <f>销量!F6</f>
        <v>0</v>
      </c>
      <c r="G4" s="182">
        <f>销量!G6</f>
        <v>0</v>
      </c>
      <c r="H4" s="182">
        <f>销量!H6</f>
        <v>0</v>
      </c>
      <c r="I4" s="182">
        <f>销量!I6</f>
        <v>0</v>
      </c>
      <c r="J4" s="182">
        <f>销量!J6</f>
        <v>0</v>
      </c>
      <c r="K4" s="201"/>
    </row>
    <row r="5" spans="1:37">
      <c r="A5" s="178" t="s">
        <v>159</v>
      </c>
      <c r="B5" s="178"/>
      <c r="C5" s="183"/>
      <c r="D5" s="183"/>
      <c r="E5" s="183"/>
      <c r="F5" s="183"/>
      <c r="G5" s="183"/>
      <c r="H5" s="183"/>
      <c r="I5" s="183"/>
      <c r="J5" s="183"/>
      <c r="K5" s="202"/>
      <c r="AK5" s="176" t="s">
        <v>28</v>
      </c>
    </row>
    <row r="6" ht="16.5" spans="1:37">
      <c r="A6" s="184" t="s">
        <v>21</v>
      </c>
      <c r="B6" s="185" t="s">
        <v>160</v>
      </c>
      <c r="C6" s="186">
        <f>销量!C9</f>
        <v>1500</v>
      </c>
      <c r="D6" s="186">
        <f>销量!D9</f>
        <v>1500</v>
      </c>
      <c r="E6" s="186">
        <f>销量!E9</f>
        <v>0</v>
      </c>
      <c r="F6" s="186">
        <f>销量!F9</f>
        <v>0</v>
      </c>
      <c r="G6" s="186">
        <f>销量!G9</f>
        <v>0</v>
      </c>
      <c r="H6" s="186">
        <f>销量!H9</f>
        <v>0</v>
      </c>
      <c r="I6" s="186">
        <f>销量!I9</f>
        <v>0</v>
      </c>
      <c r="J6" s="186">
        <f>销量!J9</f>
        <v>0</v>
      </c>
      <c r="K6" s="187">
        <f t="shared" ref="K6:K15" si="0">SUM(C6:J6)</f>
        <v>3000</v>
      </c>
      <c r="AI6" s="184" t="s">
        <v>21</v>
      </c>
      <c r="AJ6" s="185" t="s">
        <v>3</v>
      </c>
      <c r="AK6" s="176" t="s">
        <v>29</v>
      </c>
    </row>
    <row r="7" spans="1:37">
      <c r="A7" s="178">
        <v>1</v>
      </c>
      <c r="B7" s="185" t="s">
        <v>30</v>
      </c>
      <c r="C7" s="187">
        <f>C6*销量!C8</f>
        <v>1770000</v>
      </c>
      <c r="D7" s="187">
        <f>D6*销量!D8</f>
        <v>705000</v>
      </c>
      <c r="E7" s="187">
        <f>E6*销量!E8</f>
        <v>0</v>
      </c>
      <c r="F7" s="187">
        <f>F6*销量!F8</f>
        <v>0</v>
      </c>
      <c r="G7" s="187">
        <f>G6*销量!G8</f>
        <v>0</v>
      </c>
      <c r="H7" s="187">
        <f>H6*销量!H8</f>
        <v>0</v>
      </c>
      <c r="I7" s="187">
        <f>I6*销量!I8</f>
        <v>0</v>
      </c>
      <c r="J7" s="187">
        <f>J6*销量!J8</f>
        <v>0</v>
      </c>
      <c r="K7" s="187">
        <f t="shared" si="0"/>
        <v>2475000</v>
      </c>
      <c r="L7" s="177"/>
      <c r="AI7" s="184" t="s">
        <v>31</v>
      </c>
      <c r="AJ7" s="185" t="s">
        <v>30</v>
      </c>
      <c r="AK7" s="176" t="s">
        <v>29</v>
      </c>
    </row>
    <row r="8" spans="1:37">
      <c r="A8" s="178">
        <v>2</v>
      </c>
      <c r="B8" s="178" t="s">
        <v>32</v>
      </c>
      <c r="C8" s="187"/>
      <c r="D8" s="187"/>
      <c r="E8" s="187"/>
      <c r="F8" s="187"/>
      <c r="G8" s="187"/>
      <c r="H8" s="187"/>
      <c r="I8" s="187"/>
      <c r="J8" s="187"/>
      <c r="K8" s="187">
        <f t="shared" si="0"/>
        <v>0</v>
      </c>
      <c r="L8" s="203"/>
      <c r="AI8" s="184" t="s">
        <v>33</v>
      </c>
      <c r="AJ8" s="178" t="s">
        <v>34</v>
      </c>
      <c r="AK8" s="176" t="s">
        <v>29</v>
      </c>
    </row>
    <row r="9" spans="1:37">
      <c r="A9" s="178">
        <v>3</v>
      </c>
      <c r="B9" s="185" t="s">
        <v>35</v>
      </c>
      <c r="C9" s="187">
        <f>+C7-C8</f>
        <v>1770000</v>
      </c>
      <c r="D9" s="187">
        <f t="shared" ref="D9:J9" si="1">+D7-D8</f>
        <v>705000</v>
      </c>
      <c r="E9" s="187">
        <f t="shared" si="1"/>
        <v>0</v>
      </c>
      <c r="F9" s="187">
        <f t="shared" si="1"/>
        <v>0</v>
      </c>
      <c r="G9" s="187">
        <f t="shared" si="1"/>
        <v>0</v>
      </c>
      <c r="H9" s="187">
        <f t="shared" si="1"/>
        <v>0</v>
      </c>
      <c r="I9" s="187">
        <f t="shared" si="1"/>
        <v>0</v>
      </c>
      <c r="J9" s="187">
        <f t="shared" si="1"/>
        <v>0</v>
      </c>
      <c r="K9" s="187">
        <f t="shared" si="0"/>
        <v>2475000</v>
      </c>
      <c r="AI9" s="184" t="s">
        <v>36</v>
      </c>
      <c r="AJ9" s="185" t="s">
        <v>35</v>
      </c>
      <c r="AK9" s="176" t="s">
        <v>37</v>
      </c>
    </row>
    <row r="10" spans="1:37">
      <c r="A10" s="178">
        <v>4</v>
      </c>
      <c r="B10" s="184" t="s">
        <v>38</v>
      </c>
      <c r="C10" s="187">
        <f>C6*C33</f>
        <v>1125495</v>
      </c>
      <c r="D10" s="187">
        <f>D6*D33</f>
        <v>590820</v>
      </c>
      <c r="E10" s="187">
        <f t="shared" ref="E10:J10" si="2">E6*E33</f>
        <v>0</v>
      </c>
      <c r="F10" s="187">
        <f t="shared" si="2"/>
        <v>0</v>
      </c>
      <c r="G10" s="187">
        <f t="shared" si="2"/>
        <v>0</v>
      </c>
      <c r="H10" s="187">
        <f t="shared" si="2"/>
        <v>0</v>
      </c>
      <c r="I10" s="187">
        <f t="shared" si="2"/>
        <v>0</v>
      </c>
      <c r="J10" s="187">
        <f t="shared" si="2"/>
        <v>0</v>
      </c>
      <c r="K10" s="187">
        <f t="shared" si="0"/>
        <v>1716315</v>
      </c>
      <c r="AI10" s="184" t="s">
        <v>39</v>
      </c>
      <c r="AJ10" s="184" t="s">
        <v>38</v>
      </c>
      <c r="AK10" s="176" t="s">
        <v>40</v>
      </c>
    </row>
    <row r="11" spans="1:36">
      <c r="A11" s="178">
        <v>5</v>
      </c>
      <c r="B11" s="184" t="s">
        <v>41</v>
      </c>
      <c r="C11" s="187">
        <f>+C6*C36</f>
        <v>99509.375879246</v>
      </c>
      <c r="D11" s="187">
        <f t="shared" ref="D11:J11" si="3">+D6*D36</f>
        <v>39635.090392581</v>
      </c>
      <c r="E11" s="187">
        <f t="shared" si="3"/>
        <v>0</v>
      </c>
      <c r="F11" s="187">
        <f t="shared" si="3"/>
        <v>0</v>
      </c>
      <c r="G11" s="187">
        <f t="shared" si="3"/>
        <v>0</v>
      </c>
      <c r="H11" s="187">
        <f t="shared" si="3"/>
        <v>0</v>
      </c>
      <c r="I11" s="187">
        <f t="shared" si="3"/>
        <v>0</v>
      </c>
      <c r="J11" s="187">
        <f t="shared" si="3"/>
        <v>0</v>
      </c>
      <c r="K11" s="187">
        <f t="shared" si="0"/>
        <v>139144.466271827</v>
      </c>
      <c r="AI11" s="184" t="s">
        <v>42</v>
      </c>
      <c r="AJ11" s="184" t="s">
        <v>41</v>
      </c>
    </row>
    <row r="12" spans="1:36">
      <c r="A12" s="178">
        <v>6</v>
      </c>
      <c r="B12" s="184" t="s">
        <v>43</v>
      </c>
      <c r="C12" s="187">
        <f>+C6*C37</f>
        <v>26684.5015939056</v>
      </c>
      <c r="D12" s="187">
        <f t="shared" ref="D12:J12" si="4">+D6*D37</f>
        <v>10628.572668759</v>
      </c>
      <c r="E12" s="187">
        <f t="shared" si="4"/>
        <v>0</v>
      </c>
      <c r="F12" s="187">
        <f t="shared" si="4"/>
        <v>0</v>
      </c>
      <c r="G12" s="187">
        <f t="shared" si="4"/>
        <v>0</v>
      </c>
      <c r="H12" s="187">
        <f t="shared" si="4"/>
        <v>0</v>
      </c>
      <c r="I12" s="187">
        <f t="shared" si="4"/>
        <v>0</v>
      </c>
      <c r="J12" s="187">
        <f t="shared" si="4"/>
        <v>0</v>
      </c>
      <c r="K12" s="187">
        <f t="shared" si="0"/>
        <v>37313.0742626646</v>
      </c>
      <c r="AI12" s="184" t="s">
        <v>44</v>
      </c>
      <c r="AJ12" s="184" t="s">
        <v>43</v>
      </c>
    </row>
    <row r="13" spans="1:37">
      <c r="A13" s="178">
        <v>7</v>
      </c>
      <c r="B13" s="184" t="s">
        <v>45</v>
      </c>
      <c r="C13" s="187">
        <f>+C6*C38</f>
        <v>70800</v>
      </c>
      <c r="D13" s="187">
        <f t="shared" ref="D13:J13" si="5">+D6*D38</f>
        <v>28200</v>
      </c>
      <c r="E13" s="187">
        <f t="shared" si="5"/>
        <v>0</v>
      </c>
      <c r="F13" s="187">
        <f t="shared" si="5"/>
        <v>0</v>
      </c>
      <c r="G13" s="187">
        <f t="shared" si="5"/>
        <v>0</v>
      </c>
      <c r="H13" s="187">
        <f t="shared" si="5"/>
        <v>0</v>
      </c>
      <c r="I13" s="187">
        <f t="shared" si="5"/>
        <v>0</v>
      </c>
      <c r="J13" s="187">
        <f t="shared" si="5"/>
        <v>0</v>
      </c>
      <c r="K13" s="187">
        <f t="shared" si="0"/>
        <v>99000</v>
      </c>
      <c r="AI13" s="184" t="s">
        <v>46</v>
      </c>
      <c r="AJ13" s="184" t="s">
        <v>45</v>
      </c>
      <c r="AK13" s="176" t="s">
        <v>29</v>
      </c>
    </row>
    <row r="14" spans="1:36">
      <c r="A14" s="178">
        <v>8</v>
      </c>
      <c r="B14" s="188" t="s">
        <v>47</v>
      </c>
      <c r="C14" s="187">
        <f>SUM(C11:C13)</f>
        <v>196993.877473152</v>
      </c>
      <c r="D14" s="187">
        <f t="shared" ref="D14:J14" si="6">SUM(D11:D13)</f>
        <v>78463.66306134</v>
      </c>
      <c r="E14" s="187">
        <f t="shared" si="6"/>
        <v>0</v>
      </c>
      <c r="F14" s="187">
        <f t="shared" si="6"/>
        <v>0</v>
      </c>
      <c r="G14" s="187">
        <f t="shared" si="6"/>
        <v>0</v>
      </c>
      <c r="H14" s="187">
        <f t="shared" si="6"/>
        <v>0</v>
      </c>
      <c r="I14" s="187">
        <f t="shared" si="6"/>
        <v>0</v>
      </c>
      <c r="J14" s="187">
        <f t="shared" si="6"/>
        <v>0</v>
      </c>
      <c r="K14" s="187">
        <f t="shared" si="0"/>
        <v>275457.540534492</v>
      </c>
      <c r="AI14" s="184" t="s">
        <v>48</v>
      </c>
      <c r="AJ14" s="188" t="s">
        <v>47</v>
      </c>
    </row>
    <row r="15" spans="1:36">
      <c r="A15" s="178">
        <v>9</v>
      </c>
      <c r="B15" s="188" t="s">
        <v>49</v>
      </c>
      <c r="C15" s="187">
        <f>+C9-C10-C14</f>
        <v>447511.122526848</v>
      </c>
      <c r="D15" s="187">
        <f t="shared" ref="D15:J15" si="7">+D9-D10-D14</f>
        <v>35716.33693866</v>
      </c>
      <c r="E15" s="187">
        <f t="shared" si="7"/>
        <v>0</v>
      </c>
      <c r="F15" s="187">
        <f t="shared" si="7"/>
        <v>0</v>
      </c>
      <c r="G15" s="187">
        <f t="shared" si="7"/>
        <v>0</v>
      </c>
      <c r="H15" s="187">
        <f t="shared" si="7"/>
        <v>0</v>
      </c>
      <c r="I15" s="187">
        <f t="shared" si="7"/>
        <v>0</v>
      </c>
      <c r="J15" s="187">
        <f t="shared" si="7"/>
        <v>0</v>
      </c>
      <c r="K15" s="187">
        <f t="shared" si="0"/>
        <v>483227.459465508</v>
      </c>
      <c r="AI15" s="184" t="s">
        <v>50</v>
      </c>
      <c r="AJ15" s="188" t="s">
        <v>49</v>
      </c>
    </row>
    <row r="16" spans="1:36">
      <c r="A16" s="178">
        <v>10</v>
      </c>
      <c r="B16" s="184" t="s">
        <v>51</v>
      </c>
      <c r="C16" s="189">
        <f>+C15/C9</f>
        <v>0.252831142670536</v>
      </c>
      <c r="D16" s="189">
        <f t="shared" ref="D16:J16" si="8">+D15/D9</f>
        <v>0.0506614708349787</v>
      </c>
      <c r="E16" s="189" t="e">
        <f t="shared" si="8"/>
        <v>#DIV/0!</v>
      </c>
      <c r="F16" s="189" t="e">
        <f t="shared" si="8"/>
        <v>#DIV/0!</v>
      </c>
      <c r="G16" s="189" t="e">
        <f t="shared" si="8"/>
        <v>#DIV/0!</v>
      </c>
      <c r="H16" s="189" t="e">
        <f t="shared" si="8"/>
        <v>#DIV/0!</v>
      </c>
      <c r="I16" s="189" t="e">
        <f t="shared" si="8"/>
        <v>#DIV/0!</v>
      </c>
      <c r="J16" s="189" t="e">
        <f t="shared" si="8"/>
        <v>#DIV/0!</v>
      </c>
      <c r="K16" s="189">
        <f t="shared" ref="K16" si="9">+K15/K9</f>
        <v>0.195243417965862</v>
      </c>
      <c r="AI16" s="184" t="s">
        <v>52</v>
      </c>
      <c r="AJ16" s="184" t="s">
        <v>51</v>
      </c>
    </row>
    <row r="17" spans="1:36">
      <c r="A17" s="178">
        <v>11</v>
      </c>
      <c r="B17" s="184" t="s">
        <v>53</v>
      </c>
      <c r="C17" s="187">
        <f>C6*C43+C18</f>
        <v>127150</v>
      </c>
      <c r="D17" s="187">
        <f t="shared" ref="D17:J17" si="10">D6*D43+D18</f>
        <v>79225</v>
      </c>
      <c r="E17" s="187">
        <f t="shared" si="10"/>
        <v>0</v>
      </c>
      <c r="F17" s="187">
        <f t="shared" si="10"/>
        <v>0</v>
      </c>
      <c r="G17" s="187">
        <f t="shared" si="10"/>
        <v>0</v>
      </c>
      <c r="H17" s="187">
        <f t="shared" si="10"/>
        <v>0</v>
      </c>
      <c r="I17" s="187">
        <f t="shared" si="10"/>
        <v>0</v>
      </c>
      <c r="J17" s="187">
        <f t="shared" si="10"/>
        <v>0</v>
      </c>
      <c r="K17" s="187">
        <f>SUM(C17:J17)</f>
        <v>206375</v>
      </c>
      <c r="AI17" s="184" t="s">
        <v>54</v>
      </c>
      <c r="AJ17" s="184" t="s">
        <v>53</v>
      </c>
    </row>
    <row r="18" s="174" customFormat="1" spans="1:14">
      <c r="A18" s="178">
        <v>12</v>
      </c>
      <c r="B18" s="190" t="s">
        <v>161</v>
      </c>
      <c r="C18" s="191">
        <f>$K$18/$K$6*C6</f>
        <v>47500</v>
      </c>
      <c r="D18" s="191">
        <f t="shared" ref="D18:J18" si="11">$K$18/$K$6*D6</f>
        <v>47500</v>
      </c>
      <c r="E18" s="191">
        <f t="shared" si="11"/>
        <v>0</v>
      </c>
      <c r="F18" s="191">
        <f t="shared" si="11"/>
        <v>0</v>
      </c>
      <c r="G18" s="191">
        <f t="shared" si="11"/>
        <v>0</v>
      </c>
      <c r="H18" s="191">
        <f t="shared" si="11"/>
        <v>0</v>
      </c>
      <c r="I18" s="191">
        <f t="shared" si="11"/>
        <v>0</v>
      </c>
      <c r="J18" s="191">
        <f t="shared" si="11"/>
        <v>0</v>
      </c>
      <c r="K18" s="191">
        <f>项目投资!D26</f>
        <v>95000</v>
      </c>
      <c r="L18" s="211" t="s">
        <v>162</v>
      </c>
      <c r="M18" s="211"/>
      <c r="N18" s="176"/>
    </row>
    <row r="19" spans="1:37">
      <c r="A19" s="178">
        <v>13</v>
      </c>
      <c r="B19" s="184" t="s">
        <v>55</v>
      </c>
      <c r="C19" s="187">
        <f>C6*C44</f>
        <v>12390</v>
      </c>
      <c r="D19" s="187">
        <f t="shared" ref="D19:J19" si="12">D6*D44</f>
        <v>4935</v>
      </c>
      <c r="E19" s="187">
        <f t="shared" si="12"/>
        <v>0</v>
      </c>
      <c r="F19" s="187">
        <f t="shared" si="12"/>
        <v>0</v>
      </c>
      <c r="G19" s="187">
        <f t="shared" si="12"/>
        <v>0</v>
      </c>
      <c r="H19" s="187">
        <f t="shared" si="12"/>
        <v>0</v>
      </c>
      <c r="I19" s="187">
        <f t="shared" si="12"/>
        <v>0</v>
      </c>
      <c r="J19" s="187">
        <f t="shared" si="12"/>
        <v>0</v>
      </c>
      <c r="K19" s="187">
        <f>SUM(C19:J19)</f>
        <v>17325</v>
      </c>
      <c r="AI19" s="184" t="s">
        <v>56</v>
      </c>
      <c r="AJ19" s="184" t="s">
        <v>55</v>
      </c>
      <c r="AK19" s="176" t="s">
        <v>29</v>
      </c>
    </row>
    <row r="20" spans="1:36">
      <c r="A20" s="178">
        <v>14</v>
      </c>
      <c r="B20" s="184" t="s">
        <v>57</v>
      </c>
      <c r="C20" s="187">
        <f>C6*C45</f>
        <v>70800</v>
      </c>
      <c r="D20" s="187">
        <f t="shared" ref="D20:J20" si="13">D6*D45</f>
        <v>28200</v>
      </c>
      <c r="E20" s="187">
        <f t="shared" si="13"/>
        <v>0</v>
      </c>
      <c r="F20" s="187">
        <f t="shared" si="13"/>
        <v>0</v>
      </c>
      <c r="G20" s="187">
        <f t="shared" si="13"/>
        <v>0</v>
      </c>
      <c r="H20" s="187">
        <f t="shared" si="13"/>
        <v>0</v>
      </c>
      <c r="I20" s="187">
        <f t="shared" si="13"/>
        <v>0</v>
      </c>
      <c r="J20" s="187">
        <f t="shared" si="13"/>
        <v>0</v>
      </c>
      <c r="K20" s="187">
        <f>SUM(C20:J20)</f>
        <v>99000</v>
      </c>
      <c r="AI20" s="184" t="s">
        <v>58</v>
      </c>
      <c r="AJ20" s="184" t="s">
        <v>57</v>
      </c>
    </row>
    <row r="21" spans="1:36">
      <c r="A21" s="178">
        <v>15</v>
      </c>
      <c r="B21" s="184" t="s">
        <v>59</v>
      </c>
      <c r="C21" s="192">
        <f>$K$21/$K$6*C6</f>
        <v>43333.3333333333</v>
      </c>
      <c r="D21" s="192">
        <f t="shared" ref="D21:J21" si="14">$K$21/$K$6*D6</f>
        <v>43333.3333333333</v>
      </c>
      <c r="E21" s="192">
        <f t="shared" si="14"/>
        <v>0</v>
      </c>
      <c r="F21" s="192">
        <f t="shared" si="14"/>
        <v>0</v>
      </c>
      <c r="G21" s="192">
        <f t="shared" si="14"/>
        <v>0</v>
      </c>
      <c r="H21" s="192">
        <f t="shared" si="14"/>
        <v>0</v>
      </c>
      <c r="I21" s="192">
        <f t="shared" si="14"/>
        <v>0</v>
      </c>
      <c r="J21" s="192">
        <f t="shared" si="14"/>
        <v>0</v>
      </c>
      <c r="K21" s="187">
        <f>项目投资!D27</f>
        <v>86666.6666666667</v>
      </c>
      <c r="AI21" s="184"/>
      <c r="AJ21" s="184"/>
    </row>
    <row r="22" spans="1:36">
      <c r="A22" s="178">
        <v>16</v>
      </c>
      <c r="B22" s="184" t="s">
        <v>60</v>
      </c>
      <c r="C22" s="187">
        <f>C6*C47</f>
        <v>37701</v>
      </c>
      <c r="D22" s="187">
        <f t="shared" ref="D22:J22" si="15">D6*D47</f>
        <v>15016.5</v>
      </c>
      <c r="E22" s="187">
        <f t="shared" si="15"/>
        <v>0</v>
      </c>
      <c r="F22" s="187">
        <f t="shared" si="15"/>
        <v>0</v>
      </c>
      <c r="G22" s="187">
        <f t="shared" si="15"/>
        <v>0</v>
      </c>
      <c r="H22" s="187">
        <f t="shared" si="15"/>
        <v>0</v>
      </c>
      <c r="I22" s="187">
        <f t="shared" si="15"/>
        <v>0</v>
      </c>
      <c r="J22" s="187">
        <f t="shared" si="15"/>
        <v>0</v>
      </c>
      <c r="K22" s="187">
        <f>SUM(C22:J22)</f>
        <v>52717.5</v>
      </c>
      <c r="AI22" s="184" t="s">
        <v>61</v>
      </c>
      <c r="AJ22" s="184" t="s">
        <v>60</v>
      </c>
    </row>
    <row r="23" spans="1:36">
      <c r="A23" s="178">
        <v>17</v>
      </c>
      <c r="B23" s="188" t="s">
        <v>62</v>
      </c>
      <c r="C23" s="192">
        <f>+C22+C21+C20+C19+C17</f>
        <v>291374.333333333</v>
      </c>
      <c r="D23" s="192">
        <f t="shared" ref="D23:J23" si="16">+D22+D21+D20+D19+D17</f>
        <v>170709.833333333</v>
      </c>
      <c r="E23" s="192">
        <f t="shared" si="16"/>
        <v>0</v>
      </c>
      <c r="F23" s="192">
        <f t="shared" si="16"/>
        <v>0</v>
      </c>
      <c r="G23" s="192">
        <f t="shared" si="16"/>
        <v>0</v>
      </c>
      <c r="H23" s="192">
        <f t="shared" si="16"/>
        <v>0</v>
      </c>
      <c r="I23" s="192">
        <f t="shared" si="16"/>
        <v>0</v>
      </c>
      <c r="J23" s="192">
        <f t="shared" si="16"/>
        <v>0</v>
      </c>
      <c r="K23" s="192">
        <f t="shared" ref="K23" si="17">+K22+K21+K20+K19+K17</f>
        <v>462084.166666667</v>
      </c>
      <c r="AI23" s="184" t="s">
        <v>63</v>
      </c>
      <c r="AJ23" s="188" t="s">
        <v>62</v>
      </c>
    </row>
    <row r="24" spans="1:36">
      <c r="A24" s="178">
        <v>18</v>
      </c>
      <c r="B24" s="193" t="s">
        <v>64</v>
      </c>
      <c r="C24" s="192">
        <f>+C15-C23</f>
        <v>156136.789193515</v>
      </c>
      <c r="D24" s="192">
        <f t="shared" ref="D24:J24" si="18">+D15-D23</f>
        <v>-134993.496394673</v>
      </c>
      <c r="E24" s="192">
        <f t="shared" si="18"/>
        <v>0</v>
      </c>
      <c r="F24" s="192">
        <f t="shared" si="18"/>
        <v>0</v>
      </c>
      <c r="G24" s="192">
        <f t="shared" si="18"/>
        <v>0</v>
      </c>
      <c r="H24" s="192">
        <f t="shared" si="18"/>
        <v>0</v>
      </c>
      <c r="I24" s="192">
        <f t="shared" si="18"/>
        <v>0</v>
      </c>
      <c r="J24" s="192">
        <f t="shared" si="18"/>
        <v>0</v>
      </c>
      <c r="K24" s="192">
        <f t="shared" ref="K24" si="19">+K15-K23</f>
        <v>21143.2927988417</v>
      </c>
      <c r="M24" s="205"/>
      <c r="AI24" s="184" t="s">
        <v>65</v>
      </c>
      <c r="AJ24" s="184" t="s">
        <v>64</v>
      </c>
    </row>
    <row r="25" spans="1:36">
      <c r="A25" s="178">
        <v>19</v>
      </c>
      <c r="B25" s="184" t="s">
        <v>163</v>
      </c>
      <c r="C25" s="192">
        <f>IF(C24&lt;0,0,C24*0.15)</f>
        <v>23420.5183790273</v>
      </c>
      <c r="D25" s="192">
        <f t="shared" ref="D25:K25" si="20">IF(D24&lt;0,0,D24*0.15)</f>
        <v>0</v>
      </c>
      <c r="E25" s="192">
        <f t="shared" si="20"/>
        <v>0</v>
      </c>
      <c r="F25" s="192">
        <f t="shared" si="20"/>
        <v>0</v>
      </c>
      <c r="G25" s="192">
        <f t="shared" si="20"/>
        <v>0</v>
      </c>
      <c r="H25" s="192">
        <f t="shared" si="20"/>
        <v>0</v>
      </c>
      <c r="I25" s="192">
        <f t="shared" si="20"/>
        <v>0</v>
      </c>
      <c r="J25" s="192">
        <f t="shared" si="20"/>
        <v>0</v>
      </c>
      <c r="K25" s="192">
        <f t="shared" si="20"/>
        <v>3171.49391982626</v>
      </c>
      <c r="L25" s="2"/>
      <c r="M25" s="2"/>
      <c r="N25" s="2"/>
      <c r="AI25" s="184" t="s">
        <v>67</v>
      </c>
      <c r="AJ25" s="184" t="s">
        <v>66</v>
      </c>
    </row>
    <row r="26" spans="1:36">
      <c r="A26" s="178">
        <v>20</v>
      </c>
      <c r="B26" s="184" t="s">
        <v>68</v>
      </c>
      <c r="C26" s="192">
        <f t="shared" ref="C26" si="21">C24-C25</f>
        <v>132716.270814488</v>
      </c>
      <c r="D26" s="192">
        <f t="shared" ref="D26:K26" si="22">D24-D25</f>
        <v>-134993.496394673</v>
      </c>
      <c r="E26" s="192">
        <f t="shared" si="22"/>
        <v>0</v>
      </c>
      <c r="F26" s="192">
        <f t="shared" si="22"/>
        <v>0</v>
      </c>
      <c r="G26" s="192">
        <f t="shared" si="22"/>
        <v>0</v>
      </c>
      <c r="H26" s="192">
        <f t="shared" si="22"/>
        <v>0</v>
      </c>
      <c r="I26" s="192">
        <f t="shared" si="22"/>
        <v>0</v>
      </c>
      <c r="J26" s="192">
        <f t="shared" si="22"/>
        <v>0</v>
      </c>
      <c r="K26" s="187">
        <f t="shared" si="22"/>
        <v>17971.7988790155</v>
      </c>
      <c r="L26" s="2"/>
      <c r="M26" s="2"/>
      <c r="N26" s="2"/>
      <c r="AI26" s="184" t="s">
        <v>69</v>
      </c>
      <c r="AJ26" s="184" t="s">
        <v>68</v>
      </c>
    </row>
    <row r="27" spans="1:36">
      <c r="A27" s="178">
        <v>21</v>
      </c>
      <c r="B27" s="184" t="s">
        <v>72</v>
      </c>
      <c r="C27" s="194">
        <f t="shared" ref="C27:K27" si="23">C26/C7</f>
        <v>0.0749809439629875</v>
      </c>
      <c r="D27" s="194">
        <f t="shared" ref="D27:J27" si="24">D26/D7</f>
        <v>-0.191480136730033</v>
      </c>
      <c r="E27" s="194" t="e">
        <f t="shared" si="24"/>
        <v>#DIV/0!</v>
      </c>
      <c r="F27" s="194" t="e">
        <f t="shared" si="24"/>
        <v>#DIV/0!</v>
      </c>
      <c r="G27" s="194" t="e">
        <f t="shared" si="24"/>
        <v>#DIV/0!</v>
      </c>
      <c r="H27" s="194" t="e">
        <f t="shared" si="24"/>
        <v>#DIV/0!</v>
      </c>
      <c r="I27" s="194" t="e">
        <f t="shared" si="24"/>
        <v>#DIV/0!</v>
      </c>
      <c r="J27" s="194" t="e">
        <f t="shared" si="24"/>
        <v>#DIV/0!</v>
      </c>
      <c r="K27" s="194">
        <f t="shared" si="23"/>
        <v>0.00726133288041029</v>
      </c>
      <c r="L27" s="2"/>
      <c r="M27" s="2"/>
      <c r="N27" s="2"/>
      <c r="AI27" s="184" t="s">
        <v>71</v>
      </c>
      <c r="AJ27" s="184" t="s">
        <v>72</v>
      </c>
    </row>
    <row r="28" spans="12:14">
      <c r="L28" s="2"/>
      <c r="M28" s="2"/>
      <c r="N28" s="2"/>
    </row>
    <row r="29" spans="1:35">
      <c r="A29" s="176" t="s">
        <v>73</v>
      </c>
      <c r="K29" s="177" t="s">
        <v>20</v>
      </c>
      <c r="L29" s="2"/>
      <c r="M29" s="2"/>
      <c r="N29" s="2"/>
      <c r="AI29" s="176" t="s">
        <v>73</v>
      </c>
    </row>
    <row r="30" spans="1:36">
      <c r="A30" s="184" t="s">
        <v>79</v>
      </c>
      <c r="B30" s="188" t="s">
        <v>80</v>
      </c>
      <c r="C30" s="192"/>
      <c r="D30" s="192"/>
      <c r="E30" s="192"/>
      <c r="F30" s="192"/>
      <c r="G30" s="192"/>
      <c r="H30" s="192"/>
      <c r="I30" s="192"/>
      <c r="J30" s="192"/>
      <c r="K30" s="192"/>
      <c r="L30" s="2"/>
      <c r="M30" s="2"/>
      <c r="N30" s="2"/>
      <c r="P30" s="2"/>
      <c r="AI30" s="184" t="s">
        <v>81</v>
      </c>
      <c r="AJ30" s="188" t="s">
        <v>80</v>
      </c>
    </row>
    <row r="31" spans="1:36">
      <c r="A31" s="178">
        <v>1</v>
      </c>
      <c r="B31" s="190" t="s">
        <v>82</v>
      </c>
      <c r="C31" s="195">
        <f>销量!C8</f>
        <v>1180</v>
      </c>
      <c r="D31" s="195">
        <f>销量!D8</f>
        <v>470</v>
      </c>
      <c r="E31" s="195">
        <f>销量!E8</f>
        <v>0</v>
      </c>
      <c r="F31" s="195">
        <f>销量!F8</f>
        <v>0</v>
      </c>
      <c r="G31" s="195">
        <f>销量!G8</f>
        <v>0</v>
      </c>
      <c r="H31" s="195">
        <f>销量!H8</f>
        <v>0</v>
      </c>
      <c r="I31" s="195">
        <f>销量!I8</f>
        <v>0</v>
      </c>
      <c r="J31" s="195">
        <f>销量!J8</f>
        <v>0</v>
      </c>
      <c r="K31" s="192"/>
      <c r="L31" s="2"/>
      <c r="M31" s="2"/>
      <c r="N31" s="2"/>
      <c r="P31" s="2"/>
      <c r="AI31" s="184" t="s">
        <v>31</v>
      </c>
      <c r="AJ31" s="184" t="s">
        <v>82</v>
      </c>
    </row>
    <row r="32" spans="1:36">
      <c r="A32" s="178">
        <v>2</v>
      </c>
      <c r="B32" s="184" t="s">
        <v>164</v>
      </c>
      <c r="C32" s="187">
        <f>C31*1</f>
        <v>1180</v>
      </c>
      <c r="D32" s="187">
        <f t="shared" ref="D32:J32" si="25">D31*1</f>
        <v>470</v>
      </c>
      <c r="E32" s="187">
        <f t="shared" si="25"/>
        <v>0</v>
      </c>
      <c r="F32" s="187">
        <f t="shared" si="25"/>
        <v>0</v>
      </c>
      <c r="G32" s="187">
        <f t="shared" si="25"/>
        <v>0</v>
      </c>
      <c r="H32" s="187">
        <f t="shared" si="25"/>
        <v>0</v>
      </c>
      <c r="I32" s="187">
        <f t="shared" si="25"/>
        <v>0</v>
      </c>
      <c r="J32" s="187">
        <f t="shared" si="25"/>
        <v>0</v>
      </c>
      <c r="K32" s="192"/>
      <c r="L32" s="2"/>
      <c r="M32" s="2"/>
      <c r="N32" s="2"/>
      <c r="O32" s="2"/>
      <c r="P32" s="2"/>
      <c r="Q32" s="2"/>
      <c r="R32" s="2"/>
      <c r="AI32" s="184"/>
      <c r="AJ32" s="184"/>
    </row>
    <row r="33" ht="16.5" spans="1:36">
      <c r="A33" s="178">
        <v>3</v>
      </c>
      <c r="B33" s="190" t="s">
        <v>83</v>
      </c>
      <c r="C33" s="57">
        <f>材料成本!E20</f>
        <v>750.33</v>
      </c>
      <c r="D33" s="57">
        <f>材料成本!E21</f>
        <v>393.88</v>
      </c>
      <c r="E33" s="57">
        <f>材料成本!E22</f>
        <v>0</v>
      </c>
      <c r="F33" s="57"/>
      <c r="G33" s="57"/>
      <c r="H33" s="57"/>
      <c r="I33" s="57"/>
      <c r="J33" s="57"/>
      <c r="K33" s="192"/>
      <c r="M33" s="2"/>
      <c r="N33" s="2"/>
      <c r="O33" s="2"/>
      <c r="P33" s="2"/>
      <c r="Q33" s="2"/>
      <c r="R33" s="2"/>
      <c r="AI33" s="184" t="s">
        <v>33</v>
      </c>
      <c r="AJ33" s="184" t="s">
        <v>83</v>
      </c>
    </row>
    <row r="34" ht="17.25" customHeight="1" spans="1:36">
      <c r="A34" s="178">
        <v>4</v>
      </c>
      <c r="B34" s="184" t="s">
        <v>85</v>
      </c>
      <c r="C34" s="196">
        <f>C32-C33</f>
        <v>429.67</v>
      </c>
      <c r="D34" s="196">
        <f t="shared" ref="D34:J34" si="26">D32-D33</f>
        <v>76.12</v>
      </c>
      <c r="E34" s="196">
        <f t="shared" si="26"/>
        <v>0</v>
      </c>
      <c r="F34" s="196">
        <f t="shared" si="26"/>
        <v>0</v>
      </c>
      <c r="G34" s="196">
        <f t="shared" si="26"/>
        <v>0</v>
      </c>
      <c r="H34" s="196">
        <f t="shared" si="26"/>
        <v>0</v>
      </c>
      <c r="I34" s="196">
        <f t="shared" si="26"/>
        <v>0</v>
      </c>
      <c r="J34" s="196">
        <f t="shared" si="26"/>
        <v>0</v>
      </c>
      <c r="K34" s="192"/>
      <c r="M34" s="2"/>
      <c r="N34" s="2"/>
      <c r="O34" s="2"/>
      <c r="P34" s="2"/>
      <c r="Q34" s="2"/>
      <c r="R34" s="2"/>
      <c r="AI34" s="184" t="s">
        <v>84</v>
      </c>
      <c r="AJ34" s="184" t="s">
        <v>85</v>
      </c>
    </row>
    <row r="35" spans="1:36">
      <c r="A35" s="184" t="s">
        <v>81</v>
      </c>
      <c r="B35" s="188" t="s">
        <v>10</v>
      </c>
      <c r="C35" s="192"/>
      <c r="D35" s="192"/>
      <c r="E35" s="192"/>
      <c r="F35" s="192"/>
      <c r="G35" s="192"/>
      <c r="H35" s="192"/>
      <c r="I35" s="192"/>
      <c r="J35" s="192"/>
      <c r="K35" s="192"/>
      <c r="L35" s="2"/>
      <c r="M35" s="2"/>
      <c r="N35" s="2"/>
      <c r="O35" s="2"/>
      <c r="P35" s="2"/>
      <c r="Q35" s="2"/>
      <c r="R35" s="2"/>
      <c r="S35" s="2"/>
      <c r="T35" s="2"/>
      <c r="AI35" s="184" t="s">
        <v>87</v>
      </c>
      <c r="AJ35" s="188" t="s">
        <v>10</v>
      </c>
    </row>
    <row r="36" spans="1:36">
      <c r="A36" s="178">
        <v>1</v>
      </c>
      <c r="B36" s="184" t="s">
        <v>88</v>
      </c>
      <c r="C36" s="191">
        <f>标准成本!D4</f>
        <v>66.3395839194973</v>
      </c>
      <c r="D36" s="191">
        <f>标准成本!D18</f>
        <v>26.423393595054</v>
      </c>
      <c r="E36" s="191">
        <f>标准成本!D32</f>
        <v>0</v>
      </c>
      <c r="F36" s="191">
        <f>标准成本!D45</f>
        <v>0</v>
      </c>
      <c r="G36" s="191">
        <f>标准成本!D58</f>
        <v>0</v>
      </c>
      <c r="H36" s="191">
        <f>标准成本!D71</f>
        <v>0</v>
      </c>
      <c r="I36" s="191">
        <f>标准成本!D84</f>
        <v>0</v>
      </c>
      <c r="J36" s="191">
        <f>标准成本!D97</f>
        <v>0</v>
      </c>
      <c r="K36" s="195"/>
      <c r="L36" s="2"/>
      <c r="M36" s="2"/>
      <c r="N36" s="2"/>
      <c r="O36" s="2"/>
      <c r="P36" s="2"/>
      <c r="Q36" s="2"/>
      <c r="R36" s="2"/>
      <c r="S36" s="2"/>
      <c r="T36" s="2"/>
      <c r="AI36" s="184" t="s">
        <v>84</v>
      </c>
      <c r="AJ36" s="184" t="s">
        <v>88</v>
      </c>
    </row>
    <row r="37" spans="1:36">
      <c r="A37" s="178">
        <v>2</v>
      </c>
      <c r="B37" s="184" t="s">
        <v>89</v>
      </c>
      <c r="C37" s="191">
        <f>标准成本!D6</f>
        <v>17.7896677292704</v>
      </c>
      <c r="D37" s="191">
        <f>标准成本!D20</f>
        <v>7.085715112506</v>
      </c>
      <c r="E37" s="191">
        <f>标准成本!D34</f>
        <v>0</v>
      </c>
      <c r="F37" s="191">
        <f>标准成本!D47</f>
        <v>0</v>
      </c>
      <c r="G37" s="191">
        <f>标准成本!D60</f>
        <v>0</v>
      </c>
      <c r="H37" s="191">
        <f>标准成本!D73</f>
        <v>0</v>
      </c>
      <c r="I37" s="191">
        <f>标准成本!D86</f>
        <v>0</v>
      </c>
      <c r="J37" s="191">
        <f>标准成本!D99</f>
        <v>0</v>
      </c>
      <c r="K37" s="195"/>
      <c r="L37" s="2"/>
      <c r="M37" s="2"/>
      <c r="N37" s="2"/>
      <c r="O37" s="2"/>
      <c r="P37" s="2"/>
      <c r="Q37" s="2"/>
      <c r="R37" s="2"/>
      <c r="S37" s="2"/>
      <c r="T37" s="2"/>
      <c r="AI37" s="184" t="s">
        <v>36</v>
      </c>
      <c r="AJ37" s="184" t="s">
        <v>89</v>
      </c>
    </row>
    <row r="38" spans="1:36">
      <c r="A38" s="178">
        <v>3</v>
      </c>
      <c r="B38" s="184" t="s">
        <v>90</v>
      </c>
      <c r="C38" s="191">
        <f>标准成本!D10</f>
        <v>47.2</v>
      </c>
      <c r="D38" s="191">
        <f>标准成本!D24</f>
        <v>18.8</v>
      </c>
      <c r="E38" s="191">
        <f>标准成本!D38</f>
        <v>0</v>
      </c>
      <c r="F38" s="191">
        <f>标准成本!D51</f>
        <v>0</v>
      </c>
      <c r="G38" s="191">
        <f>标准成本!D64</f>
        <v>0</v>
      </c>
      <c r="H38" s="191">
        <f>标准成本!D77</f>
        <v>0</v>
      </c>
      <c r="I38" s="191">
        <f>标准成本!D90</f>
        <v>0</v>
      </c>
      <c r="J38" s="191">
        <f>标准成本!D103</f>
        <v>0</v>
      </c>
      <c r="K38" s="195"/>
      <c r="L38" s="2"/>
      <c r="M38" s="2"/>
      <c r="N38" s="2"/>
      <c r="O38" s="2"/>
      <c r="P38" s="2"/>
      <c r="Q38" s="2"/>
      <c r="R38" s="2"/>
      <c r="S38" s="2"/>
      <c r="T38" s="2"/>
      <c r="AI38" s="184" t="s">
        <v>42</v>
      </c>
      <c r="AJ38" s="184" t="s">
        <v>90</v>
      </c>
    </row>
    <row r="39" spans="1:36">
      <c r="A39" s="184" t="s">
        <v>87</v>
      </c>
      <c r="B39" s="188" t="s">
        <v>92</v>
      </c>
      <c r="C39" s="192"/>
      <c r="D39" s="192"/>
      <c r="E39" s="192"/>
      <c r="F39" s="192"/>
      <c r="G39" s="192"/>
      <c r="H39" s="192"/>
      <c r="I39" s="192"/>
      <c r="J39" s="192"/>
      <c r="K39" s="192"/>
      <c r="AI39" s="184" t="s">
        <v>91</v>
      </c>
      <c r="AJ39" s="188" t="s">
        <v>92</v>
      </c>
    </row>
    <row r="40" spans="1:36">
      <c r="A40" s="178">
        <v>1</v>
      </c>
      <c r="B40" s="184" t="s">
        <v>93</v>
      </c>
      <c r="C40" s="192">
        <f>C34-C36-C37-C38</f>
        <v>298.340748351232</v>
      </c>
      <c r="D40" s="192">
        <f t="shared" ref="D40:J40" si="27">D34-D36-D37-D38</f>
        <v>23.81089129244</v>
      </c>
      <c r="E40" s="192">
        <f t="shared" si="27"/>
        <v>0</v>
      </c>
      <c r="F40" s="192">
        <f t="shared" si="27"/>
        <v>0</v>
      </c>
      <c r="G40" s="192">
        <f t="shared" si="27"/>
        <v>0</v>
      </c>
      <c r="H40" s="192">
        <f t="shared" si="27"/>
        <v>0</v>
      </c>
      <c r="I40" s="192">
        <f t="shared" si="27"/>
        <v>0</v>
      </c>
      <c r="J40" s="192">
        <f t="shared" si="27"/>
        <v>0</v>
      </c>
      <c r="K40" s="192"/>
      <c r="AI40" s="184" t="s">
        <v>31</v>
      </c>
      <c r="AJ40" s="184" t="s">
        <v>93</v>
      </c>
    </row>
    <row r="41" spans="1:36">
      <c r="A41" s="178">
        <v>2</v>
      </c>
      <c r="B41" s="184" t="s">
        <v>94</v>
      </c>
      <c r="C41" s="192"/>
      <c r="D41" s="192"/>
      <c r="E41" s="192"/>
      <c r="F41" s="192"/>
      <c r="G41" s="192"/>
      <c r="H41" s="192"/>
      <c r="I41" s="192"/>
      <c r="J41" s="192"/>
      <c r="K41" s="192"/>
      <c r="AI41" s="184" t="s">
        <v>33</v>
      </c>
      <c r="AJ41" s="184" t="s">
        <v>94</v>
      </c>
    </row>
    <row r="42" spans="1:36">
      <c r="A42" s="184" t="s">
        <v>91</v>
      </c>
      <c r="B42" s="188" t="s">
        <v>96</v>
      </c>
      <c r="C42" s="192"/>
      <c r="D42" s="192"/>
      <c r="E42" s="192"/>
      <c r="F42" s="192"/>
      <c r="G42" s="192"/>
      <c r="H42" s="192"/>
      <c r="I42" s="192"/>
      <c r="J42" s="192"/>
      <c r="K42" s="192"/>
      <c r="AI42" s="184" t="s">
        <v>95</v>
      </c>
      <c r="AJ42" s="188" t="s">
        <v>96</v>
      </c>
    </row>
    <row r="43" spans="1:36">
      <c r="A43" s="178">
        <v>1</v>
      </c>
      <c r="B43" s="193" t="s">
        <v>97</v>
      </c>
      <c r="C43" s="191">
        <f>标准成本!D5</f>
        <v>53.1</v>
      </c>
      <c r="D43" s="191">
        <f>标准成本!D19</f>
        <v>21.15</v>
      </c>
      <c r="E43" s="191">
        <f>标准成本!D33</f>
        <v>0</v>
      </c>
      <c r="F43" s="191">
        <f>标准成本!D46</f>
        <v>0</v>
      </c>
      <c r="G43" s="191">
        <f>标准成本!D59</f>
        <v>0</v>
      </c>
      <c r="H43" s="191">
        <f>标准成本!D72</f>
        <v>0</v>
      </c>
      <c r="I43" s="191">
        <f>标准成本!D85</f>
        <v>0</v>
      </c>
      <c r="J43" s="191">
        <f>标准成本!D98</f>
        <v>0</v>
      </c>
      <c r="K43" s="192"/>
      <c r="AI43" s="184" t="s">
        <v>31</v>
      </c>
      <c r="AJ43" s="184" t="s">
        <v>97</v>
      </c>
    </row>
    <row r="44" spans="1:36">
      <c r="A44" s="178">
        <v>2</v>
      </c>
      <c r="B44" s="193" t="s">
        <v>98</v>
      </c>
      <c r="C44" s="191">
        <f>标准成本!D9</f>
        <v>8.26</v>
      </c>
      <c r="D44" s="191">
        <f>标准成本!D23</f>
        <v>3.29</v>
      </c>
      <c r="E44" s="191">
        <f>标准成本!D37</f>
        <v>0</v>
      </c>
      <c r="F44" s="191">
        <f>标准成本!D50</f>
        <v>0</v>
      </c>
      <c r="G44" s="191">
        <f>标准成本!D63</f>
        <v>0</v>
      </c>
      <c r="H44" s="191">
        <f>标准成本!D76</f>
        <v>0</v>
      </c>
      <c r="I44" s="191">
        <f>标准成本!D89</f>
        <v>0</v>
      </c>
      <c r="J44" s="191">
        <f>标准成本!D102</f>
        <v>0</v>
      </c>
      <c r="K44" s="192"/>
      <c r="AI44" s="184" t="s">
        <v>33</v>
      </c>
      <c r="AJ44" s="184" t="s">
        <v>98</v>
      </c>
    </row>
    <row r="45" spans="1:36">
      <c r="A45" s="178">
        <v>3</v>
      </c>
      <c r="B45" s="193" t="s">
        <v>99</v>
      </c>
      <c r="C45" s="191">
        <f>标准成本!D8</f>
        <v>47.2</v>
      </c>
      <c r="D45" s="191">
        <f>标准成本!D22</f>
        <v>18.8</v>
      </c>
      <c r="E45" s="191">
        <f>标准成本!D36</f>
        <v>0</v>
      </c>
      <c r="F45" s="191">
        <f>标准成本!D49</f>
        <v>0</v>
      </c>
      <c r="G45" s="191">
        <f>标准成本!D62</f>
        <v>0</v>
      </c>
      <c r="H45" s="191">
        <f>标准成本!D75</f>
        <v>0</v>
      </c>
      <c r="I45" s="191">
        <f>标准成本!D88</f>
        <v>0</v>
      </c>
      <c r="J45" s="191">
        <f>标准成本!D101</f>
        <v>0</v>
      </c>
      <c r="K45" s="192"/>
      <c r="AI45" s="184" t="s">
        <v>84</v>
      </c>
      <c r="AJ45" s="184" t="s">
        <v>99</v>
      </c>
    </row>
    <row r="46" s="175" customFormat="1" spans="1:36">
      <c r="A46" s="178">
        <v>4</v>
      </c>
      <c r="B46" s="193" t="s">
        <v>100</v>
      </c>
      <c r="C46" s="197">
        <f>C21/C6</f>
        <v>28.8888888888889</v>
      </c>
      <c r="D46" s="197">
        <f t="shared" ref="D46:J46" si="28">D21/D6</f>
        <v>28.8888888888889</v>
      </c>
      <c r="E46" s="197" t="e">
        <f t="shared" si="28"/>
        <v>#DIV/0!</v>
      </c>
      <c r="F46" s="197" t="e">
        <f t="shared" si="28"/>
        <v>#DIV/0!</v>
      </c>
      <c r="G46" s="197" t="e">
        <f t="shared" si="28"/>
        <v>#DIV/0!</v>
      </c>
      <c r="H46" s="197" t="e">
        <f t="shared" si="28"/>
        <v>#DIV/0!</v>
      </c>
      <c r="I46" s="197" t="e">
        <f t="shared" si="28"/>
        <v>#DIV/0!</v>
      </c>
      <c r="J46" s="197" t="e">
        <f t="shared" si="28"/>
        <v>#DIV/0!</v>
      </c>
      <c r="K46" s="197"/>
      <c r="AI46" s="193" t="s">
        <v>39</v>
      </c>
      <c r="AJ46" s="193" t="s">
        <v>102</v>
      </c>
    </row>
    <row r="47" s="175" customFormat="1" spans="1:36">
      <c r="A47" s="178">
        <v>5</v>
      </c>
      <c r="B47" s="193" t="s">
        <v>102</v>
      </c>
      <c r="C47" s="191">
        <f>标准成本!D11</f>
        <v>25.134</v>
      </c>
      <c r="D47" s="191">
        <f>标准成本!D25</f>
        <v>10.011</v>
      </c>
      <c r="E47" s="191">
        <f>标准成本!D39</f>
        <v>0</v>
      </c>
      <c r="F47" s="191">
        <f>标准成本!D52</f>
        <v>0</v>
      </c>
      <c r="G47" s="191">
        <f>标准成本!D65</f>
        <v>0</v>
      </c>
      <c r="H47" s="191">
        <f>标准成本!D78</f>
        <v>0</v>
      </c>
      <c r="I47" s="191">
        <f>标准成本!D91</f>
        <v>0</v>
      </c>
      <c r="J47" s="191">
        <f>标准成本!D104</f>
        <v>0</v>
      </c>
      <c r="K47" s="197"/>
      <c r="AI47" s="193" t="s">
        <v>39</v>
      </c>
      <c r="AJ47" s="193" t="s">
        <v>102</v>
      </c>
    </row>
    <row r="48" spans="1:36">
      <c r="A48" s="184" t="s">
        <v>95</v>
      </c>
      <c r="B48" s="188" t="s">
        <v>113</v>
      </c>
      <c r="C48" s="192">
        <f>C40-C43-C44-C45-C47-C46</f>
        <v>135.757859462343</v>
      </c>
      <c r="D48" s="192">
        <f t="shared" ref="D48:J48" si="29">D40-D43-D44-D45-D47-D46</f>
        <v>-58.3289975964489</v>
      </c>
      <c r="E48" s="192" t="e">
        <f t="shared" si="29"/>
        <v>#DIV/0!</v>
      </c>
      <c r="F48" s="192" t="e">
        <f t="shared" si="29"/>
        <v>#DIV/0!</v>
      </c>
      <c r="G48" s="192" t="e">
        <f t="shared" si="29"/>
        <v>#DIV/0!</v>
      </c>
      <c r="H48" s="192" t="e">
        <f t="shared" si="29"/>
        <v>#DIV/0!</v>
      </c>
      <c r="I48" s="192" t="e">
        <f t="shared" si="29"/>
        <v>#DIV/0!</v>
      </c>
      <c r="J48" s="192" t="e">
        <f t="shared" si="29"/>
        <v>#DIV/0!</v>
      </c>
      <c r="K48" s="192"/>
      <c r="AI48" s="184" t="s">
        <v>112</v>
      </c>
      <c r="AJ48" s="188" t="s">
        <v>113</v>
      </c>
    </row>
    <row r="51" spans="3:10">
      <c r="C51" s="198"/>
      <c r="D51" s="198"/>
      <c r="E51" s="198"/>
      <c r="F51" s="198"/>
      <c r="G51" s="198"/>
      <c r="H51" s="198"/>
      <c r="I51" s="198"/>
      <c r="J51" s="198"/>
    </row>
    <row r="54" spans="2:16">
      <c r="B54" s="2"/>
      <c r="C54" s="28"/>
      <c r="D54" s="28"/>
      <c r="E54" s="28"/>
      <c r="F54" s="28"/>
      <c r="G54" s="28"/>
      <c r="H54" s="28"/>
      <c r="I54" s="28"/>
      <c r="J54" s="28"/>
      <c r="K54" s="28"/>
      <c r="L54" s="2"/>
      <c r="M54" s="2"/>
      <c r="N54" s="2"/>
      <c r="O54" s="2"/>
      <c r="P54" s="2"/>
    </row>
    <row r="55" spans="2:16">
      <c r="B55" s="2"/>
      <c r="C55" s="28"/>
      <c r="D55" s="28"/>
      <c r="E55" s="28"/>
      <c r="F55" s="28"/>
      <c r="G55" s="28"/>
      <c r="H55" s="28"/>
      <c r="I55" s="28"/>
      <c r="J55" s="28"/>
      <c r="K55" s="28"/>
      <c r="L55" s="2"/>
      <c r="M55" s="2"/>
      <c r="N55" s="2"/>
      <c r="O55" s="2"/>
      <c r="P55" s="2"/>
    </row>
    <row r="56" spans="2:16">
      <c r="B56" s="2"/>
      <c r="C56" s="28"/>
      <c r="D56" s="28"/>
      <c r="E56" s="28"/>
      <c r="F56" s="28"/>
      <c r="G56" s="28"/>
      <c r="H56" s="28"/>
      <c r="I56" s="28"/>
      <c r="J56" s="28"/>
      <c r="K56" s="28"/>
      <c r="L56" s="2"/>
      <c r="M56" s="2"/>
      <c r="N56" s="2"/>
      <c r="O56" s="2"/>
      <c r="P56" s="2"/>
    </row>
    <row r="57" spans="2:16">
      <c r="B57" s="2"/>
      <c r="C57" s="28"/>
      <c r="D57" s="28"/>
      <c r="E57" s="28"/>
      <c r="F57" s="28"/>
      <c r="G57" s="28"/>
      <c r="H57" s="28"/>
      <c r="I57" s="28"/>
      <c r="J57" s="28"/>
      <c r="K57" s="28"/>
      <c r="L57" s="2"/>
      <c r="M57" s="2"/>
      <c r="N57" s="2"/>
      <c r="O57" s="2"/>
      <c r="P57" s="2"/>
    </row>
    <row r="58" spans="2:16">
      <c r="B58" s="2"/>
      <c r="C58" s="28"/>
      <c r="D58" s="28"/>
      <c r="E58" s="28"/>
      <c r="F58" s="28"/>
      <c r="G58" s="28"/>
      <c r="H58" s="28"/>
      <c r="I58" s="28"/>
      <c r="J58" s="28"/>
      <c r="K58" s="28"/>
      <c r="L58" s="2"/>
      <c r="M58" s="2"/>
      <c r="N58" s="2"/>
      <c r="O58" s="2"/>
      <c r="P58" s="2"/>
    </row>
    <row r="59" spans="2:16">
      <c r="B59" s="2"/>
      <c r="C59" s="28"/>
      <c r="D59" s="28"/>
      <c r="E59" s="28"/>
      <c r="F59" s="28"/>
      <c r="G59" s="28"/>
      <c r="H59" s="28"/>
      <c r="I59" s="28"/>
      <c r="J59" s="28"/>
      <c r="K59" s="28"/>
      <c r="L59" s="2"/>
      <c r="M59" s="2"/>
      <c r="N59" s="2"/>
      <c r="O59" s="2"/>
      <c r="P59" s="2"/>
    </row>
    <row r="60" spans="2:16">
      <c r="B60" s="2"/>
      <c r="C60" s="28"/>
      <c r="D60" s="28"/>
      <c r="E60" s="28"/>
      <c r="F60" s="28"/>
      <c r="G60" s="28"/>
      <c r="H60" s="28"/>
      <c r="I60" s="28"/>
      <c r="J60" s="28"/>
      <c r="K60" s="28"/>
      <c r="L60" s="2"/>
      <c r="M60" s="2"/>
      <c r="N60" s="2"/>
      <c r="O60" s="2"/>
      <c r="P60" s="2"/>
    </row>
    <row r="61" spans="2:16">
      <c r="B61" s="2"/>
      <c r="C61" s="28"/>
      <c r="D61" s="28"/>
      <c r="E61" s="28"/>
      <c r="F61" s="28"/>
      <c r="G61" s="28"/>
      <c r="H61" s="28"/>
      <c r="I61" s="28"/>
      <c r="J61" s="28"/>
      <c r="K61" s="28"/>
      <c r="L61" s="2"/>
      <c r="M61" s="2"/>
      <c r="N61" s="2"/>
      <c r="O61" s="2"/>
      <c r="P61" s="2"/>
    </row>
    <row r="62" spans="2:16">
      <c r="B62" s="2"/>
      <c r="C62" s="28"/>
      <c r="D62" s="28"/>
      <c r="E62" s="28"/>
      <c r="F62" s="28"/>
      <c r="G62" s="28"/>
      <c r="H62" s="28"/>
      <c r="I62" s="28"/>
      <c r="J62" s="28"/>
      <c r="K62" s="28"/>
      <c r="L62" s="2"/>
      <c r="M62" s="2"/>
      <c r="N62" s="2"/>
      <c r="O62" s="2"/>
      <c r="P62" s="2"/>
    </row>
    <row r="63" spans="2:16">
      <c r="B63" s="2"/>
      <c r="C63" s="28"/>
      <c r="D63" s="28"/>
      <c r="E63" s="28"/>
      <c r="F63" s="28"/>
      <c r="G63" s="28"/>
      <c r="H63" s="28"/>
      <c r="I63" s="28"/>
      <c r="J63" s="28"/>
      <c r="K63" s="28"/>
      <c r="L63" s="2"/>
      <c r="M63" s="2"/>
      <c r="N63" s="2"/>
      <c r="O63" s="2"/>
      <c r="P63" s="2"/>
    </row>
    <row r="64" spans="2:16">
      <c r="B64" s="2"/>
      <c r="C64" s="28"/>
      <c r="D64" s="28"/>
      <c r="E64" s="28"/>
      <c r="F64" s="28"/>
      <c r="G64" s="28"/>
      <c r="H64" s="28"/>
      <c r="I64" s="28"/>
      <c r="J64" s="28"/>
      <c r="K64" s="28"/>
      <c r="L64" s="2"/>
      <c r="M64" s="2"/>
      <c r="N64" s="2"/>
      <c r="O64" s="2"/>
      <c r="P64" s="2"/>
    </row>
    <row r="65" spans="2:16">
      <c r="B65" s="2"/>
      <c r="C65" s="28"/>
      <c r="D65" s="28"/>
      <c r="E65" s="28"/>
      <c r="F65" s="28"/>
      <c r="G65" s="28"/>
      <c r="H65" s="28"/>
      <c r="I65" s="28"/>
      <c r="J65" s="28"/>
      <c r="K65" s="28"/>
      <c r="L65" s="2"/>
      <c r="M65" s="2"/>
      <c r="N65" s="2"/>
      <c r="O65" s="2"/>
      <c r="P65" s="2"/>
    </row>
    <row r="66" spans="2:16">
      <c r="B66" s="2"/>
      <c r="C66" s="28"/>
      <c r="D66" s="28"/>
      <c r="E66" s="28"/>
      <c r="F66" s="28"/>
      <c r="G66" s="28"/>
      <c r="H66" s="28"/>
      <c r="I66" s="28"/>
      <c r="J66" s="28"/>
      <c r="K66" s="28"/>
      <c r="L66" s="2"/>
      <c r="M66" s="2"/>
      <c r="N66" s="2"/>
      <c r="O66" s="2"/>
      <c r="P66" s="2"/>
    </row>
    <row r="67" spans="2:12">
      <c r="B67" s="2"/>
      <c r="C67" s="28"/>
      <c r="D67" s="28"/>
      <c r="E67" s="28"/>
      <c r="F67" s="28"/>
      <c r="G67" s="28"/>
      <c r="H67" s="28"/>
      <c r="I67" s="28"/>
      <c r="J67" s="28"/>
      <c r="K67" s="28"/>
      <c r="L67" s="2"/>
    </row>
    <row r="68" spans="2:12">
      <c r="B68" s="2"/>
      <c r="C68" s="28"/>
      <c r="D68" s="28"/>
      <c r="E68" s="28"/>
      <c r="F68" s="28"/>
      <c r="G68" s="28"/>
      <c r="H68" s="28"/>
      <c r="I68" s="28"/>
      <c r="J68" s="28"/>
      <c r="K68" s="28"/>
      <c r="L68" s="2"/>
    </row>
    <row r="69" spans="2:12">
      <c r="B69" s="2"/>
      <c r="C69" s="28"/>
      <c r="D69" s="28"/>
      <c r="E69" s="28"/>
      <c r="F69" s="28"/>
      <c r="G69" s="28"/>
      <c r="H69" s="28"/>
      <c r="I69" s="28"/>
      <c r="J69" s="28"/>
      <c r="K69" s="28"/>
      <c r="L69" s="2"/>
    </row>
    <row r="70" spans="2:12">
      <c r="B70" s="2"/>
      <c r="C70" s="28"/>
      <c r="D70" s="28"/>
      <c r="E70" s="28"/>
      <c r="F70" s="28"/>
      <c r="G70" s="28"/>
      <c r="H70" s="28"/>
      <c r="I70" s="28"/>
      <c r="J70" s="28"/>
      <c r="K70" s="28"/>
      <c r="L70" s="2"/>
    </row>
    <row r="71" spans="2:12">
      <c r="B71" s="2"/>
      <c r="C71" s="28"/>
      <c r="D71" s="28"/>
      <c r="E71" s="28"/>
      <c r="F71" s="28"/>
      <c r="G71" s="28"/>
      <c r="H71" s="28"/>
      <c r="I71" s="28"/>
      <c r="J71" s="28"/>
      <c r="K71" s="28"/>
      <c r="L71" s="2"/>
    </row>
    <row r="72" spans="2:12">
      <c r="B72" s="2"/>
      <c r="C72" s="28"/>
      <c r="D72" s="28"/>
      <c r="E72" s="28"/>
      <c r="F72" s="28"/>
      <c r="G72" s="28"/>
      <c r="H72" s="28"/>
      <c r="I72" s="28"/>
      <c r="J72" s="28"/>
      <c r="K72" s="28"/>
      <c r="L72" s="2"/>
    </row>
    <row r="73" spans="2:12">
      <c r="B73" s="2"/>
      <c r="C73" s="28"/>
      <c r="D73" s="28"/>
      <c r="E73" s="28"/>
      <c r="F73" s="28"/>
      <c r="G73" s="28"/>
      <c r="H73" s="28"/>
      <c r="I73" s="28"/>
      <c r="J73" s="28"/>
      <c r="K73" s="28"/>
      <c r="L73" s="2"/>
    </row>
    <row r="74" spans="2:12">
      <c r="B74" s="2"/>
      <c r="C74" s="28"/>
      <c r="D74" s="28"/>
      <c r="E74" s="28"/>
      <c r="F74" s="28"/>
      <c r="G74" s="28"/>
      <c r="H74" s="28"/>
      <c r="I74" s="28"/>
      <c r="J74" s="28"/>
      <c r="K74" s="28"/>
      <c r="L74" s="2"/>
    </row>
  </sheetData>
  <mergeCells count="8">
    <mergeCell ref="A1:B1"/>
    <mergeCell ref="C1:K1"/>
    <mergeCell ref="A2:B2"/>
    <mergeCell ref="C2:K2"/>
    <mergeCell ref="A3:B3"/>
    <mergeCell ref="A4:B4"/>
    <mergeCell ref="A5:B5"/>
    <mergeCell ref="K3:K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C45" sqref="C45"/>
    </sheetView>
  </sheetViews>
  <sheetFormatPr defaultColWidth="9" defaultRowHeight="14.5"/>
  <cols>
    <col min="1" max="1" width="5.12727272727273" style="176" customWidth="1"/>
    <col min="2" max="2" width="17.5" style="176" customWidth="1"/>
    <col min="3" max="10" width="13.2545454545455" style="177" customWidth="1"/>
    <col min="11" max="11" width="18.7545454545455" style="177" customWidth="1"/>
    <col min="12" max="12" width="12.3727272727273" style="176" customWidth="1"/>
    <col min="13" max="13" width="10.1272727272727" style="176" customWidth="1"/>
    <col min="14" max="20" width="9" style="176" customWidth="1"/>
    <col min="21" max="37" width="9" style="176"/>
    <col min="38" max="38" width="4.37272727272727" style="176" customWidth="1"/>
    <col min="39" max="39" width="13.8727272727273" style="176" customWidth="1"/>
    <col min="40" max="16384" width="9" style="176"/>
  </cols>
  <sheetData>
    <row r="1" spans="1:11">
      <c r="A1" s="178" t="s">
        <v>153</v>
      </c>
      <c r="B1" s="178"/>
      <c r="C1" s="179" t="s">
        <v>165</v>
      </c>
      <c r="D1" s="180"/>
      <c r="E1" s="180"/>
      <c r="F1" s="180"/>
      <c r="G1" s="180"/>
      <c r="H1" s="180"/>
      <c r="I1" s="180"/>
      <c r="J1" s="180"/>
      <c r="K1" s="199"/>
    </row>
    <row r="2" spans="1:11">
      <c r="A2" s="178" t="s">
        <v>155</v>
      </c>
      <c r="B2" s="178"/>
      <c r="C2" s="181" t="str">
        <f>'2023年'!C2:K2</f>
        <v>中国重汽济宁商用车有限公司</v>
      </c>
      <c r="D2" s="181"/>
      <c r="E2" s="181"/>
      <c r="F2" s="181"/>
      <c r="G2" s="181"/>
      <c r="H2" s="181"/>
      <c r="I2" s="181"/>
      <c r="J2" s="181"/>
      <c r="K2" s="181"/>
    </row>
    <row r="3" ht="39" spans="1:11">
      <c r="A3" s="178" t="s">
        <v>157</v>
      </c>
      <c r="B3" s="178"/>
      <c r="C3" s="182" t="str">
        <f>'2023年'!C3</f>
        <v>MAX左座椅总成（TX平台 空气减震）</v>
      </c>
      <c r="D3" s="182" t="str">
        <f>'2023年'!D3</f>
        <v>MAX右座椅总成（TX平台 简易版 无</v>
      </c>
      <c r="E3" s="182">
        <f>'2023年'!E3</f>
        <v>0</v>
      </c>
      <c r="F3" s="182">
        <f>'2023年'!F3</f>
        <v>0</v>
      </c>
      <c r="G3" s="182">
        <f>'2023年'!G3</f>
        <v>0</v>
      </c>
      <c r="H3" s="182">
        <f>'2023年'!H3</f>
        <v>0</v>
      </c>
      <c r="I3" s="182">
        <f>'2023年'!I3</f>
        <v>0</v>
      </c>
      <c r="J3" s="182">
        <f>'2023年'!J3</f>
        <v>0</v>
      </c>
      <c r="K3" s="200" t="s">
        <v>27</v>
      </c>
    </row>
    <row r="4" ht="26" spans="1:11">
      <c r="A4" s="178" t="s">
        <v>158</v>
      </c>
      <c r="B4" s="178"/>
      <c r="C4" s="182" t="str">
        <f>'2023年'!C4</f>
        <v>YZ167151000039</v>
      </c>
      <c r="D4" s="182" t="str">
        <f>'2023年'!D4</f>
        <v>YZ167151000040</v>
      </c>
      <c r="E4" s="182">
        <f>'2023年'!E4</f>
        <v>0</v>
      </c>
      <c r="F4" s="182">
        <f>'2023年'!F4</f>
        <v>0</v>
      </c>
      <c r="G4" s="182">
        <f>'2023年'!G4</f>
        <v>0</v>
      </c>
      <c r="H4" s="182">
        <f>'2023年'!H4</f>
        <v>0</v>
      </c>
      <c r="I4" s="182">
        <f>'2023年'!I4</f>
        <v>0</v>
      </c>
      <c r="J4" s="182">
        <f>'2023年'!J4</f>
        <v>0</v>
      </c>
      <c r="K4" s="201"/>
    </row>
    <row r="5" spans="1:40">
      <c r="A5" s="178" t="s">
        <v>159</v>
      </c>
      <c r="B5" s="178"/>
      <c r="C5" s="183"/>
      <c r="D5" s="183"/>
      <c r="E5" s="183"/>
      <c r="F5" s="183"/>
      <c r="G5" s="183"/>
      <c r="H5" s="183"/>
      <c r="I5" s="183"/>
      <c r="J5" s="183"/>
      <c r="K5" s="202"/>
      <c r="AN5" s="176" t="s">
        <v>28</v>
      </c>
    </row>
    <row r="6" ht="16.5" spans="1:40">
      <c r="A6" s="184" t="s">
        <v>21</v>
      </c>
      <c r="B6" s="185" t="s">
        <v>160</v>
      </c>
      <c r="C6" s="186">
        <f>销量!C10</f>
        <v>3000</v>
      </c>
      <c r="D6" s="186">
        <f>销量!D10</f>
        <v>3000</v>
      </c>
      <c r="E6" s="186">
        <f>销量!E10</f>
        <v>0</v>
      </c>
      <c r="F6" s="186">
        <f>销量!F10</f>
        <v>0</v>
      </c>
      <c r="G6" s="186">
        <f>销量!G10</f>
        <v>0</v>
      </c>
      <c r="H6" s="186">
        <f>销量!H10</f>
        <v>0</v>
      </c>
      <c r="I6" s="186">
        <f>销量!I10</f>
        <v>0</v>
      </c>
      <c r="J6" s="186">
        <f>销量!J10</f>
        <v>0</v>
      </c>
      <c r="K6" s="187">
        <f t="shared" ref="K6:K15" si="0">SUM(C6:J6)</f>
        <v>6000</v>
      </c>
      <c r="V6" s="185" t="s">
        <v>3</v>
      </c>
      <c r="AL6" s="184" t="s">
        <v>21</v>
      </c>
      <c r="AM6" s="185" t="s">
        <v>3</v>
      </c>
      <c r="AN6" s="176" t="s">
        <v>29</v>
      </c>
    </row>
    <row r="7" spans="1:40">
      <c r="A7" s="178">
        <v>1</v>
      </c>
      <c r="B7" s="185" t="s">
        <v>30</v>
      </c>
      <c r="C7" s="187">
        <f>C6*销量!C8</f>
        <v>3540000</v>
      </c>
      <c r="D7" s="187">
        <f>D6*销量!D8</f>
        <v>1410000</v>
      </c>
      <c r="E7" s="187">
        <f>E6*销量!E8</f>
        <v>0</v>
      </c>
      <c r="F7" s="187">
        <f>F6*销量!F8</f>
        <v>0</v>
      </c>
      <c r="G7" s="187">
        <f>G6*销量!G8</f>
        <v>0</v>
      </c>
      <c r="H7" s="187">
        <f>H6*销量!H8</f>
        <v>0</v>
      </c>
      <c r="I7" s="187">
        <f>I6*销量!I8</f>
        <v>0</v>
      </c>
      <c r="J7" s="187">
        <f>J6*销量!J8</f>
        <v>0</v>
      </c>
      <c r="K7" s="187">
        <f t="shared" si="0"/>
        <v>4950000</v>
      </c>
      <c r="L7" s="177"/>
      <c r="V7" s="185" t="s">
        <v>30</v>
      </c>
      <c r="AL7" s="184" t="s">
        <v>31</v>
      </c>
      <c r="AM7" s="185" t="s">
        <v>30</v>
      </c>
      <c r="AN7" s="176" t="s">
        <v>29</v>
      </c>
    </row>
    <row r="8" spans="1:40">
      <c r="A8" s="178">
        <v>2</v>
      </c>
      <c r="B8" s="178" t="s">
        <v>32</v>
      </c>
      <c r="C8" s="187">
        <f>C7*(1-销量!$O$7)</f>
        <v>141600</v>
      </c>
      <c r="D8" s="187">
        <f>D7*(1-销量!$O$7)</f>
        <v>56400.0000000001</v>
      </c>
      <c r="E8" s="187">
        <f>E7*(1-销量!$O$7)</f>
        <v>0</v>
      </c>
      <c r="F8" s="187">
        <f>F7*(1-销量!$O$7)</f>
        <v>0</v>
      </c>
      <c r="G8" s="187">
        <f>G7*(1-销量!$O$7)</f>
        <v>0</v>
      </c>
      <c r="H8" s="187">
        <f>H7*(1-销量!$O$7)</f>
        <v>0</v>
      </c>
      <c r="I8" s="187">
        <f>I7*(1-销量!$O$7)</f>
        <v>0</v>
      </c>
      <c r="J8" s="187">
        <f>J7*(1-销量!$O$7)</f>
        <v>0</v>
      </c>
      <c r="K8" s="187">
        <f t="shared" si="0"/>
        <v>198000</v>
      </c>
      <c r="L8" s="203"/>
      <c r="V8" s="178" t="s">
        <v>34</v>
      </c>
      <c r="AL8" s="184" t="s">
        <v>33</v>
      </c>
      <c r="AM8" s="178" t="s">
        <v>34</v>
      </c>
      <c r="AN8" s="176" t="s">
        <v>29</v>
      </c>
    </row>
    <row r="9" spans="1:40">
      <c r="A9" s="178">
        <v>3</v>
      </c>
      <c r="B9" s="185" t="s">
        <v>35</v>
      </c>
      <c r="C9" s="187">
        <f>+C7-C8</f>
        <v>3398400</v>
      </c>
      <c r="D9" s="187">
        <f t="shared" ref="D9:J9" si="1">+D7-D8</f>
        <v>1353600</v>
      </c>
      <c r="E9" s="187">
        <f t="shared" si="1"/>
        <v>0</v>
      </c>
      <c r="F9" s="187">
        <f t="shared" si="1"/>
        <v>0</v>
      </c>
      <c r="G9" s="187">
        <f t="shared" si="1"/>
        <v>0</v>
      </c>
      <c r="H9" s="187">
        <f t="shared" si="1"/>
        <v>0</v>
      </c>
      <c r="I9" s="187">
        <f t="shared" si="1"/>
        <v>0</v>
      </c>
      <c r="J9" s="187">
        <f t="shared" si="1"/>
        <v>0</v>
      </c>
      <c r="K9" s="187">
        <f t="shared" si="0"/>
        <v>4752000</v>
      </c>
      <c r="V9" s="185" t="s">
        <v>35</v>
      </c>
      <c r="AL9" s="184" t="s">
        <v>36</v>
      </c>
      <c r="AM9" s="185" t="s">
        <v>35</v>
      </c>
      <c r="AN9" s="176" t="s">
        <v>37</v>
      </c>
    </row>
    <row r="10" spans="1:40">
      <c r="A10" s="178">
        <v>4</v>
      </c>
      <c r="B10" s="184" t="s">
        <v>38</v>
      </c>
      <c r="C10" s="187">
        <f>C6*C33</f>
        <v>2160950.4</v>
      </c>
      <c r="D10" s="187">
        <f t="shared" ref="D10:J10" si="2">D6*D33</f>
        <v>1169823.6</v>
      </c>
      <c r="E10" s="187">
        <f t="shared" si="2"/>
        <v>0</v>
      </c>
      <c r="F10" s="187">
        <f t="shared" si="2"/>
        <v>0</v>
      </c>
      <c r="G10" s="187">
        <f t="shared" si="2"/>
        <v>0</v>
      </c>
      <c r="H10" s="187">
        <f t="shared" si="2"/>
        <v>0</v>
      </c>
      <c r="I10" s="187">
        <f t="shared" si="2"/>
        <v>0</v>
      </c>
      <c r="J10" s="187">
        <f t="shared" si="2"/>
        <v>0</v>
      </c>
      <c r="K10" s="187">
        <f t="shared" si="0"/>
        <v>3330774</v>
      </c>
      <c r="V10" s="184" t="s">
        <v>38</v>
      </c>
      <c r="AL10" s="184" t="s">
        <v>39</v>
      </c>
      <c r="AM10" s="184" t="s">
        <v>38</v>
      </c>
      <c r="AN10" s="176" t="s">
        <v>40</v>
      </c>
    </row>
    <row r="11" spans="1:39">
      <c r="A11" s="178">
        <v>5</v>
      </c>
      <c r="B11" s="184" t="s">
        <v>41</v>
      </c>
      <c r="C11" s="187">
        <f>+C6*C36</f>
        <v>199018.751758492</v>
      </c>
      <c r="D11" s="187">
        <f t="shared" ref="D11:J11" si="3">+D6*D36</f>
        <v>79270.1807851621</v>
      </c>
      <c r="E11" s="187">
        <f t="shared" si="3"/>
        <v>0</v>
      </c>
      <c r="F11" s="187">
        <f t="shared" si="3"/>
        <v>0</v>
      </c>
      <c r="G11" s="187">
        <f t="shared" si="3"/>
        <v>0</v>
      </c>
      <c r="H11" s="187">
        <f t="shared" si="3"/>
        <v>0</v>
      </c>
      <c r="I11" s="187">
        <f t="shared" si="3"/>
        <v>0</v>
      </c>
      <c r="J11" s="187">
        <f t="shared" si="3"/>
        <v>0</v>
      </c>
      <c r="K11" s="187">
        <f t="shared" si="0"/>
        <v>278288.932543654</v>
      </c>
      <c r="V11" s="184" t="s">
        <v>41</v>
      </c>
      <c r="AL11" s="184" t="s">
        <v>42</v>
      </c>
      <c r="AM11" s="184" t="s">
        <v>41</v>
      </c>
    </row>
    <row r="12" spans="1:39">
      <c r="A12" s="178">
        <v>6</v>
      </c>
      <c r="B12" s="184" t="s">
        <v>43</v>
      </c>
      <c r="C12" s="187">
        <f>+C6*C37</f>
        <v>53369.0031878112</v>
      </c>
      <c r="D12" s="187">
        <f t="shared" ref="D12:J12" si="4">+D6*D37</f>
        <v>21257.145337518</v>
      </c>
      <c r="E12" s="187">
        <f t="shared" si="4"/>
        <v>0</v>
      </c>
      <c r="F12" s="187">
        <f t="shared" si="4"/>
        <v>0</v>
      </c>
      <c r="G12" s="187">
        <f t="shared" si="4"/>
        <v>0</v>
      </c>
      <c r="H12" s="187">
        <f t="shared" si="4"/>
        <v>0</v>
      </c>
      <c r="I12" s="187">
        <f t="shared" si="4"/>
        <v>0</v>
      </c>
      <c r="J12" s="187">
        <f t="shared" si="4"/>
        <v>0</v>
      </c>
      <c r="K12" s="187">
        <f t="shared" si="0"/>
        <v>74626.1485253292</v>
      </c>
      <c r="V12" s="184" t="s">
        <v>43</v>
      </c>
      <c r="AL12" s="184" t="s">
        <v>44</v>
      </c>
      <c r="AM12" s="184" t="s">
        <v>43</v>
      </c>
    </row>
    <row r="13" spans="1:40">
      <c r="A13" s="178">
        <v>7</v>
      </c>
      <c r="B13" s="184" t="s">
        <v>45</v>
      </c>
      <c r="C13" s="187">
        <f>+C6*C38</f>
        <v>141600</v>
      </c>
      <c r="D13" s="187">
        <f t="shared" ref="D13:J13" si="5">+D6*D38</f>
        <v>56400</v>
      </c>
      <c r="E13" s="187">
        <f t="shared" si="5"/>
        <v>0</v>
      </c>
      <c r="F13" s="187">
        <f t="shared" si="5"/>
        <v>0</v>
      </c>
      <c r="G13" s="187">
        <f t="shared" si="5"/>
        <v>0</v>
      </c>
      <c r="H13" s="187">
        <f t="shared" si="5"/>
        <v>0</v>
      </c>
      <c r="I13" s="187">
        <f t="shared" si="5"/>
        <v>0</v>
      </c>
      <c r="J13" s="187">
        <f t="shared" si="5"/>
        <v>0</v>
      </c>
      <c r="K13" s="187">
        <f t="shared" si="0"/>
        <v>198000</v>
      </c>
      <c r="V13" s="184" t="s">
        <v>45</v>
      </c>
      <c r="AL13" s="184" t="s">
        <v>46</v>
      </c>
      <c r="AM13" s="184" t="s">
        <v>45</v>
      </c>
      <c r="AN13" s="176" t="s">
        <v>29</v>
      </c>
    </row>
    <row r="14" spans="1:39">
      <c r="A14" s="178">
        <v>8</v>
      </c>
      <c r="B14" s="188" t="s">
        <v>47</v>
      </c>
      <c r="C14" s="187">
        <f>SUM(C11:C13)</f>
        <v>393987.754946303</v>
      </c>
      <c r="D14" s="187">
        <f t="shared" ref="D14:J14" si="6">SUM(D11:D13)</f>
        <v>156927.32612268</v>
      </c>
      <c r="E14" s="187">
        <f t="shared" si="6"/>
        <v>0</v>
      </c>
      <c r="F14" s="187">
        <f t="shared" si="6"/>
        <v>0</v>
      </c>
      <c r="G14" s="187">
        <f t="shared" si="6"/>
        <v>0</v>
      </c>
      <c r="H14" s="187">
        <f t="shared" si="6"/>
        <v>0</v>
      </c>
      <c r="I14" s="187">
        <f t="shared" si="6"/>
        <v>0</v>
      </c>
      <c r="J14" s="187">
        <f t="shared" si="6"/>
        <v>0</v>
      </c>
      <c r="K14" s="187">
        <f t="shared" si="0"/>
        <v>550915.081068983</v>
      </c>
      <c r="V14" s="188" t="s">
        <v>47</v>
      </c>
      <c r="AL14" s="184" t="s">
        <v>48</v>
      </c>
      <c r="AM14" s="188" t="s">
        <v>47</v>
      </c>
    </row>
    <row r="15" spans="1:39">
      <c r="A15" s="178">
        <v>9</v>
      </c>
      <c r="B15" s="188" t="s">
        <v>49</v>
      </c>
      <c r="C15" s="187">
        <f>+C9-C10-C14</f>
        <v>843461.845053697</v>
      </c>
      <c r="D15" s="187">
        <f t="shared" ref="D15:J15" si="7">+D9-D10-D14</f>
        <v>26849.0738773201</v>
      </c>
      <c r="E15" s="187">
        <f t="shared" si="7"/>
        <v>0</v>
      </c>
      <c r="F15" s="187">
        <f t="shared" si="7"/>
        <v>0</v>
      </c>
      <c r="G15" s="187">
        <f t="shared" si="7"/>
        <v>0</v>
      </c>
      <c r="H15" s="187">
        <f t="shared" si="7"/>
        <v>0</v>
      </c>
      <c r="I15" s="187">
        <f t="shared" si="7"/>
        <v>0</v>
      </c>
      <c r="J15" s="187">
        <f t="shared" si="7"/>
        <v>0</v>
      </c>
      <c r="K15" s="187">
        <f t="shared" si="0"/>
        <v>870310.918931017</v>
      </c>
      <c r="V15" s="188" t="s">
        <v>49</v>
      </c>
      <c r="AL15" s="184" t="s">
        <v>50</v>
      </c>
      <c r="AM15" s="188" t="s">
        <v>49</v>
      </c>
    </row>
    <row r="16" spans="1:39">
      <c r="A16" s="178">
        <v>10</v>
      </c>
      <c r="B16" s="184" t="s">
        <v>51</v>
      </c>
      <c r="C16" s="189">
        <f>+C15/C9</f>
        <v>0.248193810338305</v>
      </c>
      <c r="D16" s="189">
        <f t="shared" ref="D16:J16" si="8">+D15/D9</f>
        <v>0.0198353087155142</v>
      </c>
      <c r="E16" s="189" t="e">
        <f t="shared" si="8"/>
        <v>#DIV/0!</v>
      </c>
      <c r="F16" s="189" t="e">
        <f t="shared" si="8"/>
        <v>#DIV/0!</v>
      </c>
      <c r="G16" s="189" t="e">
        <f t="shared" si="8"/>
        <v>#DIV/0!</v>
      </c>
      <c r="H16" s="189" t="e">
        <f t="shared" si="8"/>
        <v>#DIV/0!</v>
      </c>
      <c r="I16" s="189" t="e">
        <f t="shared" si="8"/>
        <v>#DIV/0!</v>
      </c>
      <c r="J16" s="189" t="e">
        <f t="shared" si="8"/>
        <v>#DIV/0!</v>
      </c>
      <c r="K16" s="189">
        <f t="shared" ref="K16" si="9">+K15/K9</f>
        <v>0.183146237148783</v>
      </c>
      <c r="V16" s="184" t="s">
        <v>51</v>
      </c>
      <c r="AL16" s="184" t="s">
        <v>52</v>
      </c>
      <c r="AM16" s="184" t="s">
        <v>51</v>
      </c>
    </row>
    <row r="17" spans="1:39">
      <c r="A17" s="178">
        <v>11</v>
      </c>
      <c r="B17" s="184" t="s">
        <v>53</v>
      </c>
      <c r="C17" s="187">
        <f>C6*C43+C18</f>
        <v>206800</v>
      </c>
      <c r="D17" s="187">
        <f t="shared" ref="D17:J17" si="10">D6*D43+D18</f>
        <v>110950</v>
      </c>
      <c r="E17" s="187">
        <f t="shared" si="10"/>
        <v>0</v>
      </c>
      <c r="F17" s="187">
        <f t="shared" si="10"/>
        <v>0</v>
      </c>
      <c r="G17" s="187">
        <f t="shared" si="10"/>
        <v>0</v>
      </c>
      <c r="H17" s="187">
        <f t="shared" si="10"/>
        <v>0</v>
      </c>
      <c r="I17" s="187">
        <f t="shared" si="10"/>
        <v>0</v>
      </c>
      <c r="J17" s="187">
        <f t="shared" si="10"/>
        <v>0</v>
      </c>
      <c r="K17" s="187">
        <f>SUM(C17:J17)</f>
        <v>317750</v>
      </c>
      <c r="L17" s="203"/>
      <c r="V17" s="184" t="s">
        <v>53</v>
      </c>
      <c r="AL17" s="184" t="s">
        <v>54</v>
      </c>
      <c r="AM17" s="184" t="s">
        <v>53</v>
      </c>
    </row>
    <row r="18" s="174" customFormat="1" spans="1:14">
      <c r="A18" s="178">
        <v>12</v>
      </c>
      <c r="B18" s="190" t="s">
        <v>161</v>
      </c>
      <c r="C18" s="191">
        <f>$K$18/$K$6*C6</f>
        <v>47500</v>
      </c>
      <c r="D18" s="191">
        <f t="shared" ref="D18:J18" si="11">$K$18/$K$6*D6</f>
        <v>47500</v>
      </c>
      <c r="E18" s="191">
        <f t="shared" si="11"/>
        <v>0</v>
      </c>
      <c r="F18" s="191">
        <f t="shared" si="11"/>
        <v>0</v>
      </c>
      <c r="G18" s="191">
        <f t="shared" si="11"/>
        <v>0</v>
      </c>
      <c r="H18" s="191">
        <f t="shared" si="11"/>
        <v>0</v>
      </c>
      <c r="I18" s="191">
        <f t="shared" si="11"/>
        <v>0</v>
      </c>
      <c r="J18" s="191">
        <f t="shared" si="11"/>
        <v>0</v>
      </c>
      <c r="K18" s="191">
        <f>项目投资!D26</f>
        <v>95000</v>
      </c>
      <c r="L18" s="204" t="s">
        <v>162</v>
      </c>
      <c r="M18" s="204"/>
      <c r="N18" s="204"/>
    </row>
    <row r="19" spans="1:40">
      <c r="A19" s="178">
        <v>13</v>
      </c>
      <c r="B19" s="184" t="s">
        <v>55</v>
      </c>
      <c r="C19" s="187">
        <f>C6*C44</f>
        <v>24780</v>
      </c>
      <c r="D19" s="187">
        <f t="shared" ref="D19:J19" si="12">D6*D44</f>
        <v>9870</v>
      </c>
      <c r="E19" s="187">
        <f t="shared" si="12"/>
        <v>0</v>
      </c>
      <c r="F19" s="187">
        <f t="shared" si="12"/>
        <v>0</v>
      </c>
      <c r="G19" s="187">
        <f t="shared" si="12"/>
        <v>0</v>
      </c>
      <c r="H19" s="187">
        <f t="shared" si="12"/>
        <v>0</v>
      </c>
      <c r="I19" s="187">
        <f t="shared" si="12"/>
        <v>0</v>
      </c>
      <c r="J19" s="187">
        <f t="shared" si="12"/>
        <v>0</v>
      </c>
      <c r="K19" s="187">
        <f>SUM(C19:J19)</f>
        <v>34650</v>
      </c>
      <c r="L19" s="174"/>
      <c r="V19" s="184" t="s">
        <v>55</v>
      </c>
      <c r="AL19" s="184" t="s">
        <v>56</v>
      </c>
      <c r="AM19" s="184" t="s">
        <v>55</v>
      </c>
      <c r="AN19" s="176" t="s">
        <v>29</v>
      </c>
    </row>
    <row r="20" spans="1:39">
      <c r="A20" s="178">
        <v>14</v>
      </c>
      <c r="B20" s="184" t="s">
        <v>57</v>
      </c>
      <c r="C20" s="187">
        <f>C6*C45</f>
        <v>141600</v>
      </c>
      <c r="D20" s="187">
        <f t="shared" ref="D20:J20" si="13">D6*D45</f>
        <v>56400</v>
      </c>
      <c r="E20" s="187">
        <f t="shared" si="13"/>
        <v>0</v>
      </c>
      <c r="F20" s="187">
        <f t="shared" si="13"/>
        <v>0</v>
      </c>
      <c r="G20" s="187">
        <f t="shared" si="13"/>
        <v>0</v>
      </c>
      <c r="H20" s="187">
        <f t="shared" si="13"/>
        <v>0</v>
      </c>
      <c r="I20" s="187">
        <f t="shared" si="13"/>
        <v>0</v>
      </c>
      <c r="J20" s="187">
        <f t="shared" si="13"/>
        <v>0</v>
      </c>
      <c r="K20" s="187">
        <f>SUM(C20:J20)</f>
        <v>198000</v>
      </c>
      <c r="V20" s="184" t="s">
        <v>57</v>
      </c>
      <c r="AL20" s="184" t="s">
        <v>58</v>
      </c>
      <c r="AM20" s="184" t="s">
        <v>57</v>
      </c>
    </row>
    <row r="21" spans="1:39">
      <c r="A21" s="178">
        <v>15</v>
      </c>
      <c r="B21" s="184" t="s">
        <v>59</v>
      </c>
      <c r="C21" s="192">
        <f>$K$21/$K$6*C6</f>
        <v>43333.3333333333</v>
      </c>
      <c r="D21" s="192">
        <f t="shared" ref="D21:J21" si="14">$K$21/$K$6*D6</f>
        <v>43333.3333333333</v>
      </c>
      <c r="E21" s="192">
        <f t="shared" si="14"/>
        <v>0</v>
      </c>
      <c r="F21" s="192">
        <f t="shared" si="14"/>
        <v>0</v>
      </c>
      <c r="G21" s="192">
        <f t="shared" si="14"/>
        <v>0</v>
      </c>
      <c r="H21" s="192">
        <f t="shared" si="14"/>
        <v>0</v>
      </c>
      <c r="I21" s="192">
        <f t="shared" si="14"/>
        <v>0</v>
      </c>
      <c r="J21" s="192">
        <f t="shared" si="14"/>
        <v>0</v>
      </c>
      <c r="K21" s="187">
        <f>项目投资!E27</f>
        <v>86666.6666666667</v>
      </c>
      <c r="V21" s="184" t="s">
        <v>59</v>
      </c>
      <c r="AL21" s="184"/>
      <c r="AM21" s="184"/>
    </row>
    <row r="22" spans="1:39">
      <c r="A22" s="178">
        <v>16</v>
      </c>
      <c r="B22" s="184" t="s">
        <v>60</v>
      </c>
      <c r="C22" s="187">
        <f>C6*C47</f>
        <v>75402</v>
      </c>
      <c r="D22" s="187">
        <f t="shared" ref="D22:J22" si="15">D6*D47</f>
        <v>30033</v>
      </c>
      <c r="E22" s="187">
        <f t="shared" si="15"/>
        <v>0</v>
      </c>
      <c r="F22" s="187">
        <f t="shared" si="15"/>
        <v>0</v>
      </c>
      <c r="G22" s="187">
        <f t="shared" si="15"/>
        <v>0</v>
      </c>
      <c r="H22" s="187">
        <f t="shared" si="15"/>
        <v>0</v>
      </c>
      <c r="I22" s="187">
        <f t="shared" si="15"/>
        <v>0</v>
      </c>
      <c r="J22" s="187">
        <f t="shared" si="15"/>
        <v>0</v>
      </c>
      <c r="K22" s="187">
        <f>SUM(C22:J22)</f>
        <v>105435</v>
      </c>
      <c r="V22" s="184" t="s">
        <v>60</v>
      </c>
      <c r="AL22" s="184" t="s">
        <v>61</v>
      </c>
      <c r="AM22" s="184" t="s">
        <v>60</v>
      </c>
    </row>
    <row r="23" spans="1:39">
      <c r="A23" s="178">
        <v>17</v>
      </c>
      <c r="B23" s="188" t="s">
        <v>62</v>
      </c>
      <c r="C23" s="192">
        <f>+C22+C21+C20+C19+C17</f>
        <v>491915.333333333</v>
      </c>
      <c r="D23" s="192">
        <f t="shared" ref="D23:J23" si="16">+D22+D21+D20+D19+D17</f>
        <v>250586.333333333</v>
      </c>
      <c r="E23" s="192">
        <f t="shared" si="16"/>
        <v>0</v>
      </c>
      <c r="F23" s="192">
        <f t="shared" si="16"/>
        <v>0</v>
      </c>
      <c r="G23" s="192">
        <f t="shared" si="16"/>
        <v>0</v>
      </c>
      <c r="H23" s="192">
        <f t="shared" si="16"/>
        <v>0</v>
      </c>
      <c r="I23" s="192">
        <f t="shared" si="16"/>
        <v>0</v>
      </c>
      <c r="J23" s="192">
        <f t="shared" si="16"/>
        <v>0</v>
      </c>
      <c r="K23" s="192">
        <f t="shared" ref="K23" si="17">+K22+K21+K20+K19+K17</f>
        <v>742501.666666667</v>
      </c>
      <c r="V23" s="188" t="s">
        <v>62</v>
      </c>
      <c r="AL23" s="184" t="s">
        <v>63</v>
      </c>
      <c r="AM23" s="188" t="s">
        <v>62</v>
      </c>
    </row>
    <row r="24" spans="1:39">
      <c r="A24" s="178">
        <v>18</v>
      </c>
      <c r="B24" s="193" t="s">
        <v>64</v>
      </c>
      <c r="C24" s="192">
        <f>+C15-C23</f>
        <v>351546.511720363</v>
      </c>
      <c r="D24" s="192">
        <f t="shared" ref="D24:J24" si="18">+D15-D23</f>
        <v>-223737.259456013</v>
      </c>
      <c r="E24" s="192">
        <f t="shared" si="18"/>
        <v>0</v>
      </c>
      <c r="F24" s="192">
        <f t="shared" si="18"/>
        <v>0</v>
      </c>
      <c r="G24" s="192">
        <f t="shared" si="18"/>
        <v>0</v>
      </c>
      <c r="H24" s="192">
        <f t="shared" si="18"/>
        <v>0</v>
      </c>
      <c r="I24" s="192">
        <f t="shared" si="18"/>
        <v>0</v>
      </c>
      <c r="J24" s="192">
        <f t="shared" si="18"/>
        <v>0</v>
      </c>
      <c r="K24" s="192">
        <f t="shared" ref="K24" si="19">+K15-K23</f>
        <v>127809.25226435</v>
      </c>
      <c r="M24" s="205"/>
      <c r="V24" s="184" t="s">
        <v>64</v>
      </c>
      <c r="AL24" s="184" t="s">
        <v>65</v>
      </c>
      <c r="AM24" s="184" t="s">
        <v>64</v>
      </c>
    </row>
    <row r="25" spans="1:39">
      <c r="A25" s="178">
        <v>19</v>
      </c>
      <c r="B25" s="184" t="s">
        <v>166</v>
      </c>
      <c r="C25" s="192">
        <f>IF(C24&lt;0,0,C24*0.15)</f>
        <v>52731.9767580545</v>
      </c>
      <c r="D25" s="192">
        <f t="shared" ref="D25:K25" si="20">IF(D24&lt;0,0,D24*0.15)</f>
        <v>0</v>
      </c>
      <c r="E25" s="192">
        <f t="shared" si="20"/>
        <v>0</v>
      </c>
      <c r="F25" s="192">
        <f t="shared" si="20"/>
        <v>0</v>
      </c>
      <c r="G25" s="192">
        <f t="shared" si="20"/>
        <v>0</v>
      </c>
      <c r="H25" s="192">
        <f t="shared" si="20"/>
        <v>0</v>
      </c>
      <c r="I25" s="192">
        <f t="shared" si="20"/>
        <v>0</v>
      </c>
      <c r="J25" s="192">
        <f t="shared" si="20"/>
        <v>0</v>
      </c>
      <c r="K25" s="192">
        <f t="shared" si="20"/>
        <v>19171.3878396525</v>
      </c>
      <c r="L25" s="2"/>
      <c r="M25" s="2"/>
      <c r="N25" s="2"/>
      <c r="V25" s="184" t="s">
        <v>66</v>
      </c>
      <c r="AL25" s="184" t="s">
        <v>67</v>
      </c>
      <c r="AM25" s="184" t="s">
        <v>66</v>
      </c>
    </row>
    <row r="26" spans="1:39">
      <c r="A26" s="178">
        <v>20</v>
      </c>
      <c r="B26" s="184" t="s">
        <v>68</v>
      </c>
      <c r="C26" s="192">
        <f t="shared" ref="C26" si="21">C24-C25</f>
        <v>298814.534962309</v>
      </c>
      <c r="D26" s="192">
        <f t="shared" ref="D26:K26" si="22">D24-D25</f>
        <v>-223737.259456013</v>
      </c>
      <c r="E26" s="192">
        <f t="shared" si="22"/>
        <v>0</v>
      </c>
      <c r="F26" s="192">
        <f t="shared" si="22"/>
        <v>0</v>
      </c>
      <c r="G26" s="192">
        <f t="shared" si="22"/>
        <v>0</v>
      </c>
      <c r="H26" s="192">
        <f t="shared" si="22"/>
        <v>0</v>
      </c>
      <c r="I26" s="192">
        <f t="shared" si="22"/>
        <v>0</v>
      </c>
      <c r="J26" s="192">
        <f t="shared" si="22"/>
        <v>0</v>
      </c>
      <c r="K26" s="187">
        <f t="shared" si="22"/>
        <v>108637.864424697</v>
      </c>
      <c r="L26" s="2"/>
      <c r="M26" s="2"/>
      <c r="N26" s="2"/>
      <c r="V26" s="184" t="s">
        <v>68</v>
      </c>
      <c r="AL26" s="184" t="s">
        <v>69</v>
      </c>
      <c r="AM26" s="184" t="s">
        <v>68</v>
      </c>
    </row>
    <row r="27" spans="1:39">
      <c r="A27" s="178">
        <v>21</v>
      </c>
      <c r="B27" s="184" t="s">
        <v>72</v>
      </c>
      <c r="C27" s="194">
        <f t="shared" ref="C27:K27" si="23">C26/C7</f>
        <v>0.0844108855825731</v>
      </c>
      <c r="D27" s="194">
        <f t="shared" ref="D27:J27" si="24">D26/D7</f>
        <v>-0.158678907415612</v>
      </c>
      <c r="E27" s="194" t="e">
        <f t="shared" si="24"/>
        <v>#DIV/0!</v>
      </c>
      <c r="F27" s="194" t="e">
        <f t="shared" si="24"/>
        <v>#DIV/0!</v>
      </c>
      <c r="G27" s="194" t="e">
        <f t="shared" si="24"/>
        <v>#DIV/0!</v>
      </c>
      <c r="H27" s="194" t="e">
        <f t="shared" si="24"/>
        <v>#DIV/0!</v>
      </c>
      <c r="I27" s="194" t="e">
        <f t="shared" si="24"/>
        <v>#DIV/0!</v>
      </c>
      <c r="J27" s="194" t="e">
        <f t="shared" si="24"/>
        <v>#DIV/0!</v>
      </c>
      <c r="K27" s="194">
        <f t="shared" si="23"/>
        <v>0.0219470433181207</v>
      </c>
      <c r="L27" s="2"/>
      <c r="M27" s="2"/>
      <c r="N27" s="2"/>
      <c r="V27" s="184" t="s">
        <v>72</v>
      </c>
      <c r="AL27" s="184" t="s">
        <v>71</v>
      </c>
      <c r="AM27" s="184" t="s">
        <v>72</v>
      </c>
    </row>
    <row r="28" spans="12:22">
      <c r="L28" s="2"/>
      <c r="M28" s="2"/>
      <c r="N28" s="2"/>
      <c r="V28" s="184"/>
    </row>
    <row r="29" spans="1:38">
      <c r="A29" s="176" t="s">
        <v>73</v>
      </c>
      <c r="K29" s="177" t="s">
        <v>20</v>
      </c>
      <c r="L29" s="2"/>
      <c r="M29" s="2"/>
      <c r="N29" s="2"/>
      <c r="V29" s="184"/>
      <c r="AL29" s="176" t="s">
        <v>73</v>
      </c>
    </row>
    <row r="30" spans="1:39">
      <c r="A30" s="184" t="s">
        <v>79</v>
      </c>
      <c r="B30" s="188" t="s">
        <v>80</v>
      </c>
      <c r="C30" s="192"/>
      <c r="D30" s="192"/>
      <c r="E30" s="192"/>
      <c r="F30" s="192"/>
      <c r="G30" s="192"/>
      <c r="H30" s="192"/>
      <c r="I30" s="192"/>
      <c r="J30" s="192"/>
      <c r="K30" s="192"/>
      <c r="L30" s="2"/>
      <c r="M30" s="2"/>
      <c r="N30" s="2"/>
      <c r="P30" s="2"/>
      <c r="V30" s="188" t="s">
        <v>80</v>
      </c>
      <c r="AL30" s="184" t="s">
        <v>81</v>
      </c>
      <c r="AM30" s="188" t="s">
        <v>80</v>
      </c>
    </row>
    <row r="31" spans="1:39">
      <c r="A31" s="178">
        <v>1</v>
      </c>
      <c r="B31" s="190" t="s">
        <v>82</v>
      </c>
      <c r="C31" s="195">
        <f>'2023年'!C31</f>
        <v>1180</v>
      </c>
      <c r="D31" s="195">
        <f>'2023年'!D31</f>
        <v>470</v>
      </c>
      <c r="E31" s="195">
        <f>'2023年'!E31</f>
        <v>0</v>
      </c>
      <c r="F31" s="195">
        <f>'2023年'!F31</f>
        <v>0</v>
      </c>
      <c r="G31" s="195">
        <f>'2023年'!G31</f>
        <v>0</v>
      </c>
      <c r="H31" s="195">
        <f>'2023年'!H31</f>
        <v>0</v>
      </c>
      <c r="I31" s="195">
        <f>'2023年'!I31</f>
        <v>0</v>
      </c>
      <c r="J31" s="195">
        <f>'2023年'!J31</f>
        <v>0</v>
      </c>
      <c r="K31" s="192"/>
      <c r="L31" s="2"/>
      <c r="M31" s="2"/>
      <c r="N31" s="2"/>
      <c r="P31" s="2"/>
      <c r="V31" s="184" t="s">
        <v>82</v>
      </c>
      <c r="AL31" s="184" t="s">
        <v>31</v>
      </c>
      <c r="AM31" s="184" t="s">
        <v>82</v>
      </c>
    </row>
    <row r="32" spans="1:39">
      <c r="A32" s="178">
        <v>2</v>
      </c>
      <c r="B32" s="184" t="s">
        <v>164</v>
      </c>
      <c r="C32" s="187">
        <f>C9/C6</f>
        <v>1132.8</v>
      </c>
      <c r="D32" s="187">
        <f t="shared" ref="D32:J32" si="25">D9/D6</f>
        <v>451.2</v>
      </c>
      <c r="E32" s="187" t="e">
        <f t="shared" si="25"/>
        <v>#DIV/0!</v>
      </c>
      <c r="F32" s="187" t="e">
        <f t="shared" si="25"/>
        <v>#DIV/0!</v>
      </c>
      <c r="G32" s="187" t="e">
        <f t="shared" si="25"/>
        <v>#DIV/0!</v>
      </c>
      <c r="H32" s="187" t="e">
        <f t="shared" si="25"/>
        <v>#DIV/0!</v>
      </c>
      <c r="I32" s="187" t="e">
        <f t="shared" si="25"/>
        <v>#DIV/0!</v>
      </c>
      <c r="J32" s="187" t="e">
        <f t="shared" si="25"/>
        <v>#DIV/0!</v>
      </c>
      <c r="K32" s="192"/>
      <c r="L32" s="2"/>
      <c r="M32" s="2"/>
      <c r="N32" s="2"/>
      <c r="O32" s="2"/>
      <c r="P32" s="2"/>
      <c r="Q32" s="2"/>
      <c r="R32" s="2"/>
      <c r="AL32" s="184"/>
      <c r="AM32" s="184"/>
    </row>
    <row r="33" ht="16.5" spans="1:39">
      <c r="A33" s="178">
        <v>3</v>
      </c>
      <c r="B33" s="190" t="s">
        <v>83</v>
      </c>
      <c r="C33" s="71">
        <f>材料成本!F20</f>
        <v>720.3168</v>
      </c>
      <c r="D33" s="71">
        <f>'2023年'!D33*(1-0.01)</f>
        <v>389.9412</v>
      </c>
      <c r="E33" s="71">
        <f>'2023年'!E33*(1-0.01)</f>
        <v>0</v>
      </c>
      <c r="F33" s="71">
        <f>'2023年'!F33*(1-0.01)</f>
        <v>0</v>
      </c>
      <c r="G33" s="71">
        <f>'2023年'!G33*(1-0.01)</f>
        <v>0</v>
      </c>
      <c r="H33" s="71">
        <f>'2023年'!H33*(1-0.01)</f>
        <v>0</v>
      </c>
      <c r="I33" s="71">
        <f>'2023年'!I33*(1-0.01)</f>
        <v>0</v>
      </c>
      <c r="J33" s="71">
        <f>'2023年'!J33*(1-0.01)</f>
        <v>0</v>
      </c>
      <c r="K33" s="192"/>
      <c r="M33" s="2"/>
      <c r="N33" s="2"/>
      <c r="O33" s="2"/>
      <c r="P33" s="2"/>
      <c r="Q33" s="2"/>
      <c r="R33" s="2"/>
      <c r="V33" s="184" t="s">
        <v>83</v>
      </c>
      <c r="AL33" s="184" t="s">
        <v>33</v>
      </c>
      <c r="AM33" s="184" t="s">
        <v>83</v>
      </c>
    </row>
    <row r="34" ht="17.25" customHeight="1" spans="1:39">
      <c r="A34" s="178">
        <v>4</v>
      </c>
      <c r="B34" s="184" t="s">
        <v>85</v>
      </c>
      <c r="C34" s="196">
        <f>C32-C33</f>
        <v>412.4832</v>
      </c>
      <c r="D34" s="196">
        <f t="shared" ref="D34:J34" si="26">D32-D33</f>
        <v>61.2588</v>
      </c>
      <c r="E34" s="196" t="e">
        <f t="shared" si="26"/>
        <v>#DIV/0!</v>
      </c>
      <c r="F34" s="196" t="e">
        <f t="shared" si="26"/>
        <v>#DIV/0!</v>
      </c>
      <c r="G34" s="196" t="e">
        <f t="shared" si="26"/>
        <v>#DIV/0!</v>
      </c>
      <c r="H34" s="196" t="e">
        <f t="shared" si="26"/>
        <v>#DIV/0!</v>
      </c>
      <c r="I34" s="196" t="e">
        <f t="shared" si="26"/>
        <v>#DIV/0!</v>
      </c>
      <c r="J34" s="196" t="e">
        <f t="shared" si="26"/>
        <v>#DIV/0!</v>
      </c>
      <c r="K34" s="192"/>
      <c r="M34" s="2"/>
      <c r="N34" s="2"/>
      <c r="O34" s="2"/>
      <c r="P34" s="2"/>
      <c r="Q34" s="2"/>
      <c r="R34" s="2"/>
      <c r="V34" s="184" t="s">
        <v>85</v>
      </c>
      <c r="AL34" s="184" t="s">
        <v>84</v>
      </c>
      <c r="AM34" s="184" t="s">
        <v>85</v>
      </c>
    </row>
    <row r="35" spans="1:39">
      <c r="A35" s="184" t="s">
        <v>81</v>
      </c>
      <c r="B35" s="188" t="s">
        <v>10</v>
      </c>
      <c r="C35" s="192"/>
      <c r="D35" s="192"/>
      <c r="E35" s="192"/>
      <c r="F35" s="192"/>
      <c r="G35" s="192"/>
      <c r="H35" s="192"/>
      <c r="I35" s="192"/>
      <c r="J35" s="192"/>
      <c r="K35" s="192"/>
      <c r="L35" s="2"/>
      <c r="M35" s="2"/>
      <c r="N35" s="2"/>
      <c r="O35" s="2"/>
      <c r="P35" s="2"/>
      <c r="Q35" s="2"/>
      <c r="R35" s="2"/>
      <c r="S35" s="2"/>
      <c r="T35" s="2"/>
      <c r="U35" s="2"/>
      <c r="V35" s="188" t="s">
        <v>10</v>
      </c>
      <c r="AL35" s="184" t="s">
        <v>87</v>
      </c>
      <c r="AM35" s="188" t="s">
        <v>10</v>
      </c>
    </row>
    <row r="36" spans="1:39">
      <c r="A36" s="178">
        <v>1</v>
      </c>
      <c r="B36" s="184" t="s">
        <v>88</v>
      </c>
      <c r="C36" s="191">
        <f>'2023年'!C36</f>
        <v>66.3395839194973</v>
      </c>
      <c r="D36" s="191">
        <f>'2023年'!D36</f>
        <v>26.423393595054</v>
      </c>
      <c r="E36" s="191">
        <f>'2023年'!E36</f>
        <v>0</v>
      </c>
      <c r="F36" s="191">
        <f>'2023年'!F36</f>
        <v>0</v>
      </c>
      <c r="G36" s="191">
        <f>'2023年'!G36</f>
        <v>0</v>
      </c>
      <c r="H36" s="191">
        <f>'2023年'!H36</f>
        <v>0</v>
      </c>
      <c r="I36" s="191">
        <f>'2023年'!I36</f>
        <v>0</v>
      </c>
      <c r="J36" s="191">
        <f>'2023年'!J36</f>
        <v>0</v>
      </c>
      <c r="K36" s="195"/>
      <c r="L36" s="2"/>
      <c r="M36" s="2"/>
      <c r="N36" s="2"/>
      <c r="O36" s="2"/>
      <c r="P36" s="2"/>
      <c r="Q36" s="2"/>
      <c r="R36" s="2"/>
      <c r="S36" s="2"/>
      <c r="T36" s="2"/>
      <c r="U36" s="2"/>
      <c r="V36" s="184" t="s">
        <v>88</v>
      </c>
      <c r="AL36" s="184" t="s">
        <v>84</v>
      </c>
      <c r="AM36" s="184" t="s">
        <v>88</v>
      </c>
    </row>
    <row r="37" spans="1:39">
      <c r="A37" s="178">
        <v>2</v>
      </c>
      <c r="B37" s="184" t="s">
        <v>89</v>
      </c>
      <c r="C37" s="191">
        <f>'2023年'!C37</f>
        <v>17.7896677292704</v>
      </c>
      <c r="D37" s="191">
        <f>'2023年'!D37</f>
        <v>7.085715112506</v>
      </c>
      <c r="E37" s="191">
        <f>'2023年'!E37</f>
        <v>0</v>
      </c>
      <c r="F37" s="191">
        <f>'2023年'!F37</f>
        <v>0</v>
      </c>
      <c r="G37" s="191">
        <f>'2023年'!G37</f>
        <v>0</v>
      </c>
      <c r="H37" s="191">
        <f>'2023年'!H37</f>
        <v>0</v>
      </c>
      <c r="I37" s="191">
        <f>'2023年'!I37</f>
        <v>0</v>
      </c>
      <c r="J37" s="191">
        <f>'2023年'!J37</f>
        <v>0</v>
      </c>
      <c r="K37" s="195"/>
      <c r="L37" s="2"/>
      <c r="M37" s="2"/>
      <c r="N37" s="2"/>
      <c r="O37" s="2"/>
      <c r="P37" s="2"/>
      <c r="Q37" s="2"/>
      <c r="R37" s="2"/>
      <c r="S37" s="2"/>
      <c r="T37" s="2"/>
      <c r="U37" s="2"/>
      <c r="V37" s="184" t="s">
        <v>89</v>
      </c>
      <c r="AL37" s="184" t="s">
        <v>36</v>
      </c>
      <c r="AM37" s="184" t="s">
        <v>89</v>
      </c>
    </row>
    <row r="38" spans="1:39">
      <c r="A38" s="178">
        <v>3</v>
      </c>
      <c r="B38" s="184" t="s">
        <v>90</v>
      </c>
      <c r="C38" s="191">
        <f>'2023年'!C38</f>
        <v>47.2</v>
      </c>
      <c r="D38" s="191">
        <f>'2023年'!D38</f>
        <v>18.8</v>
      </c>
      <c r="E38" s="191">
        <f>'2023年'!E38</f>
        <v>0</v>
      </c>
      <c r="F38" s="191">
        <f>'2023年'!F38</f>
        <v>0</v>
      </c>
      <c r="G38" s="191">
        <f>'2023年'!G38</f>
        <v>0</v>
      </c>
      <c r="H38" s="191">
        <f>'2023年'!H38</f>
        <v>0</v>
      </c>
      <c r="I38" s="191">
        <f>'2023年'!I38</f>
        <v>0</v>
      </c>
      <c r="J38" s="191">
        <f>'2023年'!J38</f>
        <v>0</v>
      </c>
      <c r="K38" s="195"/>
      <c r="L38" s="2"/>
      <c r="M38" s="2"/>
      <c r="N38" s="2"/>
      <c r="O38" s="2"/>
      <c r="P38" s="2"/>
      <c r="Q38" s="2"/>
      <c r="R38" s="2"/>
      <c r="S38" s="2"/>
      <c r="T38" s="2"/>
      <c r="U38" s="2"/>
      <c r="V38" s="184" t="s">
        <v>90</v>
      </c>
      <c r="AL38" s="184" t="s">
        <v>42</v>
      </c>
      <c r="AM38" s="184" t="s">
        <v>90</v>
      </c>
    </row>
    <row r="39" spans="1:39">
      <c r="A39" s="184" t="s">
        <v>87</v>
      </c>
      <c r="B39" s="188" t="s">
        <v>92</v>
      </c>
      <c r="C39" s="192"/>
      <c r="D39" s="192"/>
      <c r="E39" s="192"/>
      <c r="F39" s="192"/>
      <c r="G39" s="192"/>
      <c r="H39" s="192"/>
      <c r="I39" s="192"/>
      <c r="J39" s="192"/>
      <c r="K39" s="192"/>
      <c r="V39" s="188" t="s">
        <v>92</v>
      </c>
      <c r="AL39" s="184" t="s">
        <v>91</v>
      </c>
      <c r="AM39" s="188" t="s">
        <v>92</v>
      </c>
    </row>
    <row r="40" spans="1:39">
      <c r="A40" s="178">
        <v>1</v>
      </c>
      <c r="B40" s="184" t="s">
        <v>93</v>
      </c>
      <c r="C40" s="192">
        <f>C34-C36-C37-C38</f>
        <v>281.153948351232</v>
      </c>
      <c r="D40" s="192">
        <f t="shared" ref="D40:J40" si="27">D34-D36-D37-D38</f>
        <v>8.94969129243999</v>
      </c>
      <c r="E40" s="192" t="e">
        <f t="shared" si="27"/>
        <v>#DIV/0!</v>
      </c>
      <c r="F40" s="192" t="e">
        <f t="shared" si="27"/>
        <v>#DIV/0!</v>
      </c>
      <c r="G40" s="192" t="e">
        <f t="shared" si="27"/>
        <v>#DIV/0!</v>
      </c>
      <c r="H40" s="192" t="e">
        <f t="shared" si="27"/>
        <v>#DIV/0!</v>
      </c>
      <c r="I40" s="192" t="e">
        <f t="shared" si="27"/>
        <v>#DIV/0!</v>
      </c>
      <c r="J40" s="192" t="e">
        <f t="shared" si="27"/>
        <v>#DIV/0!</v>
      </c>
      <c r="K40" s="192"/>
      <c r="V40" s="184" t="s">
        <v>93</v>
      </c>
      <c r="AL40" s="184" t="s">
        <v>31</v>
      </c>
      <c r="AM40" s="184" t="s">
        <v>93</v>
      </c>
    </row>
    <row r="41" spans="1:39">
      <c r="A41" s="178">
        <v>2</v>
      </c>
      <c r="B41" s="184" t="s">
        <v>94</v>
      </c>
      <c r="C41" s="192"/>
      <c r="D41" s="192"/>
      <c r="E41" s="192"/>
      <c r="F41" s="192"/>
      <c r="G41" s="192"/>
      <c r="H41" s="192"/>
      <c r="I41" s="192"/>
      <c r="J41" s="192"/>
      <c r="K41" s="192"/>
      <c r="V41" s="184" t="s">
        <v>94</v>
      </c>
      <c r="AL41" s="184" t="s">
        <v>33</v>
      </c>
      <c r="AM41" s="184" t="s">
        <v>94</v>
      </c>
    </row>
    <row r="42" spans="1:39">
      <c r="A42" s="184" t="s">
        <v>91</v>
      </c>
      <c r="B42" s="188" t="s">
        <v>96</v>
      </c>
      <c r="C42" s="192"/>
      <c r="D42" s="192"/>
      <c r="E42" s="192"/>
      <c r="F42" s="192"/>
      <c r="G42" s="192"/>
      <c r="H42" s="192"/>
      <c r="I42" s="192"/>
      <c r="J42" s="192"/>
      <c r="K42" s="192"/>
      <c r="V42" s="188" t="s">
        <v>96</v>
      </c>
      <c r="AL42" s="184" t="s">
        <v>95</v>
      </c>
      <c r="AM42" s="188" t="s">
        <v>96</v>
      </c>
    </row>
    <row r="43" spans="1:39">
      <c r="A43" s="178">
        <v>1</v>
      </c>
      <c r="B43" s="193" t="s">
        <v>97</v>
      </c>
      <c r="C43" s="191">
        <f>'2023年'!C43</f>
        <v>53.1</v>
      </c>
      <c r="D43" s="191">
        <f>'2023年'!D43</f>
        <v>21.15</v>
      </c>
      <c r="E43" s="191">
        <f>'2023年'!E43</f>
        <v>0</v>
      </c>
      <c r="F43" s="191">
        <f>'2023年'!F43</f>
        <v>0</v>
      </c>
      <c r="G43" s="191">
        <f>'2023年'!G43</f>
        <v>0</v>
      </c>
      <c r="H43" s="191">
        <f>'2023年'!H43</f>
        <v>0</v>
      </c>
      <c r="I43" s="191">
        <f>'2023年'!I43</f>
        <v>0</v>
      </c>
      <c r="J43" s="191">
        <f>'2023年'!J43</f>
        <v>0</v>
      </c>
      <c r="K43" s="192"/>
      <c r="V43" s="184" t="s">
        <v>97</v>
      </c>
      <c r="AL43" s="184" t="s">
        <v>31</v>
      </c>
      <c r="AM43" s="184" t="s">
        <v>97</v>
      </c>
    </row>
    <row r="44" spans="1:39">
      <c r="A44" s="178">
        <v>2</v>
      </c>
      <c r="B44" s="193" t="s">
        <v>98</v>
      </c>
      <c r="C44" s="191">
        <f>'2023年'!C44</f>
        <v>8.26</v>
      </c>
      <c r="D44" s="191">
        <f>'2023年'!D44</f>
        <v>3.29</v>
      </c>
      <c r="E44" s="191">
        <f>'2023年'!E44</f>
        <v>0</v>
      </c>
      <c r="F44" s="191">
        <f>'2023年'!F44</f>
        <v>0</v>
      </c>
      <c r="G44" s="191">
        <f>'2023年'!G44</f>
        <v>0</v>
      </c>
      <c r="H44" s="191">
        <f>'2023年'!H44</f>
        <v>0</v>
      </c>
      <c r="I44" s="191">
        <f>'2023年'!I44</f>
        <v>0</v>
      </c>
      <c r="J44" s="191">
        <f>'2023年'!J44</f>
        <v>0</v>
      </c>
      <c r="K44" s="192"/>
      <c r="V44" s="184" t="s">
        <v>98</v>
      </c>
      <c r="AL44" s="184" t="s">
        <v>33</v>
      </c>
      <c r="AM44" s="184" t="s">
        <v>98</v>
      </c>
    </row>
    <row r="45" spans="1:39">
      <c r="A45" s="178">
        <v>3</v>
      </c>
      <c r="B45" s="193" t="s">
        <v>99</v>
      </c>
      <c r="C45" s="191">
        <f>'2023年'!C45</f>
        <v>47.2</v>
      </c>
      <c r="D45" s="191">
        <f>'2023年'!D45</f>
        <v>18.8</v>
      </c>
      <c r="E45" s="191">
        <f>'2023年'!E45</f>
        <v>0</v>
      </c>
      <c r="F45" s="191">
        <f>'2023年'!F45</f>
        <v>0</v>
      </c>
      <c r="G45" s="191">
        <f>'2023年'!G45</f>
        <v>0</v>
      </c>
      <c r="H45" s="191">
        <f>'2023年'!H45</f>
        <v>0</v>
      </c>
      <c r="I45" s="191">
        <f>'2023年'!I45</f>
        <v>0</v>
      </c>
      <c r="J45" s="191">
        <f>'2023年'!J45</f>
        <v>0</v>
      </c>
      <c r="K45" s="192"/>
      <c r="V45" s="184" t="s">
        <v>99</v>
      </c>
      <c r="AL45" s="184" t="s">
        <v>84</v>
      </c>
      <c r="AM45" s="184" t="s">
        <v>99</v>
      </c>
    </row>
    <row r="46" s="175" customFormat="1" spans="1:39">
      <c r="A46" s="178">
        <v>4</v>
      </c>
      <c r="B46" s="193" t="s">
        <v>100</v>
      </c>
      <c r="C46" s="197">
        <f>C21/C6</f>
        <v>14.4444444444444</v>
      </c>
      <c r="D46" s="197">
        <f t="shared" ref="D46:J46" si="28">D21/D6</f>
        <v>14.4444444444444</v>
      </c>
      <c r="E46" s="197" t="e">
        <f t="shared" si="28"/>
        <v>#DIV/0!</v>
      </c>
      <c r="F46" s="197" t="e">
        <f t="shared" si="28"/>
        <v>#DIV/0!</v>
      </c>
      <c r="G46" s="197" t="e">
        <f t="shared" si="28"/>
        <v>#DIV/0!</v>
      </c>
      <c r="H46" s="197" t="e">
        <f t="shared" si="28"/>
        <v>#DIV/0!</v>
      </c>
      <c r="I46" s="197" t="e">
        <f t="shared" si="28"/>
        <v>#DIV/0!</v>
      </c>
      <c r="J46" s="197" t="e">
        <f t="shared" si="28"/>
        <v>#DIV/0!</v>
      </c>
      <c r="K46" s="197"/>
      <c r="V46" s="193" t="s">
        <v>102</v>
      </c>
      <c r="AL46" s="193" t="s">
        <v>39</v>
      </c>
      <c r="AM46" s="193" t="s">
        <v>102</v>
      </c>
    </row>
    <row r="47" s="175" customFormat="1" spans="1:39">
      <c r="A47" s="178">
        <v>5</v>
      </c>
      <c r="B47" s="193" t="s">
        <v>102</v>
      </c>
      <c r="C47" s="197">
        <f>'2023年'!C47</f>
        <v>25.134</v>
      </c>
      <c r="D47" s="197">
        <f>'2023年'!D47</f>
        <v>10.011</v>
      </c>
      <c r="E47" s="197">
        <f>'2023年'!E47</f>
        <v>0</v>
      </c>
      <c r="F47" s="197">
        <f>'2023年'!F47</f>
        <v>0</v>
      </c>
      <c r="G47" s="197">
        <f>'2023年'!G47</f>
        <v>0</v>
      </c>
      <c r="H47" s="197">
        <f>'2023年'!H47</f>
        <v>0</v>
      </c>
      <c r="I47" s="197">
        <f>'2023年'!I47</f>
        <v>0</v>
      </c>
      <c r="J47" s="197">
        <f>'2023年'!J47</f>
        <v>0</v>
      </c>
      <c r="K47" s="197"/>
      <c r="V47" s="193" t="s">
        <v>102</v>
      </c>
      <c r="AL47" s="193" t="s">
        <v>39</v>
      </c>
      <c r="AM47" s="193" t="s">
        <v>102</v>
      </c>
    </row>
    <row r="48" spans="1:39">
      <c r="A48" s="184" t="s">
        <v>95</v>
      </c>
      <c r="B48" s="188" t="s">
        <v>113</v>
      </c>
      <c r="C48" s="192">
        <f>C40-C43-C44-C45-C47-C46</f>
        <v>133.015503906788</v>
      </c>
      <c r="D48" s="192">
        <f t="shared" ref="D48:J48" si="29">D40-D43-D44-D45-D47-D46</f>
        <v>-58.7457531520045</v>
      </c>
      <c r="E48" s="192" t="e">
        <f t="shared" si="29"/>
        <v>#DIV/0!</v>
      </c>
      <c r="F48" s="192" t="e">
        <f t="shared" si="29"/>
        <v>#DIV/0!</v>
      </c>
      <c r="G48" s="192" t="e">
        <f t="shared" si="29"/>
        <v>#DIV/0!</v>
      </c>
      <c r="H48" s="192" t="e">
        <f t="shared" si="29"/>
        <v>#DIV/0!</v>
      </c>
      <c r="I48" s="192" t="e">
        <f t="shared" si="29"/>
        <v>#DIV/0!</v>
      </c>
      <c r="J48" s="192" t="e">
        <f t="shared" si="29"/>
        <v>#DIV/0!</v>
      </c>
      <c r="K48" s="192"/>
      <c r="V48" s="188" t="s">
        <v>113</v>
      </c>
      <c r="AL48" s="184" t="s">
        <v>112</v>
      </c>
      <c r="AM48" s="188" t="s">
        <v>113</v>
      </c>
    </row>
    <row r="51" spans="3:10">
      <c r="C51" s="198"/>
      <c r="D51" s="198"/>
      <c r="E51" s="198"/>
      <c r="F51" s="198"/>
      <c r="G51" s="198"/>
      <c r="H51" s="198"/>
      <c r="I51" s="198"/>
      <c r="J51" s="198"/>
    </row>
    <row r="54" spans="2:16">
      <c r="B54" s="2"/>
      <c r="C54" s="28"/>
      <c r="D54" s="28"/>
      <c r="E54" s="28"/>
      <c r="F54" s="28"/>
      <c r="G54" s="28"/>
      <c r="H54" s="28"/>
      <c r="I54" s="28"/>
      <c r="J54" s="28"/>
      <c r="K54" s="28"/>
      <c r="L54" s="2"/>
      <c r="M54" s="2"/>
      <c r="N54" s="2"/>
      <c r="O54" s="2"/>
      <c r="P54" s="2"/>
    </row>
    <row r="55" spans="2:16">
      <c r="B55" s="2"/>
      <c r="C55" s="28"/>
      <c r="D55" s="28"/>
      <c r="E55" s="28"/>
      <c r="F55" s="28"/>
      <c r="G55" s="28"/>
      <c r="H55" s="28"/>
      <c r="I55" s="28"/>
      <c r="J55" s="28"/>
      <c r="K55" s="28"/>
      <c r="L55" s="2"/>
      <c r="M55" s="2"/>
      <c r="N55" s="2"/>
      <c r="O55" s="2"/>
      <c r="P55" s="2"/>
    </row>
    <row r="56" spans="2:16">
      <c r="B56" s="2"/>
      <c r="C56" s="28"/>
      <c r="D56" s="28"/>
      <c r="E56" s="28"/>
      <c r="F56" s="28"/>
      <c r="G56" s="28"/>
      <c r="H56" s="28"/>
      <c r="I56" s="28"/>
      <c r="J56" s="28"/>
      <c r="K56" s="28"/>
      <c r="L56" s="2"/>
      <c r="M56" s="2"/>
      <c r="N56" s="2"/>
      <c r="O56" s="2"/>
      <c r="P56" s="2"/>
    </row>
    <row r="57" spans="2:16">
      <c r="B57" s="2"/>
      <c r="C57" s="28"/>
      <c r="D57" s="28"/>
      <c r="E57" s="28"/>
      <c r="F57" s="28"/>
      <c r="G57" s="28"/>
      <c r="H57" s="28"/>
      <c r="I57" s="28"/>
      <c r="J57" s="28"/>
      <c r="K57" s="28"/>
      <c r="L57" s="2"/>
      <c r="M57" s="2"/>
      <c r="N57" s="2"/>
      <c r="O57" s="2"/>
      <c r="P57" s="2"/>
    </row>
    <row r="58" spans="2:16">
      <c r="B58" s="2"/>
      <c r="C58" s="28"/>
      <c r="D58" s="28"/>
      <c r="E58" s="28"/>
      <c r="F58" s="28"/>
      <c r="G58" s="28"/>
      <c r="H58" s="28"/>
      <c r="I58" s="28"/>
      <c r="J58" s="28"/>
      <c r="K58" s="28"/>
      <c r="L58" s="2"/>
      <c r="M58" s="2"/>
      <c r="N58" s="2"/>
      <c r="O58" s="2"/>
      <c r="P58" s="2"/>
    </row>
    <row r="59" spans="2:16">
      <c r="B59" s="2"/>
      <c r="C59" s="28"/>
      <c r="D59" s="28"/>
      <c r="E59" s="28"/>
      <c r="F59" s="28"/>
      <c r="G59" s="28"/>
      <c r="H59" s="28"/>
      <c r="I59" s="28"/>
      <c r="J59" s="28"/>
      <c r="K59" s="28"/>
      <c r="L59" s="2"/>
      <c r="M59" s="2"/>
      <c r="N59" s="2"/>
      <c r="O59" s="2"/>
      <c r="P59" s="2"/>
    </row>
    <row r="60" spans="2:16">
      <c r="B60" s="2"/>
      <c r="C60" s="28"/>
      <c r="D60" s="28"/>
      <c r="E60" s="28"/>
      <c r="F60" s="28"/>
      <c r="G60" s="28"/>
      <c r="H60" s="28"/>
      <c r="I60" s="28"/>
      <c r="J60" s="28"/>
      <c r="K60" s="28"/>
      <c r="L60" s="2"/>
      <c r="M60" s="2"/>
      <c r="N60" s="2"/>
      <c r="O60" s="2"/>
      <c r="P60" s="2"/>
    </row>
    <row r="61" spans="2:16">
      <c r="B61" s="2"/>
      <c r="C61" s="28"/>
      <c r="D61" s="28"/>
      <c r="E61" s="28"/>
      <c r="F61" s="28"/>
      <c r="G61" s="28"/>
      <c r="H61" s="28"/>
      <c r="I61" s="28"/>
      <c r="J61" s="28"/>
      <c r="K61" s="28"/>
      <c r="L61" s="2"/>
      <c r="M61" s="2"/>
      <c r="N61" s="2"/>
      <c r="O61" s="2"/>
      <c r="P61" s="2"/>
    </row>
    <row r="62" spans="2:16">
      <c r="B62" s="2"/>
      <c r="C62" s="28"/>
      <c r="D62" s="28"/>
      <c r="E62" s="28"/>
      <c r="F62" s="28"/>
      <c r="G62" s="28"/>
      <c r="H62" s="28"/>
      <c r="I62" s="28"/>
      <c r="J62" s="28"/>
      <c r="K62" s="28"/>
      <c r="L62" s="2"/>
      <c r="M62" s="2"/>
      <c r="N62" s="2"/>
      <c r="O62" s="2"/>
      <c r="P62" s="2"/>
    </row>
    <row r="63" spans="2:16">
      <c r="B63" s="2"/>
      <c r="C63" s="28"/>
      <c r="D63" s="28"/>
      <c r="E63" s="28"/>
      <c r="F63" s="28"/>
      <c r="G63" s="28"/>
      <c r="H63" s="28"/>
      <c r="I63" s="28"/>
      <c r="J63" s="28"/>
      <c r="K63" s="28"/>
      <c r="L63" s="2"/>
      <c r="M63" s="2"/>
      <c r="N63" s="2"/>
      <c r="O63" s="2"/>
      <c r="P63" s="2"/>
    </row>
    <row r="64" spans="2:16">
      <c r="B64" s="2"/>
      <c r="C64" s="28"/>
      <c r="D64" s="28"/>
      <c r="E64" s="28"/>
      <c r="F64" s="28"/>
      <c r="G64" s="28"/>
      <c r="H64" s="28"/>
      <c r="I64" s="28"/>
      <c r="J64" s="28"/>
      <c r="K64" s="28"/>
      <c r="L64" s="2"/>
      <c r="M64" s="2"/>
      <c r="N64" s="2"/>
      <c r="O64" s="2"/>
      <c r="P64" s="2"/>
    </row>
    <row r="65" spans="2:16">
      <c r="B65" s="2"/>
      <c r="C65" s="28"/>
      <c r="D65" s="28"/>
      <c r="E65" s="28"/>
      <c r="F65" s="28"/>
      <c r="G65" s="28"/>
      <c r="H65" s="28"/>
      <c r="I65" s="28"/>
      <c r="J65" s="28"/>
      <c r="K65" s="28"/>
      <c r="L65" s="2"/>
      <c r="M65" s="2"/>
      <c r="N65" s="2"/>
      <c r="O65" s="2"/>
      <c r="P65" s="2"/>
    </row>
    <row r="66" spans="2:16">
      <c r="B66" s="2"/>
      <c r="C66" s="28"/>
      <c r="D66" s="28"/>
      <c r="E66" s="28"/>
      <c r="F66" s="28"/>
      <c r="G66" s="28"/>
      <c r="H66" s="28"/>
      <c r="I66" s="28"/>
      <c r="J66" s="28"/>
      <c r="K66" s="28"/>
      <c r="L66" s="2"/>
      <c r="M66" s="2"/>
      <c r="N66" s="2"/>
      <c r="O66" s="2"/>
      <c r="P66" s="2"/>
    </row>
    <row r="67" spans="2:12">
      <c r="B67" s="2"/>
      <c r="C67" s="28"/>
      <c r="D67" s="28"/>
      <c r="E67" s="28"/>
      <c r="F67" s="28"/>
      <c r="G67" s="28"/>
      <c r="H67" s="28"/>
      <c r="I67" s="28"/>
      <c r="J67" s="28"/>
      <c r="K67" s="28"/>
      <c r="L67" s="2"/>
    </row>
    <row r="68" spans="2:12">
      <c r="B68" s="2"/>
      <c r="C68" s="28"/>
      <c r="D68" s="28"/>
      <c r="E68" s="28"/>
      <c r="F68" s="28"/>
      <c r="G68" s="28"/>
      <c r="H68" s="28"/>
      <c r="I68" s="28"/>
      <c r="J68" s="28"/>
      <c r="K68" s="28"/>
      <c r="L68" s="2"/>
    </row>
    <row r="69" spans="2:12">
      <c r="B69" s="2"/>
      <c r="C69" s="28"/>
      <c r="D69" s="28"/>
      <c r="E69" s="28"/>
      <c r="F69" s="28"/>
      <c r="G69" s="28"/>
      <c r="H69" s="28"/>
      <c r="I69" s="28"/>
      <c r="J69" s="28"/>
      <c r="K69" s="28"/>
      <c r="L69" s="2"/>
    </row>
    <row r="70" spans="2:12">
      <c r="B70" s="2"/>
      <c r="C70" s="28"/>
      <c r="D70" s="28"/>
      <c r="E70" s="28"/>
      <c r="F70" s="28"/>
      <c r="G70" s="28"/>
      <c r="H70" s="28"/>
      <c r="I70" s="28"/>
      <c r="J70" s="28"/>
      <c r="K70" s="28"/>
      <c r="L70" s="2"/>
    </row>
    <row r="71" spans="2:12">
      <c r="B71" s="2"/>
      <c r="C71" s="28"/>
      <c r="D71" s="28"/>
      <c r="E71" s="28"/>
      <c r="F71" s="28"/>
      <c r="G71" s="28"/>
      <c r="H71" s="28"/>
      <c r="I71" s="28"/>
      <c r="J71" s="28"/>
      <c r="K71" s="28"/>
      <c r="L71" s="2"/>
    </row>
    <row r="72" spans="2:12">
      <c r="B72" s="2"/>
      <c r="C72" s="28"/>
      <c r="D72" s="28"/>
      <c r="E72" s="28"/>
      <c r="F72" s="28"/>
      <c r="G72" s="28"/>
      <c r="H72" s="28"/>
      <c r="I72" s="28"/>
      <c r="J72" s="28"/>
      <c r="K72" s="28"/>
      <c r="L72" s="2"/>
    </row>
    <row r="73" spans="2:12">
      <c r="B73" s="2"/>
      <c r="C73" s="28"/>
      <c r="D73" s="28"/>
      <c r="E73" s="28"/>
      <c r="F73" s="28"/>
      <c r="G73" s="28"/>
      <c r="H73" s="28"/>
      <c r="I73" s="28"/>
      <c r="J73" s="28"/>
      <c r="K73" s="28"/>
      <c r="L73" s="2"/>
    </row>
    <row r="74" spans="2:12">
      <c r="B74" s="2"/>
      <c r="C74" s="28"/>
      <c r="D74" s="28"/>
      <c r="E74" s="28"/>
      <c r="F74" s="28"/>
      <c r="G74" s="28"/>
      <c r="H74" s="28"/>
      <c r="I74" s="28"/>
      <c r="J74" s="28"/>
      <c r="K74" s="28"/>
      <c r="L74" s="2"/>
    </row>
  </sheetData>
  <mergeCells count="8">
    <mergeCell ref="A1:B1"/>
    <mergeCell ref="C1:K1"/>
    <mergeCell ref="A2:B2"/>
    <mergeCell ref="C2:K2"/>
    <mergeCell ref="A3:B3"/>
    <mergeCell ref="A4:B4"/>
    <mergeCell ref="A5:B5"/>
    <mergeCell ref="K3:K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4.5"/>
  <cols>
    <col min="1" max="1" width="5.12727272727273" style="176" customWidth="1"/>
    <col min="2" max="2" width="17.5" style="176" customWidth="1"/>
    <col min="3" max="10" width="13.2545454545455" style="177" customWidth="1"/>
    <col min="11" max="11" width="18.7545454545455" style="177" customWidth="1"/>
    <col min="12" max="12" width="12.3727272727273" style="176" customWidth="1"/>
    <col min="13" max="13" width="10.1272727272727" style="176" customWidth="1"/>
    <col min="14" max="19" width="9" style="176" customWidth="1"/>
    <col min="20" max="32" width="9" style="176"/>
    <col min="33" max="33" width="4.37272727272727" style="176" customWidth="1"/>
    <col min="34" max="34" width="13.8727272727273" style="176" customWidth="1"/>
    <col min="35" max="16384" width="9" style="176"/>
  </cols>
  <sheetData>
    <row r="1" spans="1:11">
      <c r="A1" s="178" t="s">
        <v>153</v>
      </c>
      <c r="B1" s="178"/>
      <c r="C1" s="179" t="s">
        <v>167</v>
      </c>
      <c r="D1" s="180"/>
      <c r="E1" s="180"/>
      <c r="F1" s="180"/>
      <c r="G1" s="180"/>
      <c r="H1" s="180"/>
      <c r="I1" s="180"/>
      <c r="J1" s="180"/>
      <c r="K1" s="199"/>
    </row>
    <row r="2" spans="1:11">
      <c r="A2" s="178" t="s">
        <v>155</v>
      </c>
      <c r="B2" s="178"/>
      <c r="C2" s="208" t="str">
        <f>'2023年'!C2:K2</f>
        <v>中国重汽济宁商用车有限公司</v>
      </c>
      <c r="D2" s="209"/>
      <c r="E2" s="209"/>
      <c r="F2" s="209"/>
      <c r="G2" s="209"/>
      <c r="H2" s="209"/>
      <c r="I2" s="209"/>
      <c r="J2" s="209"/>
      <c r="K2" s="210"/>
    </row>
    <row r="3" ht="39" spans="1:11">
      <c r="A3" s="178" t="s">
        <v>157</v>
      </c>
      <c r="B3" s="178"/>
      <c r="C3" s="182" t="str">
        <f>'2023年'!C3</f>
        <v>MAX左座椅总成（TX平台 空气减震）</v>
      </c>
      <c r="D3" s="182" t="str">
        <f>'2023年'!D3</f>
        <v>MAX右座椅总成（TX平台 简易版 无</v>
      </c>
      <c r="E3" s="182">
        <f>'2023年'!E3</f>
        <v>0</v>
      </c>
      <c r="F3" s="182">
        <f>'2023年'!F3</f>
        <v>0</v>
      </c>
      <c r="G3" s="182">
        <f>'2023年'!G3</f>
        <v>0</v>
      </c>
      <c r="H3" s="182">
        <f>'2023年'!H3</f>
        <v>0</v>
      </c>
      <c r="I3" s="182">
        <f>'2023年'!I3</f>
        <v>0</v>
      </c>
      <c r="J3" s="182">
        <f>'2023年'!J3</f>
        <v>0</v>
      </c>
      <c r="K3" s="200" t="s">
        <v>27</v>
      </c>
    </row>
    <row r="4" ht="16.5" customHeight="1" spans="1:11">
      <c r="A4" s="178" t="s">
        <v>158</v>
      </c>
      <c r="B4" s="178"/>
      <c r="C4" s="182" t="str">
        <f>'2023年'!C4</f>
        <v>YZ167151000039</v>
      </c>
      <c r="D4" s="182" t="str">
        <f>'2023年'!D4</f>
        <v>YZ167151000040</v>
      </c>
      <c r="E4" s="182">
        <f>'2023年'!E4</f>
        <v>0</v>
      </c>
      <c r="F4" s="182">
        <f>'2023年'!F4</f>
        <v>0</v>
      </c>
      <c r="G4" s="182">
        <f>'2023年'!G4</f>
        <v>0</v>
      </c>
      <c r="H4" s="182">
        <f>'2023年'!H4</f>
        <v>0</v>
      </c>
      <c r="I4" s="182">
        <f>'2023年'!I4</f>
        <v>0</v>
      </c>
      <c r="J4" s="182">
        <f>'2023年'!J4</f>
        <v>0</v>
      </c>
      <c r="K4" s="201"/>
    </row>
    <row r="5" spans="1:35">
      <c r="A5" s="178" t="s">
        <v>159</v>
      </c>
      <c r="B5" s="178"/>
      <c r="C5" s="183"/>
      <c r="D5" s="183"/>
      <c r="E5" s="183"/>
      <c r="F5" s="183"/>
      <c r="G5" s="183"/>
      <c r="H5" s="183"/>
      <c r="I5" s="183"/>
      <c r="J5" s="183"/>
      <c r="K5" s="202"/>
      <c r="AI5" s="176" t="s">
        <v>28</v>
      </c>
    </row>
    <row r="6" ht="16.5" spans="1:35">
      <c r="A6" s="184" t="s">
        <v>21</v>
      </c>
      <c r="B6" s="185" t="s">
        <v>160</v>
      </c>
      <c r="C6" s="186">
        <f>销量!C11</f>
        <v>4000</v>
      </c>
      <c r="D6" s="186">
        <f>销量!D11</f>
        <v>4000</v>
      </c>
      <c r="E6" s="186">
        <f>销量!E11</f>
        <v>0</v>
      </c>
      <c r="F6" s="186">
        <f>销量!F11</f>
        <v>0</v>
      </c>
      <c r="G6" s="186">
        <f>销量!G11</f>
        <v>0</v>
      </c>
      <c r="H6" s="186">
        <f>销量!H11</f>
        <v>0</v>
      </c>
      <c r="I6" s="186">
        <f>销量!I11</f>
        <v>0</v>
      </c>
      <c r="J6" s="186">
        <f>销量!J11</f>
        <v>0</v>
      </c>
      <c r="K6" s="187">
        <f>SUM(C6:J6)</f>
        <v>8000</v>
      </c>
      <c r="AG6" s="184" t="s">
        <v>21</v>
      </c>
      <c r="AH6" s="185" t="s">
        <v>3</v>
      </c>
      <c r="AI6" s="176" t="s">
        <v>29</v>
      </c>
    </row>
    <row r="7" spans="1:35">
      <c r="A7" s="178">
        <v>1</v>
      </c>
      <c r="B7" s="185" t="s">
        <v>30</v>
      </c>
      <c r="C7" s="187">
        <f>C6*销量!C8</f>
        <v>4720000</v>
      </c>
      <c r="D7" s="187">
        <f>D6*销量!D8</f>
        <v>1880000</v>
      </c>
      <c r="E7" s="187">
        <f>E6*销量!E8</f>
        <v>0</v>
      </c>
      <c r="F7" s="187">
        <f>F6*销量!F8</f>
        <v>0</v>
      </c>
      <c r="G7" s="187">
        <f>G6*销量!G8</f>
        <v>0</v>
      </c>
      <c r="H7" s="187">
        <f>H6*销量!H8</f>
        <v>0</v>
      </c>
      <c r="I7" s="187">
        <f>I6*销量!I8</f>
        <v>0</v>
      </c>
      <c r="J7" s="187">
        <f>J6*销量!J8</f>
        <v>0</v>
      </c>
      <c r="K7" s="187">
        <f t="shared" ref="K7:K17" si="0">SUM(C7:J7)</f>
        <v>6600000</v>
      </c>
      <c r="L7" s="177"/>
      <c r="AG7" s="184" t="s">
        <v>31</v>
      </c>
      <c r="AH7" s="185" t="s">
        <v>30</v>
      </c>
      <c r="AI7" s="176" t="s">
        <v>29</v>
      </c>
    </row>
    <row r="8" spans="1:35">
      <c r="A8" s="178">
        <v>2</v>
      </c>
      <c r="B8" s="178" t="s">
        <v>32</v>
      </c>
      <c r="C8" s="187">
        <f>C7*(1-销量!$O$8)</f>
        <v>370048</v>
      </c>
      <c r="D8" s="187">
        <f>D7*(1-销量!$O$8)</f>
        <v>147392</v>
      </c>
      <c r="E8" s="187">
        <f>E7*(1-销量!$O$8)</f>
        <v>0</v>
      </c>
      <c r="F8" s="187">
        <f>F7*(1-销量!$O$8)</f>
        <v>0</v>
      </c>
      <c r="G8" s="187">
        <f>G7*(1-销量!$O$8)</f>
        <v>0</v>
      </c>
      <c r="H8" s="187">
        <f>H7*(1-销量!$O$8)</f>
        <v>0</v>
      </c>
      <c r="I8" s="187">
        <f>I7*(1-销量!$O$8)</f>
        <v>0</v>
      </c>
      <c r="J8" s="187">
        <f>J7*(1-销量!$O$8)</f>
        <v>0</v>
      </c>
      <c r="K8" s="187">
        <f t="shared" si="0"/>
        <v>517440</v>
      </c>
      <c r="L8" s="203"/>
      <c r="AG8" s="184" t="s">
        <v>33</v>
      </c>
      <c r="AH8" s="178" t="s">
        <v>34</v>
      </c>
      <c r="AI8" s="176" t="s">
        <v>29</v>
      </c>
    </row>
    <row r="9" spans="1:35">
      <c r="A9" s="178">
        <v>3</v>
      </c>
      <c r="B9" s="185" t="s">
        <v>35</v>
      </c>
      <c r="C9" s="187">
        <f>+C7-C8</f>
        <v>4349952</v>
      </c>
      <c r="D9" s="187">
        <f t="shared" ref="D9:J9" si="1">+D7-D8</f>
        <v>1732608</v>
      </c>
      <c r="E9" s="187">
        <f t="shared" si="1"/>
        <v>0</v>
      </c>
      <c r="F9" s="187">
        <f t="shared" si="1"/>
        <v>0</v>
      </c>
      <c r="G9" s="187">
        <f t="shared" si="1"/>
        <v>0</v>
      </c>
      <c r="H9" s="187">
        <f t="shared" si="1"/>
        <v>0</v>
      </c>
      <c r="I9" s="187">
        <f t="shared" si="1"/>
        <v>0</v>
      </c>
      <c r="J9" s="187">
        <f t="shared" si="1"/>
        <v>0</v>
      </c>
      <c r="K9" s="187">
        <f t="shared" si="0"/>
        <v>6082560</v>
      </c>
      <c r="AG9" s="184" t="s">
        <v>36</v>
      </c>
      <c r="AH9" s="185" t="s">
        <v>35</v>
      </c>
      <c r="AI9" s="176" t="s">
        <v>37</v>
      </c>
    </row>
    <row r="10" spans="1:35">
      <c r="A10" s="178">
        <v>4</v>
      </c>
      <c r="B10" s="184" t="s">
        <v>38</v>
      </c>
      <c r="C10" s="187">
        <f t="shared" ref="C10:J10" si="2">C6*C33</f>
        <v>2852454.528</v>
      </c>
      <c r="D10" s="187">
        <f t="shared" si="2"/>
        <v>1544167.152</v>
      </c>
      <c r="E10" s="187">
        <f t="shared" si="2"/>
        <v>0</v>
      </c>
      <c r="F10" s="187">
        <f t="shared" si="2"/>
        <v>0</v>
      </c>
      <c r="G10" s="187">
        <f t="shared" si="2"/>
        <v>0</v>
      </c>
      <c r="H10" s="187">
        <f t="shared" si="2"/>
        <v>0</v>
      </c>
      <c r="I10" s="187">
        <f t="shared" si="2"/>
        <v>0</v>
      </c>
      <c r="J10" s="187">
        <f t="shared" si="2"/>
        <v>0</v>
      </c>
      <c r="K10" s="187">
        <f t="shared" si="0"/>
        <v>4396621.68</v>
      </c>
      <c r="AG10" s="184" t="s">
        <v>39</v>
      </c>
      <c r="AH10" s="184" t="s">
        <v>38</v>
      </c>
      <c r="AI10" s="176" t="s">
        <v>40</v>
      </c>
    </row>
    <row r="11" spans="1:34">
      <c r="A11" s="178">
        <v>5</v>
      </c>
      <c r="B11" s="184" t="s">
        <v>41</v>
      </c>
      <c r="C11" s="187">
        <f>+C6*C36</f>
        <v>265358.335677989</v>
      </c>
      <c r="D11" s="187">
        <f t="shared" ref="D11:J11" si="3">+D6*D36</f>
        <v>105693.574380216</v>
      </c>
      <c r="E11" s="187">
        <f t="shared" si="3"/>
        <v>0</v>
      </c>
      <c r="F11" s="187">
        <f t="shared" si="3"/>
        <v>0</v>
      </c>
      <c r="G11" s="187">
        <f t="shared" si="3"/>
        <v>0</v>
      </c>
      <c r="H11" s="187">
        <f t="shared" si="3"/>
        <v>0</v>
      </c>
      <c r="I11" s="187">
        <f t="shared" si="3"/>
        <v>0</v>
      </c>
      <c r="J11" s="187">
        <f t="shared" si="3"/>
        <v>0</v>
      </c>
      <c r="K11" s="187">
        <f t="shared" si="0"/>
        <v>371051.910058205</v>
      </c>
      <c r="AG11" s="184" t="s">
        <v>42</v>
      </c>
      <c r="AH11" s="184" t="s">
        <v>41</v>
      </c>
    </row>
    <row r="12" spans="1:34">
      <c r="A12" s="178">
        <v>6</v>
      </c>
      <c r="B12" s="184" t="s">
        <v>43</v>
      </c>
      <c r="C12" s="187">
        <f>+C6*C37</f>
        <v>71158.6709170816</v>
      </c>
      <c r="D12" s="187">
        <f t="shared" ref="D12:J12" si="4">+D6*D37</f>
        <v>28342.860450024</v>
      </c>
      <c r="E12" s="187">
        <f t="shared" si="4"/>
        <v>0</v>
      </c>
      <c r="F12" s="187">
        <f t="shared" si="4"/>
        <v>0</v>
      </c>
      <c r="G12" s="187">
        <f t="shared" si="4"/>
        <v>0</v>
      </c>
      <c r="H12" s="187">
        <f t="shared" si="4"/>
        <v>0</v>
      </c>
      <c r="I12" s="187">
        <f t="shared" si="4"/>
        <v>0</v>
      </c>
      <c r="J12" s="187">
        <f t="shared" si="4"/>
        <v>0</v>
      </c>
      <c r="K12" s="187">
        <f t="shared" si="0"/>
        <v>99501.5313671056</v>
      </c>
      <c r="AG12" s="184" t="s">
        <v>44</v>
      </c>
      <c r="AH12" s="184" t="s">
        <v>43</v>
      </c>
    </row>
    <row r="13" spans="1:35">
      <c r="A13" s="178">
        <v>7</v>
      </c>
      <c r="B13" s="184" t="s">
        <v>45</v>
      </c>
      <c r="C13" s="187">
        <f>+C6*C38</f>
        <v>188800</v>
      </c>
      <c r="D13" s="187">
        <f t="shared" ref="D13:J13" si="5">+D6*D38</f>
        <v>75200</v>
      </c>
      <c r="E13" s="187">
        <f t="shared" si="5"/>
        <v>0</v>
      </c>
      <c r="F13" s="187">
        <f t="shared" si="5"/>
        <v>0</v>
      </c>
      <c r="G13" s="187">
        <f t="shared" si="5"/>
        <v>0</v>
      </c>
      <c r="H13" s="187">
        <f t="shared" si="5"/>
        <v>0</v>
      </c>
      <c r="I13" s="187">
        <f t="shared" si="5"/>
        <v>0</v>
      </c>
      <c r="J13" s="187">
        <f t="shared" si="5"/>
        <v>0</v>
      </c>
      <c r="K13" s="187">
        <f t="shared" si="0"/>
        <v>264000</v>
      </c>
      <c r="AG13" s="184" t="s">
        <v>46</v>
      </c>
      <c r="AH13" s="184" t="s">
        <v>45</v>
      </c>
      <c r="AI13" s="176" t="s">
        <v>29</v>
      </c>
    </row>
    <row r="14" spans="1:34">
      <c r="A14" s="178">
        <v>8</v>
      </c>
      <c r="B14" s="188" t="s">
        <v>47</v>
      </c>
      <c r="C14" s="187">
        <f>SUM(C11:C13)</f>
        <v>525317.006595071</v>
      </c>
      <c r="D14" s="187">
        <f t="shared" ref="D14:J14" si="6">SUM(D11:D13)</f>
        <v>209236.43483024</v>
      </c>
      <c r="E14" s="187">
        <f t="shared" si="6"/>
        <v>0</v>
      </c>
      <c r="F14" s="187">
        <f t="shared" si="6"/>
        <v>0</v>
      </c>
      <c r="G14" s="187">
        <f t="shared" si="6"/>
        <v>0</v>
      </c>
      <c r="H14" s="187">
        <f t="shared" si="6"/>
        <v>0</v>
      </c>
      <c r="I14" s="187">
        <f t="shared" si="6"/>
        <v>0</v>
      </c>
      <c r="J14" s="187">
        <f t="shared" si="6"/>
        <v>0</v>
      </c>
      <c r="K14" s="187">
        <f t="shared" si="0"/>
        <v>734553.441425311</v>
      </c>
      <c r="AG14" s="184" t="s">
        <v>48</v>
      </c>
      <c r="AH14" s="188" t="s">
        <v>47</v>
      </c>
    </row>
    <row r="15" spans="1:34">
      <c r="A15" s="178">
        <v>9</v>
      </c>
      <c r="B15" s="188" t="s">
        <v>49</v>
      </c>
      <c r="C15" s="187">
        <f>+C9-C10-C14</f>
        <v>972180.465404929</v>
      </c>
      <c r="D15" s="187">
        <f t="shared" ref="D15:J15" si="7">+D9-D10-D14</f>
        <v>-20795.58683024</v>
      </c>
      <c r="E15" s="187">
        <f t="shared" si="7"/>
        <v>0</v>
      </c>
      <c r="F15" s="187">
        <f t="shared" si="7"/>
        <v>0</v>
      </c>
      <c r="G15" s="187">
        <f t="shared" si="7"/>
        <v>0</v>
      </c>
      <c r="H15" s="187">
        <f t="shared" si="7"/>
        <v>0</v>
      </c>
      <c r="I15" s="187">
        <f t="shared" si="7"/>
        <v>0</v>
      </c>
      <c r="J15" s="187">
        <f t="shared" si="7"/>
        <v>0</v>
      </c>
      <c r="K15" s="187">
        <f t="shared" si="0"/>
        <v>951384.878574689</v>
      </c>
      <c r="AG15" s="184" t="s">
        <v>50</v>
      </c>
      <c r="AH15" s="188" t="s">
        <v>49</v>
      </c>
    </row>
    <row r="16" spans="1:34">
      <c r="A16" s="178">
        <v>10</v>
      </c>
      <c r="B16" s="184" t="s">
        <v>51</v>
      </c>
      <c r="C16" s="189">
        <f>+C15/C9</f>
        <v>0.223492228283192</v>
      </c>
      <c r="D16" s="189">
        <f t="shared" ref="D16:J16" si="8">+D15/D9</f>
        <v>-0.012002476515311</v>
      </c>
      <c r="E16" s="189" t="e">
        <f t="shared" si="8"/>
        <v>#DIV/0!</v>
      </c>
      <c r="F16" s="189" t="e">
        <f t="shared" si="8"/>
        <v>#DIV/0!</v>
      </c>
      <c r="G16" s="189" t="e">
        <f t="shared" si="8"/>
        <v>#DIV/0!</v>
      </c>
      <c r="H16" s="189" t="e">
        <f t="shared" si="8"/>
        <v>#DIV/0!</v>
      </c>
      <c r="I16" s="189" t="e">
        <f t="shared" si="8"/>
        <v>#DIV/0!</v>
      </c>
      <c r="J16" s="189" t="e">
        <f t="shared" si="8"/>
        <v>#DIV/0!</v>
      </c>
      <c r="K16" s="189">
        <f t="shared" ref="K16" si="9">+K15/K9</f>
        <v>0.156411918431497</v>
      </c>
      <c r="AG16" s="184" t="s">
        <v>52</v>
      </c>
      <c r="AH16" s="184" t="s">
        <v>51</v>
      </c>
    </row>
    <row r="17" spans="1:34">
      <c r="A17" s="178">
        <v>11</v>
      </c>
      <c r="B17" s="184" t="s">
        <v>53</v>
      </c>
      <c r="C17" s="187">
        <f>C6*C43+C18</f>
        <v>259900</v>
      </c>
      <c r="D17" s="187">
        <f t="shared" ref="D17:J17" si="10">D6*D43+D18</f>
        <v>132100</v>
      </c>
      <c r="E17" s="187">
        <f t="shared" si="10"/>
        <v>0</v>
      </c>
      <c r="F17" s="187">
        <f t="shared" si="10"/>
        <v>0</v>
      </c>
      <c r="G17" s="187">
        <f t="shared" si="10"/>
        <v>0</v>
      </c>
      <c r="H17" s="187">
        <f t="shared" si="10"/>
        <v>0</v>
      </c>
      <c r="I17" s="187">
        <f t="shared" si="10"/>
        <v>0</v>
      </c>
      <c r="J17" s="187">
        <f t="shared" si="10"/>
        <v>0</v>
      </c>
      <c r="K17" s="187">
        <f t="shared" si="0"/>
        <v>392000</v>
      </c>
      <c r="L17" s="203"/>
      <c r="AG17" s="184" t="s">
        <v>54</v>
      </c>
      <c r="AH17" s="184" t="s">
        <v>53</v>
      </c>
    </row>
    <row r="18" s="174" customFormat="1" spans="1:14">
      <c r="A18" s="178">
        <v>12</v>
      </c>
      <c r="B18" s="190" t="s">
        <v>161</v>
      </c>
      <c r="C18" s="191">
        <f>$K$18/$K$6*C6</f>
        <v>47500</v>
      </c>
      <c r="D18" s="191">
        <f t="shared" ref="D18:J18" si="11">$K$18/$K$6*D6</f>
        <v>47500</v>
      </c>
      <c r="E18" s="191">
        <f t="shared" si="11"/>
        <v>0</v>
      </c>
      <c r="F18" s="191">
        <f t="shared" si="11"/>
        <v>0</v>
      </c>
      <c r="G18" s="191">
        <f t="shared" si="11"/>
        <v>0</v>
      </c>
      <c r="H18" s="191">
        <f t="shared" si="11"/>
        <v>0</v>
      </c>
      <c r="I18" s="191">
        <f t="shared" si="11"/>
        <v>0</v>
      </c>
      <c r="J18" s="191">
        <f t="shared" si="11"/>
        <v>0</v>
      </c>
      <c r="K18" s="191">
        <f>项目投资!D26</f>
        <v>95000</v>
      </c>
      <c r="L18" s="204" t="s">
        <v>162</v>
      </c>
      <c r="M18" s="204"/>
      <c r="N18" s="204"/>
    </row>
    <row r="19" spans="1:35">
      <c r="A19" s="178">
        <v>13</v>
      </c>
      <c r="B19" s="184" t="s">
        <v>55</v>
      </c>
      <c r="C19" s="187">
        <f>C6*C44</f>
        <v>33040</v>
      </c>
      <c r="D19" s="187">
        <f t="shared" ref="D19:J19" si="12">D6*D44</f>
        <v>13160</v>
      </c>
      <c r="E19" s="187">
        <f t="shared" si="12"/>
        <v>0</v>
      </c>
      <c r="F19" s="187">
        <f t="shared" si="12"/>
        <v>0</v>
      </c>
      <c r="G19" s="187">
        <f t="shared" si="12"/>
        <v>0</v>
      </c>
      <c r="H19" s="187">
        <f t="shared" si="12"/>
        <v>0</v>
      </c>
      <c r="I19" s="187">
        <f t="shared" si="12"/>
        <v>0</v>
      </c>
      <c r="J19" s="187">
        <f t="shared" si="12"/>
        <v>0</v>
      </c>
      <c r="K19" s="187">
        <f t="shared" ref="K19:K20" si="13">SUM(C19:J19)</f>
        <v>46200</v>
      </c>
      <c r="L19" s="174"/>
      <c r="AG19" s="184" t="s">
        <v>56</v>
      </c>
      <c r="AH19" s="184" t="s">
        <v>55</v>
      </c>
      <c r="AI19" s="176" t="s">
        <v>29</v>
      </c>
    </row>
    <row r="20" spans="1:34">
      <c r="A20" s="178">
        <v>14</v>
      </c>
      <c r="B20" s="184" t="s">
        <v>57</v>
      </c>
      <c r="C20" s="187">
        <f>C6*C45</f>
        <v>188800</v>
      </c>
      <c r="D20" s="187">
        <f t="shared" ref="D20:J20" si="14">D6*D45</f>
        <v>75200</v>
      </c>
      <c r="E20" s="187">
        <f t="shared" si="14"/>
        <v>0</v>
      </c>
      <c r="F20" s="187">
        <f t="shared" si="14"/>
        <v>0</v>
      </c>
      <c r="G20" s="187">
        <f t="shared" si="14"/>
        <v>0</v>
      </c>
      <c r="H20" s="187">
        <f t="shared" si="14"/>
        <v>0</v>
      </c>
      <c r="I20" s="187">
        <f t="shared" si="14"/>
        <v>0</v>
      </c>
      <c r="J20" s="187">
        <f t="shared" si="14"/>
        <v>0</v>
      </c>
      <c r="K20" s="187">
        <f t="shared" si="13"/>
        <v>264000</v>
      </c>
      <c r="AG20" s="184" t="s">
        <v>58</v>
      </c>
      <c r="AH20" s="184" t="s">
        <v>57</v>
      </c>
    </row>
    <row r="21" spans="1:34">
      <c r="A21" s="178">
        <v>15</v>
      </c>
      <c r="B21" s="184" t="s">
        <v>59</v>
      </c>
      <c r="C21" s="192">
        <f>$K$21/$K$6*C6</f>
        <v>43333.3333333333</v>
      </c>
      <c r="D21" s="192">
        <f t="shared" ref="D21:J21" si="15">$K$21/$K$6*D6</f>
        <v>43333.3333333333</v>
      </c>
      <c r="E21" s="192">
        <f t="shared" si="15"/>
        <v>0</v>
      </c>
      <c r="F21" s="192">
        <f t="shared" si="15"/>
        <v>0</v>
      </c>
      <c r="G21" s="192">
        <f t="shared" si="15"/>
        <v>0</v>
      </c>
      <c r="H21" s="192">
        <f t="shared" si="15"/>
        <v>0</v>
      </c>
      <c r="I21" s="192">
        <f t="shared" si="15"/>
        <v>0</v>
      </c>
      <c r="J21" s="192">
        <f t="shared" si="15"/>
        <v>0</v>
      </c>
      <c r="K21" s="187">
        <f>项目投资!F27</f>
        <v>86666.6666666667</v>
      </c>
      <c r="AG21" s="184"/>
      <c r="AH21" s="184"/>
    </row>
    <row r="22" spans="1:34">
      <c r="A22" s="178">
        <v>16</v>
      </c>
      <c r="B22" s="184" t="s">
        <v>60</v>
      </c>
      <c r="C22" s="187">
        <f>C6*C47</f>
        <v>100536</v>
      </c>
      <c r="D22" s="187">
        <f t="shared" ref="D22:J22" si="16">D6*D47</f>
        <v>40044</v>
      </c>
      <c r="E22" s="187">
        <f t="shared" si="16"/>
        <v>0</v>
      </c>
      <c r="F22" s="187">
        <f t="shared" si="16"/>
        <v>0</v>
      </c>
      <c r="G22" s="187">
        <f t="shared" si="16"/>
        <v>0</v>
      </c>
      <c r="H22" s="187">
        <f t="shared" si="16"/>
        <v>0</v>
      </c>
      <c r="I22" s="187">
        <f t="shared" si="16"/>
        <v>0</v>
      </c>
      <c r="J22" s="187">
        <f t="shared" si="16"/>
        <v>0</v>
      </c>
      <c r="K22" s="187">
        <f t="shared" ref="K22" si="17">SUM(C22:J22)</f>
        <v>140580</v>
      </c>
      <c r="AG22" s="184" t="s">
        <v>61</v>
      </c>
      <c r="AH22" s="184" t="s">
        <v>60</v>
      </c>
    </row>
    <row r="23" spans="1:34">
      <c r="A23" s="178">
        <v>17</v>
      </c>
      <c r="B23" s="188" t="s">
        <v>62</v>
      </c>
      <c r="C23" s="192">
        <f>+C22+C21+C20+C19+C17</f>
        <v>625609.333333333</v>
      </c>
      <c r="D23" s="192">
        <f t="shared" ref="D23:J23" si="18">+D22+D21+D20+D19+D17</f>
        <v>303837.333333333</v>
      </c>
      <c r="E23" s="192">
        <f t="shared" si="18"/>
        <v>0</v>
      </c>
      <c r="F23" s="192">
        <f t="shared" si="18"/>
        <v>0</v>
      </c>
      <c r="G23" s="192">
        <f t="shared" si="18"/>
        <v>0</v>
      </c>
      <c r="H23" s="192">
        <f t="shared" si="18"/>
        <v>0</v>
      </c>
      <c r="I23" s="192">
        <f t="shared" si="18"/>
        <v>0</v>
      </c>
      <c r="J23" s="192">
        <f t="shared" si="18"/>
        <v>0</v>
      </c>
      <c r="K23" s="192">
        <f t="shared" ref="K23" si="19">+K22+K21+K20+K19+K17</f>
        <v>929446.666666667</v>
      </c>
      <c r="AG23" s="184" t="s">
        <v>63</v>
      </c>
      <c r="AH23" s="188" t="s">
        <v>62</v>
      </c>
    </row>
    <row r="24" spans="1:34">
      <c r="A24" s="178">
        <v>18</v>
      </c>
      <c r="B24" s="193" t="s">
        <v>64</v>
      </c>
      <c r="C24" s="192">
        <f>+C15-C23</f>
        <v>346571.132071595</v>
      </c>
      <c r="D24" s="192">
        <f t="shared" ref="D24:J24" si="20">+D15-D23</f>
        <v>-324632.920163573</v>
      </c>
      <c r="E24" s="192">
        <f t="shared" si="20"/>
        <v>0</v>
      </c>
      <c r="F24" s="192">
        <f t="shared" si="20"/>
        <v>0</v>
      </c>
      <c r="G24" s="192">
        <f t="shared" si="20"/>
        <v>0</v>
      </c>
      <c r="H24" s="192">
        <f t="shared" si="20"/>
        <v>0</v>
      </c>
      <c r="I24" s="192">
        <f t="shared" si="20"/>
        <v>0</v>
      </c>
      <c r="J24" s="192">
        <f t="shared" si="20"/>
        <v>0</v>
      </c>
      <c r="K24" s="192">
        <f t="shared" ref="K24" si="21">+K15-K23</f>
        <v>21938.2119080219</v>
      </c>
      <c r="M24" s="205"/>
      <c r="AG24" s="184" t="s">
        <v>65</v>
      </c>
      <c r="AH24" s="184" t="s">
        <v>64</v>
      </c>
    </row>
    <row r="25" spans="1:34">
      <c r="A25" s="178">
        <v>19</v>
      </c>
      <c r="B25" s="184" t="s">
        <v>163</v>
      </c>
      <c r="C25" s="192">
        <f>IF(C24&lt;0,0,C24*0.15)</f>
        <v>51985.6698107393</v>
      </c>
      <c r="D25" s="192">
        <f t="shared" ref="D25:K25" si="22">IF(D24&lt;0,0,D24*0.15)</f>
        <v>0</v>
      </c>
      <c r="E25" s="192">
        <f t="shared" si="22"/>
        <v>0</v>
      </c>
      <c r="F25" s="192">
        <f t="shared" si="22"/>
        <v>0</v>
      </c>
      <c r="G25" s="192">
        <f t="shared" si="22"/>
        <v>0</v>
      </c>
      <c r="H25" s="192">
        <f t="shared" si="22"/>
        <v>0</v>
      </c>
      <c r="I25" s="192">
        <f t="shared" si="22"/>
        <v>0</v>
      </c>
      <c r="J25" s="192">
        <f t="shared" si="22"/>
        <v>0</v>
      </c>
      <c r="K25" s="192">
        <f t="shared" si="22"/>
        <v>3290.73178620329</v>
      </c>
      <c r="L25" s="2"/>
      <c r="M25" s="2"/>
      <c r="N25" s="2"/>
      <c r="AG25" s="184" t="s">
        <v>67</v>
      </c>
      <c r="AH25" s="184" t="s">
        <v>66</v>
      </c>
    </row>
    <row r="26" spans="1:34">
      <c r="A26" s="178">
        <v>20</v>
      </c>
      <c r="B26" s="184" t="s">
        <v>68</v>
      </c>
      <c r="C26" s="192">
        <f t="shared" ref="C26" si="23">C24-C25</f>
        <v>294585.462260856</v>
      </c>
      <c r="D26" s="192">
        <f t="shared" ref="D26:J26" si="24">D24-D25</f>
        <v>-324632.920163573</v>
      </c>
      <c r="E26" s="192">
        <f t="shared" si="24"/>
        <v>0</v>
      </c>
      <c r="F26" s="192">
        <f t="shared" si="24"/>
        <v>0</v>
      </c>
      <c r="G26" s="192">
        <f t="shared" si="24"/>
        <v>0</v>
      </c>
      <c r="H26" s="192">
        <f t="shared" si="24"/>
        <v>0</v>
      </c>
      <c r="I26" s="192">
        <f t="shared" si="24"/>
        <v>0</v>
      </c>
      <c r="J26" s="192">
        <f t="shared" si="24"/>
        <v>0</v>
      </c>
      <c r="K26" s="187">
        <f>+SUM(C26:J26)</f>
        <v>-30047.4579027173</v>
      </c>
      <c r="L26" s="2"/>
      <c r="M26" s="2"/>
      <c r="N26" s="2"/>
      <c r="AG26" s="184" t="s">
        <v>69</v>
      </c>
      <c r="AH26" s="184" t="s">
        <v>68</v>
      </c>
    </row>
    <row r="27" spans="1:34">
      <c r="A27" s="178">
        <v>21</v>
      </c>
      <c r="B27" s="184" t="s">
        <v>72</v>
      </c>
      <c r="C27" s="194">
        <f t="shared" ref="C27:K27" si="25">C26/C7</f>
        <v>0.0624121742078085</v>
      </c>
      <c r="D27" s="194">
        <f t="shared" ref="D27:J27" si="26">D26/D7</f>
        <v>-0.17267708519339</v>
      </c>
      <c r="E27" s="194" t="e">
        <f t="shared" si="26"/>
        <v>#DIV/0!</v>
      </c>
      <c r="F27" s="194" t="e">
        <f t="shared" si="26"/>
        <v>#DIV/0!</v>
      </c>
      <c r="G27" s="194" t="e">
        <f t="shared" si="26"/>
        <v>#DIV/0!</v>
      </c>
      <c r="H27" s="194" t="e">
        <f t="shared" si="26"/>
        <v>#DIV/0!</v>
      </c>
      <c r="I27" s="194" t="e">
        <f t="shared" si="26"/>
        <v>#DIV/0!</v>
      </c>
      <c r="J27" s="194" t="e">
        <f t="shared" si="26"/>
        <v>#DIV/0!</v>
      </c>
      <c r="K27" s="194">
        <f t="shared" si="25"/>
        <v>-0.00455264513677535</v>
      </c>
      <c r="L27" s="2"/>
      <c r="M27" s="2"/>
      <c r="N27" s="2"/>
      <c r="AG27" s="184" t="s">
        <v>71</v>
      </c>
      <c r="AH27" s="184" t="s">
        <v>72</v>
      </c>
    </row>
    <row r="28" spans="12:14">
      <c r="L28" s="2"/>
      <c r="M28" s="2"/>
      <c r="N28" s="2"/>
    </row>
    <row r="29" spans="1:33">
      <c r="A29" s="176" t="s">
        <v>73</v>
      </c>
      <c r="K29" s="177" t="s">
        <v>20</v>
      </c>
      <c r="L29" s="2"/>
      <c r="M29" s="2"/>
      <c r="N29" s="2"/>
      <c r="AG29" s="176" t="s">
        <v>73</v>
      </c>
    </row>
    <row r="30" spans="1:34">
      <c r="A30" s="184" t="s">
        <v>79</v>
      </c>
      <c r="B30" s="188" t="s">
        <v>80</v>
      </c>
      <c r="C30" s="192"/>
      <c r="D30" s="192"/>
      <c r="E30" s="192"/>
      <c r="F30" s="192"/>
      <c r="G30" s="192"/>
      <c r="H30" s="192"/>
      <c r="I30" s="192"/>
      <c r="J30" s="192"/>
      <c r="K30" s="192"/>
      <c r="L30" s="2"/>
      <c r="M30" s="2"/>
      <c r="N30" s="2"/>
      <c r="P30" s="2"/>
      <c r="AG30" s="184" t="s">
        <v>81</v>
      </c>
      <c r="AH30" s="188" t="s">
        <v>80</v>
      </c>
    </row>
    <row r="31" spans="1:34">
      <c r="A31" s="178">
        <v>1</v>
      </c>
      <c r="B31" s="190" t="s">
        <v>82</v>
      </c>
      <c r="C31" s="195">
        <f>'2023年'!C31</f>
        <v>1180</v>
      </c>
      <c r="D31" s="195">
        <f>'2023年'!D31</f>
        <v>470</v>
      </c>
      <c r="E31" s="195">
        <f>'2023年'!E31</f>
        <v>0</v>
      </c>
      <c r="F31" s="195">
        <f>'2023年'!F31</f>
        <v>0</v>
      </c>
      <c r="G31" s="195">
        <f>'2023年'!G31</f>
        <v>0</v>
      </c>
      <c r="H31" s="195">
        <f>'2023年'!H31</f>
        <v>0</v>
      </c>
      <c r="I31" s="195">
        <f>'2023年'!I31</f>
        <v>0</v>
      </c>
      <c r="J31" s="195">
        <f>'2023年'!J31</f>
        <v>0</v>
      </c>
      <c r="K31" s="192"/>
      <c r="L31" s="2"/>
      <c r="M31" s="2"/>
      <c r="N31" s="2"/>
      <c r="P31" s="2"/>
      <c r="AG31" s="184" t="s">
        <v>31</v>
      </c>
      <c r="AH31" s="184" t="s">
        <v>82</v>
      </c>
    </row>
    <row r="32" spans="1:34">
      <c r="A32" s="178">
        <v>2</v>
      </c>
      <c r="B32" s="184" t="s">
        <v>164</v>
      </c>
      <c r="C32" s="187">
        <f>C9/C6</f>
        <v>1087.488</v>
      </c>
      <c r="D32" s="187">
        <f t="shared" ref="D32:J32" si="27">D9/D6</f>
        <v>433.152</v>
      </c>
      <c r="E32" s="187" t="e">
        <f t="shared" si="27"/>
        <v>#DIV/0!</v>
      </c>
      <c r="F32" s="187" t="e">
        <f t="shared" si="27"/>
        <v>#DIV/0!</v>
      </c>
      <c r="G32" s="187" t="e">
        <f t="shared" si="27"/>
        <v>#DIV/0!</v>
      </c>
      <c r="H32" s="187" t="e">
        <f t="shared" si="27"/>
        <v>#DIV/0!</v>
      </c>
      <c r="I32" s="187" t="e">
        <f t="shared" si="27"/>
        <v>#DIV/0!</v>
      </c>
      <c r="J32" s="187" t="e">
        <f t="shared" si="27"/>
        <v>#DIV/0!</v>
      </c>
      <c r="K32" s="192"/>
      <c r="L32" s="2"/>
      <c r="M32" s="2"/>
      <c r="N32" s="2"/>
      <c r="O32" s="2"/>
      <c r="P32" s="2"/>
      <c r="Q32" s="2"/>
      <c r="R32" s="2"/>
      <c r="AG32" s="184"/>
      <c r="AH32" s="184"/>
    </row>
    <row r="33" spans="1:34">
      <c r="A33" s="178">
        <v>3</v>
      </c>
      <c r="B33" s="190" t="s">
        <v>83</v>
      </c>
      <c r="C33" s="187">
        <f>'2024年'!C33*(1-0.01)</f>
        <v>713.113632</v>
      </c>
      <c r="D33" s="187">
        <f>'2024年'!D33*(1-0.01)</f>
        <v>386.041788</v>
      </c>
      <c r="E33" s="187">
        <f>'2024年'!E33*(1-0.01)</f>
        <v>0</v>
      </c>
      <c r="F33" s="187">
        <f>'2024年'!F33*(1-0.01)</f>
        <v>0</v>
      </c>
      <c r="G33" s="187">
        <f>'2024年'!G33*(1-0.01)</f>
        <v>0</v>
      </c>
      <c r="H33" s="187">
        <f>'2024年'!H33*(1-0.01)</f>
        <v>0</v>
      </c>
      <c r="I33" s="187">
        <f>'2024年'!I33*(1-0.01)</f>
        <v>0</v>
      </c>
      <c r="J33" s="187">
        <f>'2024年'!J33*(1-0.01)</f>
        <v>0</v>
      </c>
      <c r="K33" s="192"/>
      <c r="M33" s="2"/>
      <c r="N33" s="2"/>
      <c r="O33" s="2"/>
      <c r="P33" s="2"/>
      <c r="Q33" s="2"/>
      <c r="R33" s="2"/>
      <c r="AG33" s="184" t="s">
        <v>33</v>
      </c>
      <c r="AH33" s="184" t="s">
        <v>83</v>
      </c>
    </row>
    <row r="34" ht="17.25" customHeight="1" spans="1:34">
      <c r="A34" s="178">
        <v>4</v>
      </c>
      <c r="B34" s="184" t="s">
        <v>85</v>
      </c>
      <c r="C34" s="196">
        <f>C32-C33</f>
        <v>374.374368</v>
      </c>
      <c r="D34" s="196">
        <f t="shared" ref="D34:J34" si="28">D32-D33</f>
        <v>47.110212</v>
      </c>
      <c r="E34" s="196" t="e">
        <f t="shared" si="28"/>
        <v>#DIV/0!</v>
      </c>
      <c r="F34" s="196" t="e">
        <f t="shared" si="28"/>
        <v>#DIV/0!</v>
      </c>
      <c r="G34" s="196" t="e">
        <f t="shared" si="28"/>
        <v>#DIV/0!</v>
      </c>
      <c r="H34" s="196" t="e">
        <f t="shared" si="28"/>
        <v>#DIV/0!</v>
      </c>
      <c r="I34" s="196" t="e">
        <f t="shared" si="28"/>
        <v>#DIV/0!</v>
      </c>
      <c r="J34" s="196" t="e">
        <f t="shared" si="28"/>
        <v>#DIV/0!</v>
      </c>
      <c r="K34" s="192"/>
      <c r="M34" s="2"/>
      <c r="N34" s="2"/>
      <c r="O34" s="2"/>
      <c r="P34" s="2"/>
      <c r="Q34" s="2"/>
      <c r="R34" s="2"/>
      <c r="AG34" s="184" t="s">
        <v>84</v>
      </c>
      <c r="AH34" s="184" t="s">
        <v>85</v>
      </c>
    </row>
    <row r="35" spans="1:34">
      <c r="A35" s="184" t="s">
        <v>81</v>
      </c>
      <c r="B35" s="188" t="s">
        <v>10</v>
      </c>
      <c r="C35" s="192"/>
      <c r="D35" s="192"/>
      <c r="E35" s="192"/>
      <c r="F35" s="192"/>
      <c r="G35" s="192"/>
      <c r="H35" s="192"/>
      <c r="I35" s="192"/>
      <c r="J35" s="192"/>
      <c r="K35" s="192"/>
      <c r="L35" s="2"/>
      <c r="M35" s="2"/>
      <c r="N35" s="2"/>
      <c r="O35" s="2"/>
      <c r="P35" s="2"/>
      <c r="Q35" s="2"/>
      <c r="R35" s="2"/>
      <c r="S35" s="2"/>
      <c r="AG35" s="184" t="s">
        <v>87</v>
      </c>
      <c r="AH35" s="188" t="s">
        <v>10</v>
      </c>
    </row>
    <row r="36" spans="1:34">
      <c r="A36" s="178">
        <v>1</v>
      </c>
      <c r="B36" s="184" t="s">
        <v>88</v>
      </c>
      <c r="C36" s="191">
        <f>'2023年'!C36</f>
        <v>66.3395839194973</v>
      </c>
      <c r="D36" s="191">
        <f>'2023年'!D36</f>
        <v>26.423393595054</v>
      </c>
      <c r="E36" s="191">
        <f>'2023年'!E36</f>
        <v>0</v>
      </c>
      <c r="F36" s="191">
        <f>'2023年'!F36</f>
        <v>0</v>
      </c>
      <c r="G36" s="191">
        <f>'2023年'!G36</f>
        <v>0</v>
      </c>
      <c r="H36" s="191">
        <f>'2023年'!H36</f>
        <v>0</v>
      </c>
      <c r="I36" s="191">
        <f>'2023年'!I36</f>
        <v>0</v>
      </c>
      <c r="J36" s="191">
        <f>'2023年'!J36</f>
        <v>0</v>
      </c>
      <c r="K36" s="195"/>
      <c r="L36" s="2"/>
      <c r="M36" s="2"/>
      <c r="N36" s="2"/>
      <c r="O36" s="2"/>
      <c r="P36" s="2"/>
      <c r="Q36" s="2"/>
      <c r="R36" s="2"/>
      <c r="S36" s="2"/>
      <c r="AG36" s="184" t="s">
        <v>84</v>
      </c>
      <c r="AH36" s="184" t="s">
        <v>88</v>
      </c>
    </row>
    <row r="37" spans="1:34">
      <c r="A37" s="178">
        <v>2</v>
      </c>
      <c r="B37" s="184" t="s">
        <v>89</v>
      </c>
      <c r="C37" s="191">
        <f>'2023年'!C37</f>
        <v>17.7896677292704</v>
      </c>
      <c r="D37" s="191">
        <f>'2023年'!D37</f>
        <v>7.085715112506</v>
      </c>
      <c r="E37" s="191">
        <f>'2023年'!E37</f>
        <v>0</v>
      </c>
      <c r="F37" s="191">
        <f>'2023年'!F37</f>
        <v>0</v>
      </c>
      <c r="G37" s="191">
        <f>'2023年'!G37</f>
        <v>0</v>
      </c>
      <c r="H37" s="191">
        <f>'2023年'!H37</f>
        <v>0</v>
      </c>
      <c r="I37" s="191">
        <f>'2023年'!I37</f>
        <v>0</v>
      </c>
      <c r="J37" s="191">
        <f>'2023年'!J37</f>
        <v>0</v>
      </c>
      <c r="K37" s="195"/>
      <c r="L37" s="2"/>
      <c r="M37" s="2"/>
      <c r="N37" s="2"/>
      <c r="O37" s="2"/>
      <c r="P37" s="2"/>
      <c r="Q37" s="2"/>
      <c r="R37" s="2"/>
      <c r="S37" s="2"/>
      <c r="AG37" s="184" t="s">
        <v>36</v>
      </c>
      <c r="AH37" s="184" t="s">
        <v>89</v>
      </c>
    </row>
    <row r="38" spans="1:34">
      <c r="A38" s="178">
        <v>3</v>
      </c>
      <c r="B38" s="184" t="s">
        <v>90</v>
      </c>
      <c r="C38" s="191">
        <f>'2023年'!C38</f>
        <v>47.2</v>
      </c>
      <c r="D38" s="191">
        <f>'2023年'!D38</f>
        <v>18.8</v>
      </c>
      <c r="E38" s="191">
        <f>'2023年'!E38</f>
        <v>0</v>
      </c>
      <c r="F38" s="191">
        <f>'2023年'!F38</f>
        <v>0</v>
      </c>
      <c r="G38" s="191">
        <f>'2023年'!G38</f>
        <v>0</v>
      </c>
      <c r="H38" s="191">
        <f>'2023年'!H38</f>
        <v>0</v>
      </c>
      <c r="I38" s="191">
        <f>'2023年'!I38</f>
        <v>0</v>
      </c>
      <c r="J38" s="191">
        <f>'2023年'!J38</f>
        <v>0</v>
      </c>
      <c r="K38" s="195"/>
      <c r="L38" s="2"/>
      <c r="M38" s="2"/>
      <c r="N38" s="2"/>
      <c r="O38" s="2"/>
      <c r="P38" s="2"/>
      <c r="Q38" s="2"/>
      <c r="R38" s="2"/>
      <c r="S38" s="2"/>
      <c r="AG38" s="184" t="s">
        <v>42</v>
      </c>
      <c r="AH38" s="184" t="s">
        <v>90</v>
      </c>
    </row>
    <row r="39" spans="1:34">
      <c r="A39" s="184" t="s">
        <v>87</v>
      </c>
      <c r="B39" s="188" t="s">
        <v>92</v>
      </c>
      <c r="C39" s="192"/>
      <c r="D39" s="192"/>
      <c r="E39" s="192"/>
      <c r="F39" s="192"/>
      <c r="G39" s="192"/>
      <c r="H39" s="192"/>
      <c r="I39" s="192"/>
      <c r="J39" s="192"/>
      <c r="K39" s="192"/>
      <c r="AG39" s="184" t="s">
        <v>91</v>
      </c>
      <c r="AH39" s="188" t="s">
        <v>92</v>
      </c>
    </row>
    <row r="40" spans="1:34">
      <c r="A40" s="178">
        <v>1</v>
      </c>
      <c r="B40" s="184" t="s">
        <v>93</v>
      </c>
      <c r="C40" s="192">
        <f>C34-C36-C37-C38</f>
        <v>243.045116351232</v>
      </c>
      <c r="D40" s="192">
        <f t="shared" ref="D40:J40" si="29">D34-D36-D37-D38</f>
        <v>-5.19889670756003</v>
      </c>
      <c r="E40" s="192" t="e">
        <f t="shared" si="29"/>
        <v>#DIV/0!</v>
      </c>
      <c r="F40" s="192" t="e">
        <f t="shared" si="29"/>
        <v>#DIV/0!</v>
      </c>
      <c r="G40" s="192" t="e">
        <f t="shared" si="29"/>
        <v>#DIV/0!</v>
      </c>
      <c r="H40" s="192" t="e">
        <f t="shared" si="29"/>
        <v>#DIV/0!</v>
      </c>
      <c r="I40" s="192" t="e">
        <f t="shared" si="29"/>
        <v>#DIV/0!</v>
      </c>
      <c r="J40" s="192" t="e">
        <f t="shared" si="29"/>
        <v>#DIV/0!</v>
      </c>
      <c r="K40" s="192"/>
      <c r="AG40" s="184" t="s">
        <v>31</v>
      </c>
      <c r="AH40" s="184" t="s">
        <v>93</v>
      </c>
    </row>
    <row r="41" spans="1:34">
      <c r="A41" s="178">
        <v>2</v>
      </c>
      <c r="B41" s="184" t="s">
        <v>94</v>
      </c>
      <c r="C41" s="192"/>
      <c r="D41" s="192"/>
      <c r="E41" s="192"/>
      <c r="F41" s="192"/>
      <c r="G41" s="192"/>
      <c r="H41" s="192"/>
      <c r="I41" s="192"/>
      <c r="J41" s="192"/>
      <c r="K41" s="192"/>
      <c r="AG41" s="184" t="s">
        <v>33</v>
      </c>
      <c r="AH41" s="184" t="s">
        <v>94</v>
      </c>
    </row>
    <row r="42" spans="1:34">
      <c r="A42" s="184" t="s">
        <v>91</v>
      </c>
      <c r="B42" s="188" t="s">
        <v>96</v>
      </c>
      <c r="C42" s="192"/>
      <c r="D42" s="192"/>
      <c r="E42" s="192"/>
      <c r="F42" s="192"/>
      <c r="G42" s="192"/>
      <c r="H42" s="192"/>
      <c r="I42" s="192"/>
      <c r="J42" s="192"/>
      <c r="K42" s="192"/>
      <c r="AG42" s="184" t="s">
        <v>95</v>
      </c>
      <c r="AH42" s="188" t="s">
        <v>96</v>
      </c>
    </row>
    <row r="43" spans="1:34">
      <c r="A43" s="178">
        <v>1</v>
      </c>
      <c r="B43" s="193" t="s">
        <v>97</v>
      </c>
      <c r="C43" s="191">
        <f>'2023年'!C43</f>
        <v>53.1</v>
      </c>
      <c r="D43" s="191">
        <f>'2023年'!D43</f>
        <v>21.15</v>
      </c>
      <c r="E43" s="191">
        <f>'2023年'!E43</f>
        <v>0</v>
      </c>
      <c r="F43" s="191">
        <f>'2023年'!F43</f>
        <v>0</v>
      </c>
      <c r="G43" s="191">
        <f>'2023年'!G43</f>
        <v>0</v>
      </c>
      <c r="H43" s="191">
        <f>'2023年'!H43</f>
        <v>0</v>
      </c>
      <c r="I43" s="191">
        <f>'2023年'!I43</f>
        <v>0</v>
      </c>
      <c r="J43" s="191">
        <f>'2023年'!J43</f>
        <v>0</v>
      </c>
      <c r="K43" s="192"/>
      <c r="AG43" s="184" t="s">
        <v>31</v>
      </c>
      <c r="AH43" s="184" t="s">
        <v>97</v>
      </c>
    </row>
    <row r="44" spans="1:34">
      <c r="A44" s="178">
        <v>2</v>
      </c>
      <c r="B44" s="193" t="s">
        <v>98</v>
      </c>
      <c r="C44" s="191">
        <f>'2023年'!C44</f>
        <v>8.26</v>
      </c>
      <c r="D44" s="191">
        <f>'2023年'!D44</f>
        <v>3.29</v>
      </c>
      <c r="E44" s="191">
        <f>'2023年'!E44</f>
        <v>0</v>
      </c>
      <c r="F44" s="191">
        <f>'2023年'!F44</f>
        <v>0</v>
      </c>
      <c r="G44" s="191">
        <f>'2023年'!G44</f>
        <v>0</v>
      </c>
      <c r="H44" s="191">
        <f>'2023年'!H44</f>
        <v>0</v>
      </c>
      <c r="I44" s="191">
        <f>'2023年'!I44</f>
        <v>0</v>
      </c>
      <c r="J44" s="191">
        <f>'2023年'!J44</f>
        <v>0</v>
      </c>
      <c r="K44" s="192"/>
      <c r="AG44" s="184" t="s">
        <v>33</v>
      </c>
      <c r="AH44" s="184" t="s">
        <v>98</v>
      </c>
    </row>
    <row r="45" spans="1:34">
      <c r="A45" s="178">
        <v>3</v>
      </c>
      <c r="B45" s="193" t="s">
        <v>99</v>
      </c>
      <c r="C45" s="191">
        <f>'2023年'!C45</f>
        <v>47.2</v>
      </c>
      <c r="D45" s="191">
        <f>'2023年'!D45</f>
        <v>18.8</v>
      </c>
      <c r="E45" s="191">
        <f>'2023年'!E45</f>
        <v>0</v>
      </c>
      <c r="F45" s="191">
        <f>'2023年'!F45</f>
        <v>0</v>
      </c>
      <c r="G45" s="191">
        <f>'2023年'!G45</f>
        <v>0</v>
      </c>
      <c r="H45" s="191">
        <f>'2023年'!H45</f>
        <v>0</v>
      </c>
      <c r="I45" s="191">
        <f>'2023年'!I45</f>
        <v>0</v>
      </c>
      <c r="J45" s="191">
        <f>'2023年'!J45</f>
        <v>0</v>
      </c>
      <c r="K45" s="192"/>
      <c r="AG45" s="184" t="s">
        <v>84</v>
      </c>
      <c r="AH45" s="184" t="s">
        <v>99</v>
      </c>
    </row>
    <row r="46" s="175" customFormat="1" spans="1:34">
      <c r="A46" s="178">
        <v>4</v>
      </c>
      <c r="B46" s="193" t="s">
        <v>100</v>
      </c>
      <c r="C46" s="197">
        <f>C21/C6</f>
        <v>10.8333333333333</v>
      </c>
      <c r="D46" s="197">
        <f t="shared" ref="D46:J46" si="30">D21/D6</f>
        <v>10.8333333333333</v>
      </c>
      <c r="E46" s="197" t="e">
        <f t="shared" si="30"/>
        <v>#DIV/0!</v>
      </c>
      <c r="F46" s="197" t="e">
        <f t="shared" si="30"/>
        <v>#DIV/0!</v>
      </c>
      <c r="G46" s="197" t="e">
        <f t="shared" si="30"/>
        <v>#DIV/0!</v>
      </c>
      <c r="H46" s="197" t="e">
        <f t="shared" si="30"/>
        <v>#DIV/0!</v>
      </c>
      <c r="I46" s="197" t="e">
        <f t="shared" si="30"/>
        <v>#DIV/0!</v>
      </c>
      <c r="J46" s="197" t="e">
        <f t="shared" si="30"/>
        <v>#DIV/0!</v>
      </c>
      <c r="K46" s="197"/>
      <c r="AG46" s="193" t="s">
        <v>39</v>
      </c>
      <c r="AH46" s="193" t="s">
        <v>102</v>
      </c>
    </row>
    <row r="47" s="175" customFormat="1" spans="1:34">
      <c r="A47" s="178">
        <v>5</v>
      </c>
      <c r="B47" s="193" t="s">
        <v>102</v>
      </c>
      <c r="C47" s="197">
        <f>'2023年'!C47</f>
        <v>25.134</v>
      </c>
      <c r="D47" s="197">
        <f>'2023年'!D47</f>
        <v>10.011</v>
      </c>
      <c r="E47" s="197">
        <f>'2023年'!E47</f>
        <v>0</v>
      </c>
      <c r="F47" s="197">
        <f>'2023年'!F47</f>
        <v>0</v>
      </c>
      <c r="G47" s="197">
        <f>'2023年'!G47</f>
        <v>0</v>
      </c>
      <c r="H47" s="197">
        <f>'2023年'!H47</f>
        <v>0</v>
      </c>
      <c r="I47" s="197">
        <f>'2023年'!I47</f>
        <v>0</v>
      </c>
      <c r="J47" s="197">
        <f>'2023年'!J47</f>
        <v>0</v>
      </c>
      <c r="K47" s="197"/>
      <c r="AG47" s="193" t="s">
        <v>39</v>
      </c>
      <c r="AH47" s="193" t="s">
        <v>102</v>
      </c>
    </row>
    <row r="48" spans="1:34">
      <c r="A48" s="184" t="s">
        <v>95</v>
      </c>
      <c r="B48" s="188" t="s">
        <v>113</v>
      </c>
      <c r="C48" s="192">
        <f>C40-C43-C44-C45-C47-C46</f>
        <v>98.517783017899</v>
      </c>
      <c r="D48" s="192">
        <f t="shared" ref="D48:J48" si="31">D40-D43-D44-D45-D47-D46</f>
        <v>-69.2832300408934</v>
      </c>
      <c r="E48" s="192" t="e">
        <f t="shared" si="31"/>
        <v>#DIV/0!</v>
      </c>
      <c r="F48" s="192" t="e">
        <f t="shared" si="31"/>
        <v>#DIV/0!</v>
      </c>
      <c r="G48" s="192" t="e">
        <f t="shared" si="31"/>
        <v>#DIV/0!</v>
      </c>
      <c r="H48" s="192" t="e">
        <f t="shared" si="31"/>
        <v>#DIV/0!</v>
      </c>
      <c r="I48" s="192" t="e">
        <f t="shared" si="31"/>
        <v>#DIV/0!</v>
      </c>
      <c r="J48" s="192" t="e">
        <f t="shared" si="31"/>
        <v>#DIV/0!</v>
      </c>
      <c r="K48" s="192"/>
      <c r="AG48" s="184" t="s">
        <v>112</v>
      </c>
      <c r="AH48" s="188" t="s">
        <v>113</v>
      </c>
    </row>
    <row r="51" spans="3:10">
      <c r="C51" s="198"/>
      <c r="D51" s="198"/>
      <c r="E51" s="198"/>
      <c r="F51" s="198"/>
      <c r="G51" s="198"/>
      <c r="H51" s="198"/>
      <c r="I51" s="198"/>
      <c r="J51" s="198"/>
    </row>
    <row r="54" spans="2:16">
      <c r="B54" s="2"/>
      <c r="C54" s="28"/>
      <c r="D54" s="28"/>
      <c r="E54" s="28"/>
      <c r="F54" s="28"/>
      <c r="G54" s="28"/>
      <c r="H54" s="28"/>
      <c r="I54" s="28"/>
      <c r="J54" s="28"/>
      <c r="K54" s="28"/>
      <c r="L54" s="2"/>
      <c r="M54" s="2"/>
      <c r="N54" s="2"/>
      <c r="O54" s="2"/>
      <c r="P54" s="2"/>
    </row>
    <row r="55" spans="2:16">
      <c r="B55" s="2"/>
      <c r="C55" s="28"/>
      <c r="D55" s="28"/>
      <c r="E55" s="28"/>
      <c r="F55" s="28"/>
      <c r="G55" s="28"/>
      <c r="H55" s="28"/>
      <c r="I55" s="28"/>
      <c r="J55" s="28"/>
      <c r="K55" s="28"/>
      <c r="L55" s="2"/>
      <c r="M55" s="2"/>
      <c r="N55" s="2"/>
      <c r="O55" s="2"/>
      <c r="P55" s="2"/>
    </row>
    <row r="56" spans="2:16">
      <c r="B56" s="2"/>
      <c r="C56" s="28"/>
      <c r="D56" s="28"/>
      <c r="E56" s="28"/>
      <c r="F56" s="28"/>
      <c r="G56" s="28"/>
      <c r="H56" s="28"/>
      <c r="I56" s="28"/>
      <c r="J56" s="28"/>
      <c r="K56" s="28"/>
      <c r="L56" s="2"/>
      <c r="M56" s="2"/>
      <c r="N56" s="2"/>
      <c r="O56" s="2"/>
      <c r="P56" s="2"/>
    </row>
    <row r="57" spans="2:16">
      <c r="B57" s="2"/>
      <c r="C57" s="28"/>
      <c r="D57" s="28"/>
      <c r="E57" s="28"/>
      <c r="F57" s="28"/>
      <c r="G57" s="28"/>
      <c r="H57" s="28"/>
      <c r="I57" s="28"/>
      <c r="J57" s="28"/>
      <c r="K57" s="28"/>
      <c r="L57" s="2"/>
      <c r="M57" s="2"/>
      <c r="N57" s="2"/>
      <c r="O57" s="2"/>
      <c r="P57" s="2"/>
    </row>
    <row r="58" spans="2:16">
      <c r="B58" s="2"/>
      <c r="C58" s="28"/>
      <c r="D58" s="28"/>
      <c r="E58" s="28"/>
      <c r="F58" s="28"/>
      <c r="G58" s="28"/>
      <c r="H58" s="28"/>
      <c r="I58" s="28"/>
      <c r="J58" s="28"/>
      <c r="K58" s="28"/>
      <c r="L58" s="2"/>
      <c r="M58" s="2"/>
      <c r="N58" s="2"/>
      <c r="O58" s="2"/>
      <c r="P58" s="2"/>
    </row>
    <row r="59" spans="2:16">
      <c r="B59" s="2"/>
      <c r="C59" s="28"/>
      <c r="D59" s="28"/>
      <c r="E59" s="28"/>
      <c r="F59" s="28"/>
      <c r="G59" s="28"/>
      <c r="H59" s="28"/>
      <c r="I59" s="28"/>
      <c r="J59" s="28"/>
      <c r="K59" s="28"/>
      <c r="L59" s="2"/>
      <c r="M59" s="2"/>
      <c r="N59" s="2"/>
      <c r="O59" s="2"/>
      <c r="P59" s="2"/>
    </row>
    <row r="60" spans="2:16">
      <c r="B60" s="2"/>
      <c r="C60" s="28"/>
      <c r="D60" s="28"/>
      <c r="E60" s="28"/>
      <c r="F60" s="28"/>
      <c r="G60" s="28"/>
      <c r="H60" s="28"/>
      <c r="I60" s="28"/>
      <c r="J60" s="28"/>
      <c r="K60" s="28"/>
      <c r="L60" s="2"/>
      <c r="M60" s="2"/>
      <c r="N60" s="2"/>
      <c r="O60" s="2"/>
      <c r="P60" s="2"/>
    </row>
    <row r="61" spans="2:16">
      <c r="B61" s="2"/>
      <c r="C61" s="28"/>
      <c r="D61" s="28"/>
      <c r="E61" s="28"/>
      <c r="F61" s="28"/>
      <c r="G61" s="28"/>
      <c r="H61" s="28"/>
      <c r="I61" s="28"/>
      <c r="J61" s="28"/>
      <c r="K61" s="28"/>
      <c r="L61" s="2"/>
      <c r="M61" s="2"/>
      <c r="N61" s="2"/>
      <c r="O61" s="2"/>
      <c r="P61" s="2"/>
    </row>
    <row r="62" spans="2:16">
      <c r="B62" s="2"/>
      <c r="C62" s="28"/>
      <c r="D62" s="28"/>
      <c r="E62" s="28"/>
      <c r="F62" s="28"/>
      <c r="G62" s="28"/>
      <c r="H62" s="28"/>
      <c r="I62" s="28"/>
      <c r="J62" s="28"/>
      <c r="K62" s="28"/>
      <c r="L62" s="2"/>
      <c r="M62" s="2"/>
      <c r="N62" s="2"/>
      <c r="O62" s="2"/>
      <c r="P62" s="2"/>
    </row>
    <row r="63" spans="2:16">
      <c r="B63" s="2"/>
      <c r="C63" s="28"/>
      <c r="D63" s="28"/>
      <c r="E63" s="28"/>
      <c r="F63" s="28"/>
      <c r="G63" s="28"/>
      <c r="H63" s="28"/>
      <c r="I63" s="28"/>
      <c r="J63" s="28"/>
      <c r="K63" s="28"/>
      <c r="L63" s="2"/>
      <c r="M63" s="2"/>
      <c r="N63" s="2"/>
      <c r="O63" s="2"/>
      <c r="P63" s="2"/>
    </row>
    <row r="64" spans="2:16">
      <c r="B64" s="2"/>
      <c r="C64" s="28"/>
      <c r="D64" s="28"/>
      <c r="E64" s="28"/>
      <c r="F64" s="28"/>
      <c r="G64" s="28"/>
      <c r="H64" s="28"/>
      <c r="I64" s="28"/>
      <c r="J64" s="28"/>
      <c r="K64" s="28"/>
      <c r="L64" s="2"/>
      <c r="M64" s="2"/>
      <c r="N64" s="2"/>
      <c r="O64" s="2"/>
      <c r="P64" s="2"/>
    </row>
    <row r="65" spans="2:16">
      <c r="B65" s="2"/>
      <c r="C65" s="28"/>
      <c r="D65" s="28"/>
      <c r="E65" s="28"/>
      <c r="F65" s="28"/>
      <c r="G65" s="28"/>
      <c r="H65" s="28"/>
      <c r="I65" s="28"/>
      <c r="J65" s="28"/>
      <c r="K65" s="28"/>
      <c r="L65" s="2"/>
      <c r="M65" s="2"/>
      <c r="N65" s="2"/>
      <c r="O65" s="2"/>
      <c r="P65" s="2"/>
    </row>
    <row r="66" spans="2:16">
      <c r="B66" s="2"/>
      <c r="C66" s="28"/>
      <c r="D66" s="28"/>
      <c r="E66" s="28"/>
      <c r="F66" s="28"/>
      <c r="G66" s="28"/>
      <c r="H66" s="28"/>
      <c r="I66" s="28"/>
      <c r="J66" s="28"/>
      <c r="K66" s="28"/>
      <c r="L66" s="2"/>
      <c r="M66" s="2"/>
      <c r="N66" s="2"/>
      <c r="O66" s="2"/>
      <c r="P66" s="2"/>
    </row>
    <row r="67" spans="2:12">
      <c r="B67" s="2"/>
      <c r="C67" s="28"/>
      <c r="D67" s="28"/>
      <c r="E67" s="28"/>
      <c r="F67" s="28"/>
      <c r="G67" s="28"/>
      <c r="H67" s="28"/>
      <c r="I67" s="28"/>
      <c r="J67" s="28"/>
      <c r="K67" s="28"/>
      <c r="L67" s="2"/>
    </row>
    <row r="68" spans="2:12">
      <c r="B68" s="2"/>
      <c r="C68" s="28"/>
      <c r="D68" s="28"/>
      <c r="E68" s="28"/>
      <c r="F68" s="28"/>
      <c r="G68" s="28"/>
      <c r="H68" s="28"/>
      <c r="I68" s="28"/>
      <c r="J68" s="28"/>
      <c r="K68" s="28"/>
      <c r="L68" s="2"/>
    </row>
    <row r="69" spans="2:12">
      <c r="B69" s="2"/>
      <c r="C69" s="28"/>
      <c r="D69" s="28"/>
      <c r="E69" s="28"/>
      <c r="F69" s="28"/>
      <c r="G69" s="28"/>
      <c r="H69" s="28"/>
      <c r="I69" s="28"/>
      <c r="J69" s="28"/>
      <c r="K69" s="28"/>
      <c r="L69" s="2"/>
    </row>
    <row r="70" spans="2:12">
      <c r="B70" s="2"/>
      <c r="C70" s="28"/>
      <c r="D70" s="28"/>
      <c r="E70" s="28"/>
      <c r="F70" s="28"/>
      <c r="G70" s="28"/>
      <c r="H70" s="28"/>
      <c r="I70" s="28"/>
      <c r="J70" s="28"/>
      <c r="K70" s="28"/>
      <c r="L70" s="2"/>
    </row>
    <row r="71" spans="2:12">
      <c r="B71" s="2"/>
      <c r="C71" s="28"/>
      <c r="D71" s="28"/>
      <c r="E71" s="28"/>
      <c r="F71" s="28"/>
      <c r="G71" s="28"/>
      <c r="H71" s="28"/>
      <c r="I71" s="28"/>
      <c r="J71" s="28"/>
      <c r="K71" s="28"/>
      <c r="L71" s="2"/>
    </row>
    <row r="72" spans="2:12">
      <c r="B72" s="2"/>
      <c r="C72" s="28"/>
      <c r="D72" s="28"/>
      <c r="E72" s="28"/>
      <c r="F72" s="28"/>
      <c r="G72" s="28"/>
      <c r="H72" s="28"/>
      <c r="I72" s="28"/>
      <c r="J72" s="28"/>
      <c r="K72" s="28"/>
      <c r="L72" s="2"/>
    </row>
    <row r="73" spans="2:12">
      <c r="B73" s="2"/>
      <c r="C73" s="28"/>
      <c r="D73" s="28"/>
      <c r="E73" s="28"/>
      <c r="F73" s="28"/>
      <c r="G73" s="28"/>
      <c r="H73" s="28"/>
      <c r="I73" s="28"/>
      <c r="J73" s="28"/>
      <c r="K73" s="28"/>
      <c r="L73" s="2"/>
    </row>
    <row r="74" spans="2:12">
      <c r="B74" s="2"/>
      <c r="C74" s="28"/>
      <c r="D74" s="28"/>
      <c r="E74" s="28"/>
      <c r="F74" s="28"/>
      <c r="G74" s="28"/>
      <c r="H74" s="28"/>
      <c r="I74" s="28"/>
      <c r="J74" s="28"/>
      <c r="K74" s="28"/>
      <c r="L74" s="2"/>
    </row>
  </sheetData>
  <mergeCells count="8">
    <mergeCell ref="A1:B1"/>
    <mergeCell ref="C1:K1"/>
    <mergeCell ref="A2:B2"/>
    <mergeCell ref="C2:K2"/>
    <mergeCell ref="A3:B3"/>
    <mergeCell ref="A4:B4"/>
    <mergeCell ref="A5:B5"/>
    <mergeCell ref="K3:K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D35" sqref="D35"/>
    </sheetView>
  </sheetViews>
  <sheetFormatPr defaultColWidth="9" defaultRowHeight="14.5"/>
  <cols>
    <col min="1" max="1" width="5.12727272727273" style="176" customWidth="1"/>
    <col min="2" max="2" width="17.5" style="176" customWidth="1"/>
    <col min="3" max="10" width="13.2545454545455" style="177" customWidth="1"/>
    <col min="11" max="11" width="18.7545454545455" style="177" customWidth="1"/>
    <col min="12" max="12" width="12.3727272727273" style="176" customWidth="1"/>
    <col min="13" max="13" width="10.1272727272727" style="176" customWidth="1"/>
    <col min="14" max="20" width="9" style="176" customWidth="1"/>
    <col min="21" max="37" width="9" style="176"/>
    <col min="38" max="38" width="4.37272727272727" style="176" customWidth="1"/>
    <col min="39" max="39" width="13.8727272727273" style="176" customWidth="1"/>
    <col min="40" max="16384" width="9" style="176"/>
  </cols>
  <sheetData>
    <row r="1" spans="1:11">
      <c r="A1" s="178" t="s">
        <v>153</v>
      </c>
      <c r="B1" s="178"/>
      <c r="C1" s="179" t="s">
        <v>168</v>
      </c>
      <c r="D1" s="180"/>
      <c r="E1" s="180"/>
      <c r="F1" s="180"/>
      <c r="G1" s="180"/>
      <c r="H1" s="180"/>
      <c r="I1" s="180"/>
      <c r="J1" s="180"/>
      <c r="K1" s="199"/>
    </row>
    <row r="2" spans="1:11">
      <c r="A2" s="178" t="s">
        <v>155</v>
      </c>
      <c r="B2" s="178"/>
      <c r="C2" s="181" t="str">
        <f>'2023年'!C2:K2</f>
        <v>中国重汽济宁商用车有限公司</v>
      </c>
      <c r="D2" s="181"/>
      <c r="E2" s="181"/>
      <c r="F2" s="181"/>
      <c r="G2" s="181"/>
      <c r="H2" s="181"/>
      <c r="I2" s="181"/>
      <c r="J2" s="181"/>
      <c r="K2" s="181"/>
    </row>
    <row r="3" ht="39" spans="1:11">
      <c r="A3" s="178" t="s">
        <v>157</v>
      </c>
      <c r="B3" s="178"/>
      <c r="C3" s="182" t="str">
        <f>'2023年'!C3</f>
        <v>MAX左座椅总成（TX平台 空气减震）</v>
      </c>
      <c r="D3" s="182" t="str">
        <f>'2023年'!D3</f>
        <v>MAX右座椅总成（TX平台 简易版 无</v>
      </c>
      <c r="E3" s="182">
        <f>'2023年'!E3</f>
        <v>0</v>
      </c>
      <c r="F3" s="182">
        <f>'2023年'!F3</f>
        <v>0</v>
      </c>
      <c r="G3" s="182">
        <f>'2023年'!G3</f>
        <v>0</v>
      </c>
      <c r="H3" s="182">
        <f>'2023年'!H3</f>
        <v>0</v>
      </c>
      <c r="I3" s="182">
        <f>'2023年'!I3</f>
        <v>0</v>
      </c>
      <c r="J3" s="182">
        <f>'2023年'!J3</f>
        <v>0</v>
      </c>
      <c r="K3" s="200" t="s">
        <v>27</v>
      </c>
    </row>
    <row r="4" ht="26" spans="1:11">
      <c r="A4" s="178" t="s">
        <v>158</v>
      </c>
      <c r="B4" s="178"/>
      <c r="C4" s="182" t="str">
        <f>'2023年'!C4</f>
        <v>YZ167151000039</v>
      </c>
      <c r="D4" s="182" t="str">
        <f>'2023年'!D4</f>
        <v>YZ167151000040</v>
      </c>
      <c r="E4" s="182">
        <f>'2023年'!E4</f>
        <v>0</v>
      </c>
      <c r="F4" s="182">
        <f>'2023年'!F4</f>
        <v>0</v>
      </c>
      <c r="G4" s="182">
        <f>'2023年'!G4</f>
        <v>0</v>
      </c>
      <c r="H4" s="182">
        <f>'2023年'!H4</f>
        <v>0</v>
      </c>
      <c r="I4" s="182">
        <f>'2023年'!I4</f>
        <v>0</v>
      </c>
      <c r="J4" s="182">
        <f>'2023年'!J4</f>
        <v>0</v>
      </c>
      <c r="K4" s="201"/>
    </row>
    <row r="5" spans="1:40">
      <c r="A5" s="178" t="s">
        <v>159</v>
      </c>
      <c r="B5" s="178"/>
      <c r="C5" s="183"/>
      <c r="D5" s="183"/>
      <c r="E5" s="183"/>
      <c r="F5" s="183"/>
      <c r="G5" s="183"/>
      <c r="H5" s="183"/>
      <c r="I5" s="183"/>
      <c r="J5" s="183"/>
      <c r="K5" s="202"/>
      <c r="AN5" s="176" t="s">
        <v>28</v>
      </c>
    </row>
    <row r="6" ht="16.5" spans="1:40">
      <c r="A6" s="184" t="s">
        <v>21</v>
      </c>
      <c r="B6" s="185" t="s">
        <v>160</v>
      </c>
      <c r="C6" s="186"/>
      <c r="D6" s="186"/>
      <c r="E6" s="186">
        <f>销量!E12</f>
        <v>0</v>
      </c>
      <c r="F6" s="186">
        <f>销量!F12</f>
        <v>0</v>
      </c>
      <c r="G6" s="186">
        <f>销量!G12</f>
        <v>0</v>
      </c>
      <c r="H6" s="186">
        <f>销量!H12</f>
        <v>0</v>
      </c>
      <c r="I6" s="186">
        <f>销量!I12</f>
        <v>0</v>
      </c>
      <c r="J6" s="186">
        <f>销量!J12</f>
        <v>0</v>
      </c>
      <c r="K6" s="187">
        <f>SUM(C6:J6)</f>
        <v>0</v>
      </c>
      <c r="V6" s="185" t="s">
        <v>3</v>
      </c>
      <c r="AL6" s="184" t="s">
        <v>21</v>
      </c>
      <c r="AM6" s="185" t="s">
        <v>3</v>
      </c>
      <c r="AN6" s="176" t="s">
        <v>29</v>
      </c>
    </row>
    <row r="7" spans="1:40">
      <c r="A7" s="178">
        <v>1</v>
      </c>
      <c r="B7" s="185" t="s">
        <v>30</v>
      </c>
      <c r="C7" s="187">
        <f>C6*销量!C8</f>
        <v>0</v>
      </c>
      <c r="D7" s="187">
        <f>D6*销量!D8</f>
        <v>0</v>
      </c>
      <c r="E7" s="187">
        <f>E6*销量!E8</f>
        <v>0</v>
      </c>
      <c r="F7" s="187">
        <f>F6*销量!F8</f>
        <v>0</v>
      </c>
      <c r="G7" s="187">
        <f>G6*销量!G8</f>
        <v>0</v>
      </c>
      <c r="H7" s="187">
        <f>H6*销量!H8</f>
        <v>0</v>
      </c>
      <c r="I7" s="187">
        <f>I6*销量!I8</f>
        <v>0</v>
      </c>
      <c r="J7" s="187">
        <f>J6*销量!J8</f>
        <v>0</v>
      </c>
      <c r="K7" s="187">
        <f t="shared" ref="K7:K22" si="0">SUM(C7:J7)</f>
        <v>0</v>
      </c>
      <c r="L7" s="177"/>
      <c r="V7" s="185" t="s">
        <v>30</v>
      </c>
      <c r="AL7" s="184" t="s">
        <v>31</v>
      </c>
      <c r="AM7" s="185" t="s">
        <v>30</v>
      </c>
      <c r="AN7" s="176" t="s">
        <v>29</v>
      </c>
    </row>
    <row r="8" spans="1:40">
      <c r="A8" s="178">
        <v>2</v>
      </c>
      <c r="B8" s="178" t="s">
        <v>32</v>
      </c>
      <c r="C8" s="187">
        <f>C7*(1-销量!$O$9)</f>
        <v>0</v>
      </c>
      <c r="D8" s="187">
        <f>D7*(1-销量!$O$9)</f>
        <v>0</v>
      </c>
      <c r="E8" s="187">
        <f>E7*(1-销量!$O$9)</f>
        <v>0</v>
      </c>
      <c r="F8" s="187">
        <f>F7*(1-销量!$O$9)</f>
        <v>0</v>
      </c>
      <c r="G8" s="187">
        <f>G7*(1-销量!$O$9)</f>
        <v>0</v>
      </c>
      <c r="H8" s="187">
        <f>H7*(1-销量!$O$9)</f>
        <v>0</v>
      </c>
      <c r="I8" s="187">
        <f>I7*(1-销量!$O$9)</f>
        <v>0</v>
      </c>
      <c r="J8" s="187">
        <f>J7*(1-销量!$O$9)</f>
        <v>0</v>
      </c>
      <c r="K8" s="187">
        <f t="shared" si="0"/>
        <v>0</v>
      </c>
      <c r="L8" s="203"/>
      <c r="V8" s="178" t="s">
        <v>34</v>
      </c>
      <c r="AL8" s="184" t="s">
        <v>33</v>
      </c>
      <c r="AM8" s="178" t="s">
        <v>34</v>
      </c>
      <c r="AN8" s="176" t="s">
        <v>29</v>
      </c>
    </row>
    <row r="9" spans="1:40">
      <c r="A9" s="178">
        <v>3</v>
      </c>
      <c r="B9" s="185" t="s">
        <v>35</v>
      </c>
      <c r="C9" s="187">
        <f>+C7-C8</f>
        <v>0</v>
      </c>
      <c r="D9" s="187">
        <f t="shared" ref="D9:J9" si="1">+D7-D8</f>
        <v>0</v>
      </c>
      <c r="E9" s="187">
        <f t="shared" si="1"/>
        <v>0</v>
      </c>
      <c r="F9" s="187">
        <f t="shared" si="1"/>
        <v>0</v>
      </c>
      <c r="G9" s="187">
        <f t="shared" si="1"/>
        <v>0</v>
      </c>
      <c r="H9" s="187">
        <f t="shared" si="1"/>
        <v>0</v>
      </c>
      <c r="I9" s="187">
        <f t="shared" si="1"/>
        <v>0</v>
      </c>
      <c r="J9" s="187">
        <f t="shared" si="1"/>
        <v>0</v>
      </c>
      <c r="K9" s="187">
        <f t="shared" si="0"/>
        <v>0</v>
      </c>
      <c r="V9" s="185" t="s">
        <v>35</v>
      </c>
      <c r="AL9" s="184" t="s">
        <v>36</v>
      </c>
      <c r="AM9" s="185" t="s">
        <v>35</v>
      </c>
      <c r="AN9" s="176" t="s">
        <v>37</v>
      </c>
    </row>
    <row r="10" spans="1:40">
      <c r="A10" s="178">
        <v>4</v>
      </c>
      <c r="B10" s="184" t="s">
        <v>38</v>
      </c>
      <c r="C10" s="187">
        <f>C6*C33</f>
        <v>0</v>
      </c>
      <c r="D10" s="187">
        <f t="shared" ref="D10:J10" si="2">D6*D33</f>
        <v>0</v>
      </c>
      <c r="E10" s="187">
        <f t="shared" si="2"/>
        <v>0</v>
      </c>
      <c r="F10" s="187">
        <f t="shared" si="2"/>
        <v>0</v>
      </c>
      <c r="G10" s="187">
        <f t="shared" si="2"/>
        <v>0</v>
      </c>
      <c r="H10" s="187">
        <f t="shared" si="2"/>
        <v>0</v>
      </c>
      <c r="I10" s="187">
        <f t="shared" si="2"/>
        <v>0</v>
      </c>
      <c r="J10" s="187">
        <f t="shared" si="2"/>
        <v>0</v>
      </c>
      <c r="K10" s="187">
        <f t="shared" si="0"/>
        <v>0</v>
      </c>
      <c r="V10" s="184" t="s">
        <v>38</v>
      </c>
      <c r="AL10" s="184" t="s">
        <v>39</v>
      </c>
      <c r="AM10" s="184" t="s">
        <v>38</v>
      </c>
      <c r="AN10" s="176" t="s">
        <v>40</v>
      </c>
    </row>
    <row r="11" spans="1:39">
      <c r="A11" s="178">
        <v>5</v>
      </c>
      <c r="B11" s="184" t="s">
        <v>41</v>
      </c>
      <c r="C11" s="187">
        <f>+C6*C36</f>
        <v>0</v>
      </c>
      <c r="D11" s="187">
        <f t="shared" ref="D11:J11" si="3">+D6*D36</f>
        <v>0</v>
      </c>
      <c r="E11" s="187">
        <f t="shared" si="3"/>
        <v>0</v>
      </c>
      <c r="F11" s="187">
        <f t="shared" si="3"/>
        <v>0</v>
      </c>
      <c r="G11" s="187">
        <f t="shared" si="3"/>
        <v>0</v>
      </c>
      <c r="H11" s="187">
        <f t="shared" si="3"/>
        <v>0</v>
      </c>
      <c r="I11" s="187">
        <f t="shared" si="3"/>
        <v>0</v>
      </c>
      <c r="J11" s="187">
        <f t="shared" si="3"/>
        <v>0</v>
      </c>
      <c r="K11" s="187">
        <f t="shared" si="0"/>
        <v>0</v>
      </c>
      <c r="V11" s="184" t="s">
        <v>41</v>
      </c>
      <c r="AL11" s="184" t="s">
        <v>42</v>
      </c>
      <c r="AM11" s="184" t="s">
        <v>41</v>
      </c>
    </row>
    <row r="12" spans="1:39">
      <c r="A12" s="178">
        <v>6</v>
      </c>
      <c r="B12" s="184" t="s">
        <v>43</v>
      </c>
      <c r="C12" s="187">
        <f>+C6*C37</f>
        <v>0</v>
      </c>
      <c r="D12" s="187">
        <f t="shared" ref="D12:J12" si="4">+D6*D37</f>
        <v>0</v>
      </c>
      <c r="E12" s="187">
        <f t="shared" si="4"/>
        <v>0</v>
      </c>
      <c r="F12" s="187">
        <f t="shared" si="4"/>
        <v>0</v>
      </c>
      <c r="G12" s="187">
        <f t="shared" si="4"/>
        <v>0</v>
      </c>
      <c r="H12" s="187">
        <f t="shared" si="4"/>
        <v>0</v>
      </c>
      <c r="I12" s="187">
        <f t="shared" si="4"/>
        <v>0</v>
      </c>
      <c r="J12" s="187">
        <f t="shared" si="4"/>
        <v>0</v>
      </c>
      <c r="K12" s="187">
        <f t="shared" si="0"/>
        <v>0</v>
      </c>
      <c r="V12" s="184" t="s">
        <v>43</v>
      </c>
      <c r="AL12" s="184" t="s">
        <v>44</v>
      </c>
      <c r="AM12" s="184" t="s">
        <v>43</v>
      </c>
    </row>
    <row r="13" spans="1:40">
      <c r="A13" s="178">
        <v>7</v>
      </c>
      <c r="B13" s="184" t="s">
        <v>45</v>
      </c>
      <c r="C13" s="187">
        <f>+C6*C38</f>
        <v>0</v>
      </c>
      <c r="D13" s="187">
        <f t="shared" ref="D13:J13" si="5">+D6*D38</f>
        <v>0</v>
      </c>
      <c r="E13" s="187">
        <f t="shared" si="5"/>
        <v>0</v>
      </c>
      <c r="F13" s="187">
        <f t="shared" si="5"/>
        <v>0</v>
      </c>
      <c r="G13" s="187">
        <f t="shared" si="5"/>
        <v>0</v>
      </c>
      <c r="H13" s="187">
        <f t="shared" si="5"/>
        <v>0</v>
      </c>
      <c r="I13" s="187">
        <f t="shared" si="5"/>
        <v>0</v>
      </c>
      <c r="J13" s="187">
        <f t="shared" si="5"/>
        <v>0</v>
      </c>
      <c r="K13" s="187">
        <f t="shared" si="0"/>
        <v>0</v>
      </c>
      <c r="V13" s="184" t="s">
        <v>45</v>
      </c>
      <c r="AL13" s="184" t="s">
        <v>46</v>
      </c>
      <c r="AM13" s="184" t="s">
        <v>45</v>
      </c>
      <c r="AN13" s="176" t="s">
        <v>29</v>
      </c>
    </row>
    <row r="14" spans="1:39">
      <c r="A14" s="178">
        <v>8</v>
      </c>
      <c r="B14" s="188" t="s">
        <v>47</v>
      </c>
      <c r="C14" s="187">
        <f>SUM(C11:C13)</f>
        <v>0</v>
      </c>
      <c r="D14" s="187">
        <f t="shared" ref="D14:J14" si="6">SUM(D11:D13)</f>
        <v>0</v>
      </c>
      <c r="E14" s="187">
        <f t="shared" si="6"/>
        <v>0</v>
      </c>
      <c r="F14" s="187">
        <f t="shared" si="6"/>
        <v>0</v>
      </c>
      <c r="G14" s="187">
        <f t="shared" si="6"/>
        <v>0</v>
      </c>
      <c r="H14" s="187">
        <f t="shared" si="6"/>
        <v>0</v>
      </c>
      <c r="I14" s="187">
        <f t="shared" si="6"/>
        <v>0</v>
      </c>
      <c r="J14" s="187">
        <f t="shared" si="6"/>
        <v>0</v>
      </c>
      <c r="K14" s="187">
        <f t="shared" si="0"/>
        <v>0</v>
      </c>
      <c r="V14" s="188" t="s">
        <v>47</v>
      </c>
      <c r="AL14" s="184" t="s">
        <v>48</v>
      </c>
      <c r="AM14" s="188" t="s">
        <v>47</v>
      </c>
    </row>
    <row r="15" spans="1:39">
      <c r="A15" s="178">
        <v>9</v>
      </c>
      <c r="B15" s="188" t="s">
        <v>49</v>
      </c>
      <c r="C15" s="187">
        <f>+C9-C10-C14</f>
        <v>0</v>
      </c>
      <c r="D15" s="187">
        <f t="shared" ref="D15:J15" si="7">+D9-D10-D14</f>
        <v>0</v>
      </c>
      <c r="E15" s="187">
        <f t="shared" si="7"/>
        <v>0</v>
      </c>
      <c r="F15" s="187">
        <f t="shared" si="7"/>
        <v>0</v>
      </c>
      <c r="G15" s="187">
        <f t="shared" si="7"/>
        <v>0</v>
      </c>
      <c r="H15" s="187">
        <f t="shared" si="7"/>
        <v>0</v>
      </c>
      <c r="I15" s="187">
        <f t="shared" si="7"/>
        <v>0</v>
      </c>
      <c r="J15" s="187">
        <f t="shared" si="7"/>
        <v>0</v>
      </c>
      <c r="K15" s="187">
        <f t="shared" si="0"/>
        <v>0</v>
      </c>
      <c r="V15" s="188" t="s">
        <v>49</v>
      </c>
      <c r="AL15" s="184" t="s">
        <v>50</v>
      </c>
      <c r="AM15" s="188" t="s">
        <v>49</v>
      </c>
    </row>
    <row r="16" spans="1:39">
      <c r="A16" s="178">
        <v>10</v>
      </c>
      <c r="B16" s="184" t="s">
        <v>51</v>
      </c>
      <c r="C16" s="189" t="e">
        <f>+C15/C9</f>
        <v>#DIV/0!</v>
      </c>
      <c r="D16" s="189" t="e">
        <f t="shared" ref="D16:J16" si="8">+D15/D9</f>
        <v>#DIV/0!</v>
      </c>
      <c r="E16" s="189" t="e">
        <f t="shared" si="8"/>
        <v>#DIV/0!</v>
      </c>
      <c r="F16" s="189" t="e">
        <f t="shared" si="8"/>
        <v>#DIV/0!</v>
      </c>
      <c r="G16" s="189" t="e">
        <f t="shared" si="8"/>
        <v>#DIV/0!</v>
      </c>
      <c r="H16" s="189" t="e">
        <f t="shared" si="8"/>
        <v>#DIV/0!</v>
      </c>
      <c r="I16" s="189" t="e">
        <f t="shared" si="8"/>
        <v>#DIV/0!</v>
      </c>
      <c r="J16" s="189" t="e">
        <f t="shared" si="8"/>
        <v>#DIV/0!</v>
      </c>
      <c r="K16" s="189" t="e">
        <f t="shared" ref="K16" si="9">+K15/K9</f>
        <v>#DIV/0!</v>
      </c>
      <c r="V16" s="184" t="s">
        <v>51</v>
      </c>
      <c r="AL16" s="184" t="s">
        <v>52</v>
      </c>
      <c r="AM16" s="184" t="s">
        <v>51</v>
      </c>
    </row>
    <row r="17" spans="1:39">
      <c r="A17" s="178">
        <v>11</v>
      </c>
      <c r="B17" s="184" t="s">
        <v>53</v>
      </c>
      <c r="C17" s="187" t="e">
        <f>C6*C43+C18</f>
        <v>#DIV/0!</v>
      </c>
      <c r="D17" s="187" t="e">
        <f t="shared" ref="D17:J17" si="10">D6*D43+D18</f>
        <v>#DIV/0!</v>
      </c>
      <c r="E17" s="187" t="e">
        <f t="shared" si="10"/>
        <v>#DIV/0!</v>
      </c>
      <c r="F17" s="187" t="e">
        <f t="shared" si="10"/>
        <v>#DIV/0!</v>
      </c>
      <c r="G17" s="187" t="e">
        <f t="shared" si="10"/>
        <v>#DIV/0!</v>
      </c>
      <c r="H17" s="187" t="e">
        <f t="shared" si="10"/>
        <v>#DIV/0!</v>
      </c>
      <c r="I17" s="187" t="e">
        <f t="shared" si="10"/>
        <v>#DIV/0!</v>
      </c>
      <c r="J17" s="187" t="e">
        <f t="shared" si="10"/>
        <v>#DIV/0!</v>
      </c>
      <c r="K17" s="187" t="e">
        <f t="shared" si="0"/>
        <v>#DIV/0!</v>
      </c>
      <c r="L17" s="203"/>
      <c r="V17" s="184" t="s">
        <v>53</v>
      </c>
      <c r="AL17" s="184" t="s">
        <v>54</v>
      </c>
      <c r="AM17" s="184" t="s">
        <v>53</v>
      </c>
    </row>
    <row r="18" s="174" customFormat="1" spans="1:14">
      <c r="A18" s="178">
        <v>12</v>
      </c>
      <c r="B18" s="190" t="s">
        <v>161</v>
      </c>
      <c r="C18" s="191" t="e">
        <f>$K$18/$K$6*C6</f>
        <v>#DIV/0!</v>
      </c>
      <c r="D18" s="191" t="e">
        <f t="shared" ref="D18:J18" si="11">$K$18/$K$6*D6</f>
        <v>#DIV/0!</v>
      </c>
      <c r="E18" s="191" t="e">
        <f t="shared" si="11"/>
        <v>#DIV/0!</v>
      </c>
      <c r="F18" s="191" t="e">
        <f t="shared" si="11"/>
        <v>#DIV/0!</v>
      </c>
      <c r="G18" s="191" t="e">
        <f t="shared" si="11"/>
        <v>#DIV/0!</v>
      </c>
      <c r="H18" s="191" t="e">
        <f t="shared" si="11"/>
        <v>#DIV/0!</v>
      </c>
      <c r="I18" s="191" t="e">
        <f t="shared" si="11"/>
        <v>#DIV/0!</v>
      </c>
      <c r="J18" s="191" t="e">
        <f t="shared" si="11"/>
        <v>#DIV/0!</v>
      </c>
      <c r="K18" s="191">
        <f>项目投资!D26</f>
        <v>95000</v>
      </c>
      <c r="L18" s="204" t="s">
        <v>162</v>
      </c>
      <c r="M18" s="204"/>
      <c r="N18" s="204"/>
    </row>
    <row r="19" spans="1:40">
      <c r="A19" s="178">
        <v>13</v>
      </c>
      <c r="B19" s="184" t="s">
        <v>55</v>
      </c>
      <c r="C19" s="187">
        <f>C6*C44</f>
        <v>0</v>
      </c>
      <c r="D19" s="187">
        <f t="shared" ref="D19:J19" si="12">D6*D44</f>
        <v>0</v>
      </c>
      <c r="E19" s="187">
        <f t="shared" si="12"/>
        <v>0</v>
      </c>
      <c r="F19" s="187">
        <f t="shared" si="12"/>
        <v>0</v>
      </c>
      <c r="G19" s="187">
        <f t="shared" si="12"/>
        <v>0</v>
      </c>
      <c r="H19" s="187">
        <f t="shared" si="12"/>
        <v>0</v>
      </c>
      <c r="I19" s="187">
        <f t="shared" si="12"/>
        <v>0</v>
      </c>
      <c r="J19" s="187">
        <f t="shared" si="12"/>
        <v>0</v>
      </c>
      <c r="K19" s="187">
        <f t="shared" si="0"/>
        <v>0</v>
      </c>
      <c r="L19" s="174"/>
      <c r="V19" s="184" t="s">
        <v>55</v>
      </c>
      <c r="AL19" s="184" t="s">
        <v>56</v>
      </c>
      <c r="AM19" s="184" t="s">
        <v>55</v>
      </c>
      <c r="AN19" s="176" t="s">
        <v>29</v>
      </c>
    </row>
    <row r="20" spans="1:39">
      <c r="A20" s="178">
        <v>14</v>
      </c>
      <c r="B20" s="184" t="s">
        <v>57</v>
      </c>
      <c r="C20" s="187">
        <f>C6*C45</f>
        <v>0</v>
      </c>
      <c r="D20" s="187">
        <f t="shared" ref="D20:J20" si="13">D6*D45</f>
        <v>0</v>
      </c>
      <c r="E20" s="187">
        <f t="shared" si="13"/>
        <v>0</v>
      </c>
      <c r="F20" s="187">
        <f t="shared" si="13"/>
        <v>0</v>
      </c>
      <c r="G20" s="187">
        <f t="shared" si="13"/>
        <v>0</v>
      </c>
      <c r="H20" s="187">
        <f t="shared" si="13"/>
        <v>0</v>
      </c>
      <c r="I20" s="187">
        <f t="shared" si="13"/>
        <v>0</v>
      </c>
      <c r="J20" s="187">
        <f t="shared" si="13"/>
        <v>0</v>
      </c>
      <c r="K20" s="187">
        <f t="shared" si="0"/>
        <v>0</v>
      </c>
      <c r="V20" s="184" t="s">
        <v>57</v>
      </c>
      <c r="AL20" s="184" t="s">
        <v>58</v>
      </c>
      <c r="AM20" s="184" t="s">
        <v>57</v>
      </c>
    </row>
    <row r="21" spans="1:39">
      <c r="A21" s="178">
        <v>15</v>
      </c>
      <c r="B21" s="184" t="s">
        <v>59</v>
      </c>
      <c r="C21" s="192" t="e">
        <f>$K$21/$K$6*C6</f>
        <v>#DIV/0!</v>
      </c>
      <c r="D21" s="192" t="e">
        <f t="shared" ref="D21:J21" si="14">$K$21/$K$6*D6</f>
        <v>#DIV/0!</v>
      </c>
      <c r="E21" s="192" t="e">
        <f t="shared" si="14"/>
        <v>#DIV/0!</v>
      </c>
      <c r="F21" s="192" t="e">
        <f t="shared" si="14"/>
        <v>#DIV/0!</v>
      </c>
      <c r="G21" s="192" t="e">
        <f t="shared" si="14"/>
        <v>#DIV/0!</v>
      </c>
      <c r="H21" s="192" t="e">
        <f t="shared" si="14"/>
        <v>#DIV/0!</v>
      </c>
      <c r="I21" s="192" t="e">
        <f t="shared" si="14"/>
        <v>#DIV/0!</v>
      </c>
      <c r="J21" s="192" t="e">
        <f t="shared" si="14"/>
        <v>#DIV/0!</v>
      </c>
      <c r="K21" s="187">
        <f>项目投资!G27</f>
        <v>0</v>
      </c>
      <c r="V21" s="184" t="s">
        <v>59</v>
      </c>
      <c r="AL21" s="184"/>
      <c r="AM21" s="184"/>
    </row>
    <row r="22" spans="1:39">
      <c r="A22" s="178">
        <v>16</v>
      </c>
      <c r="B22" s="184" t="s">
        <v>60</v>
      </c>
      <c r="C22" s="187">
        <f>C6*C47</f>
        <v>0</v>
      </c>
      <c r="D22" s="187">
        <f t="shared" ref="D22:J22" si="15">D6*D47</f>
        <v>0</v>
      </c>
      <c r="E22" s="187">
        <f t="shared" si="15"/>
        <v>0</v>
      </c>
      <c r="F22" s="187">
        <f t="shared" si="15"/>
        <v>0</v>
      </c>
      <c r="G22" s="187">
        <f t="shared" si="15"/>
        <v>0</v>
      </c>
      <c r="H22" s="187">
        <f t="shared" si="15"/>
        <v>0</v>
      </c>
      <c r="I22" s="187">
        <f t="shared" si="15"/>
        <v>0</v>
      </c>
      <c r="J22" s="187">
        <f t="shared" si="15"/>
        <v>0</v>
      </c>
      <c r="K22" s="187">
        <f t="shared" si="0"/>
        <v>0</v>
      </c>
      <c r="V22" s="184" t="s">
        <v>60</v>
      </c>
      <c r="AL22" s="184" t="s">
        <v>61</v>
      </c>
      <c r="AM22" s="184" t="s">
        <v>60</v>
      </c>
    </row>
    <row r="23" spans="1:39">
      <c r="A23" s="178">
        <v>17</v>
      </c>
      <c r="B23" s="188" t="s">
        <v>62</v>
      </c>
      <c r="C23" s="192" t="e">
        <f>+C22+C21+C20+C19+C17</f>
        <v>#DIV/0!</v>
      </c>
      <c r="D23" s="192" t="e">
        <f t="shared" ref="D23:J23" si="16">+D22+D21+D20+D19+D17</f>
        <v>#DIV/0!</v>
      </c>
      <c r="E23" s="192" t="e">
        <f t="shared" si="16"/>
        <v>#DIV/0!</v>
      </c>
      <c r="F23" s="192" t="e">
        <f t="shared" si="16"/>
        <v>#DIV/0!</v>
      </c>
      <c r="G23" s="192" t="e">
        <f t="shared" si="16"/>
        <v>#DIV/0!</v>
      </c>
      <c r="H23" s="192" t="e">
        <f t="shared" si="16"/>
        <v>#DIV/0!</v>
      </c>
      <c r="I23" s="192" t="e">
        <f t="shared" si="16"/>
        <v>#DIV/0!</v>
      </c>
      <c r="J23" s="192" t="e">
        <f t="shared" si="16"/>
        <v>#DIV/0!</v>
      </c>
      <c r="K23" s="192" t="e">
        <f t="shared" ref="K23" si="17">+K22+K21+K20+K19+K17</f>
        <v>#DIV/0!</v>
      </c>
      <c r="V23" s="188" t="s">
        <v>62</v>
      </c>
      <c r="AL23" s="184" t="s">
        <v>63</v>
      </c>
      <c r="AM23" s="188" t="s">
        <v>62</v>
      </c>
    </row>
    <row r="24" spans="1:39">
      <c r="A24" s="178">
        <v>18</v>
      </c>
      <c r="B24" s="193" t="s">
        <v>64</v>
      </c>
      <c r="C24" s="192" t="e">
        <f>+C15-C23</f>
        <v>#DIV/0!</v>
      </c>
      <c r="D24" s="192" t="e">
        <f t="shared" ref="D24:J24" si="18">+D15-D23</f>
        <v>#DIV/0!</v>
      </c>
      <c r="E24" s="192" t="e">
        <f t="shared" si="18"/>
        <v>#DIV/0!</v>
      </c>
      <c r="F24" s="192" t="e">
        <f t="shared" si="18"/>
        <v>#DIV/0!</v>
      </c>
      <c r="G24" s="192" t="e">
        <f t="shared" si="18"/>
        <v>#DIV/0!</v>
      </c>
      <c r="H24" s="192" t="e">
        <f t="shared" si="18"/>
        <v>#DIV/0!</v>
      </c>
      <c r="I24" s="192" t="e">
        <f t="shared" si="18"/>
        <v>#DIV/0!</v>
      </c>
      <c r="J24" s="192" t="e">
        <f t="shared" si="18"/>
        <v>#DIV/0!</v>
      </c>
      <c r="K24" s="192" t="e">
        <f t="shared" ref="K24" si="19">+K15-K23</f>
        <v>#DIV/0!</v>
      </c>
      <c r="M24" s="205"/>
      <c r="V24" s="184" t="s">
        <v>64</v>
      </c>
      <c r="AL24" s="184" t="s">
        <v>65</v>
      </c>
      <c r="AM24" s="184" t="s">
        <v>64</v>
      </c>
    </row>
    <row r="25" spans="1:39">
      <c r="A25" s="178">
        <v>19</v>
      </c>
      <c r="B25" s="184" t="s">
        <v>163</v>
      </c>
      <c r="C25" s="192" t="e">
        <f>IF(C24&lt;0,0,C24*0.15)</f>
        <v>#DIV/0!</v>
      </c>
      <c r="D25" s="192" t="e">
        <f t="shared" ref="D25:K25" si="20">IF(D24&lt;0,0,D24*0.15)</f>
        <v>#DIV/0!</v>
      </c>
      <c r="E25" s="192" t="e">
        <f t="shared" si="20"/>
        <v>#DIV/0!</v>
      </c>
      <c r="F25" s="192" t="e">
        <f t="shared" si="20"/>
        <v>#DIV/0!</v>
      </c>
      <c r="G25" s="192" t="e">
        <f t="shared" si="20"/>
        <v>#DIV/0!</v>
      </c>
      <c r="H25" s="192" t="e">
        <f t="shared" si="20"/>
        <v>#DIV/0!</v>
      </c>
      <c r="I25" s="192" t="e">
        <f t="shared" si="20"/>
        <v>#DIV/0!</v>
      </c>
      <c r="J25" s="192" t="e">
        <f t="shared" si="20"/>
        <v>#DIV/0!</v>
      </c>
      <c r="K25" s="192" t="e">
        <f t="shared" si="20"/>
        <v>#DIV/0!</v>
      </c>
      <c r="L25" s="2"/>
      <c r="M25" s="2"/>
      <c r="N25" s="2"/>
      <c r="V25" s="184" t="s">
        <v>66</v>
      </c>
      <c r="AL25" s="184" t="s">
        <v>67</v>
      </c>
      <c r="AM25" s="184" t="s">
        <v>66</v>
      </c>
    </row>
    <row r="26" spans="1:39">
      <c r="A26" s="178">
        <v>20</v>
      </c>
      <c r="B26" s="184" t="s">
        <v>68</v>
      </c>
      <c r="C26" s="192" t="e">
        <f t="shared" ref="C26" si="21">C24-C25</f>
        <v>#DIV/0!</v>
      </c>
      <c r="D26" s="192" t="e">
        <f t="shared" ref="D26:J26" si="22">D24-D25</f>
        <v>#DIV/0!</v>
      </c>
      <c r="E26" s="192" t="e">
        <f t="shared" si="22"/>
        <v>#DIV/0!</v>
      </c>
      <c r="F26" s="192" t="e">
        <f t="shared" si="22"/>
        <v>#DIV/0!</v>
      </c>
      <c r="G26" s="192" t="e">
        <f t="shared" si="22"/>
        <v>#DIV/0!</v>
      </c>
      <c r="H26" s="192" t="e">
        <f t="shared" si="22"/>
        <v>#DIV/0!</v>
      </c>
      <c r="I26" s="192" t="e">
        <f t="shared" si="22"/>
        <v>#DIV/0!</v>
      </c>
      <c r="J26" s="192" t="e">
        <f t="shared" si="22"/>
        <v>#DIV/0!</v>
      </c>
      <c r="K26" s="187" t="e">
        <f>+SUM(C26:J26)</f>
        <v>#DIV/0!</v>
      </c>
      <c r="L26" s="2"/>
      <c r="M26" s="2"/>
      <c r="N26" s="2"/>
      <c r="V26" s="184" t="s">
        <v>68</v>
      </c>
      <c r="AL26" s="184" t="s">
        <v>69</v>
      </c>
      <c r="AM26" s="184" t="s">
        <v>68</v>
      </c>
    </row>
    <row r="27" spans="1:39">
      <c r="A27" s="178">
        <v>21</v>
      </c>
      <c r="B27" s="184" t="s">
        <v>72</v>
      </c>
      <c r="C27" s="194" t="e">
        <f t="shared" ref="C27:K27" si="23">C26/C7</f>
        <v>#DIV/0!</v>
      </c>
      <c r="D27" s="194" t="e">
        <f t="shared" ref="D27:J27" si="24">D26/D7</f>
        <v>#DIV/0!</v>
      </c>
      <c r="E27" s="194" t="e">
        <f t="shared" si="24"/>
        <v>#DIV/0!</v>
      </c>
      <c r="F27" s="194" t="e">
        <f t="shared" si="24"/>
        <v>#DIV/0!</v>
      </c>
      <c r="G27" s="194" t="e">
        <f t="shared" si="24"/>
        <v>#DIV/0!</v>
      </c>
      <c r="H27" s="194" t="e">
        <f t="shared" si="24"/>
        <v>#DIV/0!</v>
      </c>
      <c r="I27" s="194" t="e">
        <f t="shared" si="24"/>
        <v>#DIV/0!</v>
      </c>
      <c r="J27" s="194" t="e">
        <f t="shared" si="24"/>
        <v>#DIV/0!</v>
      </c>
      <c r="K27" s="194" t="e">
        <f t="shared" si="23"/>
        <v>#DIV/0!</v>
      </c>
      <c r="L27" s="2"/>
      <c r="M27" s="2"/>
      <c r="N27" s="2"/>
      <c r="V27" s="184" t="s">
        <v>72</v>
      </c>
      <c r="AL27" s="184" t="s">
        <v>71</v>
      </c>
      <c r="AM27" s="184" t="s">
        <v>72</v>
      </c>
    </row>
    <row r="28" spans="12:22">
      <c r="L28" s="2"/>
      <c r="M28" s="2"/>
      <c r="N28" s="2"/>
      <c r="V28" s="184"/>
    </row>
    <row r="29" spans="1:38">
      <c r="A29" s="176" t="s">
        <v>73</v>
      </c>
      <c r="K29" s="177" t="s">
        <v>20</v>
      </c>
      <c r="L29" s="2"/>
      <c r="M29" s="2"/>
      <c r="N29" s="2"/>
      <c r="V29" s="184"/>
      <c r="AL29" s="176" t="s">
        <v>73</v>
      </c>
    </row>
    <row r="30" spans="1:39">
      <c r="A30" s="184" t="s">
        <v>79</v>
      </c>
      <c r="B30" s="188" t="s">
        <v>80</v>
      </c>
      <c r="C30" s="192"/>
      <c r="D30" s="192"/>
      <c r="E30" s="192"/>
      <c r="F30" s="192"/>
      <c r="G30" s="192"/>
      <c r="H30" s="192"/>
      <c r="I30" s="192"/>
      <c r="J30" s="192"/>
      <c r="K30" s="192"/>
      <c r="L30" s="2"/>
      <c r="M30" s="2"/>
      <c r="N30" s="2"/>
      <c r="P30" s="2"/>
      <c r="V30" s="188" t="s">
        <v>80</v>
      </c>
      <c r="AL30" s="184" t="s">
        <v>81</v>
      </c>
      <c r="AM30" s="188" t="s">
        <v>80</v>
      </c>
    </row>
    <row r="31" spans="1:39">
      <c r="A31" s="178">
        <v>1</v>
      </c>
      <c r="B31" s="190" t="s">
        <v>82</v>
      </c>
      <c r="C31" s="195">
        <f>'2023年'!C31</f>
        <v>1180</v>
      </c>
      <c r="D31" s="195">
        <f>'2023年'!D31</f>
        <v>470</v>
      </c>
      <c r="E31" s="195">
        <f>'2023年'!E31</f>
        <v>0</v>
      </c>
      <c r="F31" s="195">
        <f>'2023年'!F31</f>
        <v>0</v>
      </c>
      <c r="G31" s="195">
        <f>'2023年'!G31</f>
        <v>0</v>
      </c>
      <c r="H31" s="195">
        <f>'2023年'!H31</f>
        <v>0</v>
      </c>
      <c r="I31" s="195">
        <f>'2023年'!I31</f>
        <v>0</v>
      </c>
      <c r="J31" s="195">
        <f>'2023年'!J31</f>
        <v>0</v>
      </c>
      <c r="K31" s="192"/>
      <c r="L31" s="2"/>
      <c r="M31" s="2"/>
      <c r="N31" s="2"/>
      <c r="P31" s="2"/>
      <c r="V31" s="184" t="s">
        <v>82</v>
      </c>
      <c r="AL31" s="184" t="s">
        <v>31</v>
      </c>
      <c r="AM31" s="184" t="s">
        <v>82</v>
      </c>
    </row>
    <row r="32" spans="1:39">
      <c r="A32" s="178">
        <v>2</v>
      </c>
      <c r="B32" s="184" t="s">
        <v>164</v>
      </c>
      <c r="C32" s="187" t="e">
        <f>C9/C6</f>
        <v>#DIV/0!</v>
      </c>
      <c r="D32" s="187" t="e">
        <f t="shared" ref="D32:J32" si="25">D9/D6</f>
        <v>#DIV/0!</v>
      </c>
      <c r="E32" s="187" t="e">
        <f t="shared" si="25"/>
        <v>#DIV/0!</v>
      </c>
      <c r="F32" s="187" t="e">
        <f t="shared" si="25"/>
        <v>#DIV/0!</v>
      </c>
      <c r="G32" s="187" t="e">
        <f t="shared" si="25"/>
        <v>#DIV/0!</v>
      </c>
      <c r="H32" s="187" t="e">
        <f t="shared" si="25"/>
        <v>#DIV/0!</v>
      </c>
      <c r="I32" s="187" t="e">
        <f t="shared" si="25"/>
        <v>#DIV/0!</v>
      </c>
      <c r="J32" s="187" t="e">
        <f t="shared" si="25"/>
        <v>#DIV/0!</v>
      </c>
      <c r="K32" s="192"/>
      <c r="L32" s="2"/>
      <c r="M32" s="2"/>
      <c r="N32" s="2"/>
      <c r="O32" s="2"/>
      <c r="P32" s="2"/>
      <c r="Q32" s="2"/>
      <c r="R32" s="2"/>
      <c r="AL32" s="184"/>
      <c r="AM32" s="184"/>
    </row>
    <row r="33" spans="1:39">
      <c r="A33" s="178">
        <v>3</v>
      </c>
      <c r="B33" s="190" t="s">
        <v>83</v>
      </c>
      <c r="C33" s="187">
        <f>'2025年'!C33*(1-0.01)</f>
        <v>705.98249568</v>
      </c>
      <c r="D33" s="187">
        <f>'2025年'!D33*(1-0.01)</f>
        <v>382.18137012</v>
      </c>
      <c r="E33" s="187">
        <f>'2025年'!E33*(1-0.01)</f>
        <v>0</v>
      </c>
      <c r="F33" s="187">
        <f>'2025年'!F33*(1-0.01)</f>
        <v>0</v>
      </c>
      <c r="G33" s="187">
        <f>'2025年'!G33*(1-0.01)</f>
        <v>0</v>
      </c>
      <c r="H33" s="187">
        <f>'2025年'!H33*(1-0.01)</f>
        <v>0</v>
      </c>
      <c r="I33" s="187">
        <f>'2025年'!I33*(1-0.01)</f>
        <v>0</v>
      </c>
      <c r="J33" s="187">
        <f>'2025年'!J33*(1-0.01)</f>
        <v>0</v>
      </c>
      <c r="K33" s="192"/>
      <c r="M33" s="2"/>
      <c r="N33" s="2"/>
      <c r="O33" s="2"/>
      <c r="P33" s="2"/>
      <c r="Q33" s="2"/>
      <c r="R33" s="2"/>
      <c r="V33" s="184" t="s">
        <v>83</v>
      </c>
      <c r="AL33" s="184" t="s">
        <v>33</v>
      </c>
      <c r="AM33" s="184" t="s">
        <v>83</v>
      </c>
    </row>
    <row r="34" ht="17.25" customHeight="1" spans="1:39">
      <c r="A34" s="178">
        <v>4</v>
      </c>
      <c r="B34" s="184" t="s">
        <v>85</v>
      </c>
      <c r="C34" s="196" t="e">
        <f>C32-C33</f>
        <v>#DIV/0!</v>
      </c>
      <c r="D34" s="196" t="e">
        <f t="shared" ref="D34:J34" si="26">D32-D33</f>
        <v>#DIV/0!</v>
      </c>
      <c r="E34" s="196" t="e">
        <f t="shared" si="26"/>
        <v>#DIV/0!</v>
      </c>
      <c r="F34" s="196" t="e">
        <f t="shared" si="26"/>
        <v>#DIV/0!</v>
      </c>
      <c r="G34" s="196" t="e">
        <f t="shared" si="26"/>
        <v>#DIV/0!</v>
      </c>
      <c r="H34" s="196" t="e">
        <f t="shared" si="26"/>
        <v>#DIV/0!</v>
      </c>
      <c r="I34" s="196" t="e">
        <f t="shared" si="26"/>
        <v>#DIV/0!</v>
      </c>
      <c r="J34" s="196" t="e">
        <f t="shared" si="26"/>
        <v>#DIV/0!</v>
      </c>
      <c r="K34" s="192"/>
      <c r="M34" s="2"/>
      <c r="N34" s="2"/>
      <c r="O34" s="2"/>
      <c r="P34" s="2"/>
      <c r="Q34" s="2"/>
      <c r="R34" s="2"/>
      <c r="V34" s="184" t="s">
        <v>85</v>
      </c>
      <c r="AL34" s="184" t="s">
        <v>84</v>
      </c>
      <c r="AM34" s="184" t="s">
        <v>85</v>
      </c>
    </row>
    <row r="35" spans="1:39">
      <c r="A35" s="184" t="s">
        <v>81</v>
      </c>
      <c r="B35" s="188" t="s">
        <v>10</v>
      </c>
      <c r="C35" s="192"/>
      <c r="D35" s="192"/>
      <c r="E35" s="192"/>
      <c r="F35" s="192"/>
      <c r="G35" s="192"/>
      <c r="H35" s="192"/>
      <c r="I35" s="192"/>
      <c r="J35" s="192"/>
      <c r="K35" s="192"/>
      <c r="L35" s="2"/>
      <c r="M35" s="2"/>
      <c r="N35" s="2"/>
      <c r="O35" s="2"/>
      <c r="P35" s="2"/>
      <c r="Q35" s="2"/>
      <c r="R35" s="2"/>
      <c r="S35" s="2"/>
      <c r="T35" s="2"/>
      <c r="U35" s="2"/>
      <c r="V35" s="188" t="s">
        <v>10</v>
      </c>
      <c r="AL35" s="184" t="s">
        <v>87</v>
      </c>
      <c r="AM35" s="188" t="s">
        <v>10</v>
      </c>
    </row>
    <row r="36" spans="1:39">
      <c r="A36" s="178">
        <v>1</v>
      </c>
      <c r="B36" s="184" t="s">
        <v>88</v>
      </c>
      <c r="C36" s="191">
        <f>'2023年'!C36</f>
        <v>66.3395839194973</v>
      </c>
      <c r="D36" s="191">
        <f>'2023年'!D36</f>
        <v>26.423393595054</v>
      </c>
      <c r="E36" s="191">
        <f>'2023年'!E36</f>
        <v>0</v>
      </c>
      <c r="F36" s="191">
        <f>'2023年'!F36</f>
        <v>0</v>
      </c>
      <c r="G36" s="191">
        <f>'2023年'!G36</f>
        <v>0</v>
      </c>
      <c r="H36" s="191">
        <f>'2023年'!H36</f>
        <v>0</v>
      </c>
      <c r="I36" s="191">
        <f>'2023年'!I36</f>
        <v>0</v>
      </c>
      <c r="J36" s="191">
        <f>'2023年'!J36</f>
        <v>0</v>
      </c>
      <c r="K36" s="195"/>
      <c r="L36" s="2"/>
      <c r="M36" s="2"/>
      <c r="N36" s="2"/>
      <c r="O36" s="2"/>
      <c r="P36" s="2"/>
      <c r="Q36" s="2"/>
      <c r="R36" s="2"/>
      <c r="S36" s="2"/>
      <c r="T36" s="2"/>
      <c r="U36" s="2"/>
      <c r="V36" s="184" t="s">
        <v>88</v>
      </c>
      <c r="AL36" s="184" t="s">
        <v>84</v>
      </c>
      <c r="AM36" s="184" t="s">
        <v>88</v>
      </c>
    </row>
    <row r="37" spans="1:39">
      <c r="A37" s="178">
        <v>2</v>
      </c>
      <c r="B37" s="184" t="s">
        <v>89</v>
      </c>
      <c r="C37" s="191">
        <f>'2023年'!C37</f>
        <v>17.7896677292704</v>
      </c>
      <c r="D37" s="191">
        <f>'2023年'!D37</f>
        <v>7.085715112506</v>
      </c>
      <c r="E37" s="191">
        <f>'2023年'!E37</f>
        <v>0</v>
      </c>
      <c r="F37" s="191">
        <f>'2023年'!F37</f>
        <v>0</v>
      </c>
      <c r="G37" s="191">
        <f>'2023年'!G37</f>
        <v>0</v>
      </c>
      <c r="H37" s="191">
        <f>'2023年'!H37</f>
        <v>0</v>
      </c>
      <c r="I37" s="191">
        <f>'2023年'!I37</f>
        <v>0</v>
      </c>
      <c r="J37" s="191">
        <f>'2023年'!J37</f>
        <v>0</v>
      </c>
      <c r="K37" s="195"/>
      <c r="L37" s="2"/>
      <c r="M37" s="2"/>
      <c r="N37" s="2"/>
      <c r="O37" s="2"/>
      <c r="P37" s="2"/>
      <c r="Q37" s="2"/>
      <c r="R37" s="2"/>
      <c r="S37" s="2"/>
      <c r="T37" s="2"/>
      <c r="U37" s="2"/>
      <c r="V37" s="184" t="s">
        <v>89</v>
      </c>
      <c r="AL37" s="184" t="s">
        <v>36</v>
      </c>
      <c r="AM37" s="184" t="s">
        <v>89</v>
      </c>
    </row>
    <row r="38" spans="1:39">
      <c r="A38" s="178">
        <v>3</v>
      </c>
      <c r="B38" s="184" t="s">
        <v>90</v>
      </c>
      <c r="C38" s="191">
        <f>'2023年'!C38</f>
        <v>47.2</v>
      </c>
      <c r="D38" s="191">
        <f>'2023年'!D38</f>
        <v>18.8</v>
      </c>
      <c r="E38" s="191">
        <f>'2023年'!E38</f>
        <v>0</v>
      </c>
      <c r="F38" s="191">
        <f>'2023年'!F38</f>
        <v>0</v>
      </c>
      <c r="G38" s="191">
        <f>'2023年'!G38</f>
        <v>0</v>
      </c>
      <c r="H38" s="191">
        <f>'2023年'!H38</f>
        <v>0</v>
      </c>
      <c r="I38" s="191">
        <f>'2023年'!I38</f>
        <v>0</v>
      </c>
      <c r="J38" s="191">
        <f>'2023年'!J38</f>
        <v>0</v>
      </c>
      <c r="K38" s="195"/>
      <c r="L38" s="2"/>
      <c r="M38" s="2"/>
      <c r="N38" s="2"/>
      <c r="O38" s="2"/>
      <c r="P38" s="2"/>
      <c r="Q38" s="2"/>
      <c r="R38" s="2"/>
      <c r="S38" s="2"/>
      <c r="T38" s="2"/>
      <c r="U38" s="2"/>
      <c r="V38" s="184" t="s">
        <v>90</v>
      </c>
      <c r="AL38" s="184" t="s">
        <v>42</v>
      </c>
      <c r="AM38" s="184" t="s">
        <v>90</v>
      </c>
    </row>
    <row r="39" spans="1:39">
      <c r="A39" s="184" t="s">
        <v>87</v>
      </c>
      <c r="B39" s="188" t="s">
        <v>92</v>
      </c>
      <c r="C39" s="192"/>
      <c r="D39" s="192"/>
      <c r="E39" s="192"/>
      <c r="F39" s="192"/>
      <c r="G39" s="192"/>
      <c r="H39" s="192"/>
      <c r="I39" s="192"/>
      <c r="J39" s="192"/>
      <c r="K39" s="192"/>
      <c r="V39" s="188" t="s">
        <v>92</v>
      </c>
      <c r="AL39" s="184" t="s">
        <v>91</v>
      </c>
      <c r="AM39" s="188" t="s">
        <v>92</v>
      </c>
    </row>
    <row r="40" spans="1:39">
      <c r="A40" s="178">
        <v>1</v>
      </c>
      <c r="B40" s="184" t="s">
        <v>93</v>
      </c>
      <c r="C40" s="192" t="e">
        <f>C34-C36-C37-C38</f>
        <v>#DIV/0!</v>
      </c>
      <c r="D40" s="192" t="e">
        <f t="shared" ref="D40:J40" si="27">D34-D36-D37-D38</f>
        <v>#DIV/0!</v>
      </c>
      <c r="E40" s="192" t="e">
        <f t="shared" si="27"/>
        <v>#DIV/0!</v>
      </c>
      <c r="F40" s="192" t="e">
        <f t="shared" si="27"/>
        <v>#DIV/0!</v>
      </c>
      <c r="G40" s="192" t="e">
        <f t="shared" si="27"/>
        <v>#DIV/0!</v>
      </c>
      <c r="H40" s="192" t="e">
        <f t="shared" si="27"/>
        <v>#DIV/0!</v>
      </c>
      <c r="I40" s="192" t="e">
        <f t="shared" si="27"/>
        <v>#DIV/0!</v>
      </c>
      <c r="J40" s="192" t="e">
        <f t="shared" si="27"/>
        <v>#DIV/0!</v>
      </c>
      <c r="K40" s="192"/>
      <c r="V40" s="184" t="s">
        <v>93</v>
      </c>
      <c r="AL40" s="184" t="s">
        <v>31</v>
      </c>
      <c r="AM40" s="184" t="s">
        <v>93</v>
      </c>
    </row>
    <row r="41" spans="1:39">
      <c r="A41" s="178">
        <v>2</v>
      </c>
      <c r="B41" s="184" t="s">
        <v>94</v>
      </c>
      <c r="C41" s="192"/>
      <c r="D41" s="192"/>
      <c r="E41" s="192"/>
      <c r="F41" s="192"/>
      <c r="G41" s="192"/>
      <c r="H41" s="192"/>
      <c r="I41" s="192"/>
      <c r="J41" s="192"/>
      <c r="K41" s="192"/>
      <c r="V41" s="184" t="s">
        <v>94</v>
      </c>
      <c r="AL41" s="184" t="s">
        <v>33</v>
      </c>
      <c r="AM41" s="184" t="s">
        <v>94</v>
      </c>
    </row>
    <row r="42" spans="1:39">
      <c r="A42" s="184" t="s">
        <v>91</v>
      </c>
      <c r="B42" s="188" t="s">
        <v>96</v>
      </c>
      <c r="C42" s="192"/>
      <c r="D42" s="192"/>
      <c r="E42" s="192"/>
      <c r="F42" s="192"/>
      <c r="G42" s="192"/>
      <c r="H42" s="192"/>
      <c r="I42" s="192"/>
      <c r="J42" s="192"/>
      <c r="K42" s="192"/>
      <c r="V42" s="188" t="s">
        <v>96</v>
      </c>
      <c r="AL42" s="184" t="s">
        <v>95</v>
      </c>
      <c r="AM42" s="188" t="s">
        <v>96</v>
      </c>
    </row>
    <row r="43" spans="1:39">
      <c r="A43" s="178">
        <v>1</v>
      </c>
      <c r="B43" s="193" t="s">
        <v>97</v>
      </c>
      <c r="C43" s="191">
        <f>'2023年'!C43</f>
        <v>53.1</v>
      </c>
      <c r="D43" s="191">
        <f>'2023年'!D43</f>
        <v>21.15</v>
      </c>
      <c r="E43" s="191">
        <f>'2023年'!E43</f>
        <v>0</v>
      </c>
      <c r="F43" s="191">
        <f>'2023年'!F43</f>
        <v>0</v>
      </c>
      <c r="G43" s="191">
        <f>'2023年'!G43</f>
        <v>0</v>
      </c>
      <c r="H43" s="191">
        <f>'2023年'!H43</f>
        <v>0</v>
      </c>
      <c r="I43" s="191">
        <f>'2023年'!I43</f>
        <v>0</v>
      </c>
      <c r="J43" s="191">
        <f>'2023年'!J43</f>
        <v>0</v>
      </c>
      <c r="K43" s="192"/>
      <c r="V43" s="184" t="s">
        <v>97</v>
      </c>
      <c r="AL43" s="184" t="s">
        <v>31</v>
      </c>
      <c r="AM43" s="184" t="s">
        <v>97</v>
      </c>
    </row>
    <row r="44" spans="1:39">
      <c r="A44" s="178">
        <v>2</v>
      </c>
      <c r="B44" s="193" t="s">
        <v>98</v>
      </c>
      <c r="C44" s="191">
        <f>'2023年'!C44</f>
        <v>8.26</v>
      </c>
      <c r="D44" s="191">
        <f>'2023年'!D44</f>
        <v>3.29</v>
      </c>
      <c r="E44" s="191">
        <f>'2023年'!E44</f>
        <v>0</v>
      </c>
      <c r="F44" s="191">
        <f>'2023年'!F44</f>
        <v>0</v>
      </c>
      <c r="G44" s="191">
        <f>'2023年'!G44</f>
        <v>0</v>
      </c>
      <c r="H44" s="191">
        <f>'2023年'!H44</f>
        <v>0</v>
      </c>
      <c r="I44" s="191">
        <f>'2023年'!I44</f>
        <v>0</v>
      </c>
      <c r="J44" s="191">
        <f>'2023年'!J44</f>
        <v>0</v>
      </c>
      <c r="K44" s="192"/>
      <c r="V44" s="184" t="s">
        <v>98</v>
      </c>
      <c r="AL44" s="184" t="s">
        <v>33</v>
      </c>
      <c r="AM44" s="184" t="s">
        <v>98</v>
      </c>
    </row>
    <row r="45" spans="1:39">
      <c r="A45" s="178">
        <v>3</v>
      </c>
      <c r="B45" s="193" t="s">
        <v>99</v>
      </c>
      <c r="C45" s="191">
        <f>'2023年'!C45</f>
        <v>47.2</v>
      </c>
      <c r="D45" s="191">
        <f>'2023年'!D45</f>
        <v>18.8</v>
      </c>
      <c r="E45" s="191">
        <f>'2023年'!E45</f>
        <v>0</v>
      </c>
      <c r="F45" s="191">
        <f>'2023年'!F45</f>
        <v>0</v>
      </c>
      <c r="G45" s="191">
        <f>'2023年'!G45</f>
        <v>0</v>
      </c>
      <c r="H45" s="191">
        <f>'2023年'!H45</f>
        <v>0</v>
      </c>
      <c r="I45" s="191">
        <f>'2023年'!I45</f>
        <v>0</v>
      </c>
      <c r="J45" s="191">
        <f>'2023年'!J45</f>
        <v>0</v>
      </c>
      <c r="K45" s="192"/>
      <c r="V45" s="184" t="s">
        <v>99</v>
      </c>
      <c r="AL45" s="184" t="s">
        <v>84</v>
      </c>
      <c r="AM45" s="184" t="s">
        <v>99</v>
      </c>
    </row>
    <row r="46" s="175" customFormat="1" spans="1:39">
      <c r="A46" s="178">
        <v>4</v>
      </c>
      <c r="B46" s="193" t="s">
        <v>100</v>
      </c>
      <c r="C46" s="197" t="e">
        <f>C21/C6</f>
        <v>#DIV/0!</v>
      </c>
      <c r="D46" s="197" t="e">
        <f t="shared" ref="D46:J46" si="28">D21/D6</f>
        <v>#DIV/0!</v>
      </c>
      <c r="E46" s="197" t="e">
        <f t="shared" si="28"/>
        <v>#DIV/0!</v>
      </c>
      <c r="F46" s="197" t="e">
        <f t="shared" si="28"/>
        <v>#DIV/0!</v>
      </c>
      <c r="G46" s="197" t="e">
        <f t="shared" si="28"/>
        <v>#DIV/0!</v>
      </c>
      <c r="H46" s="197" t="e">
        <f t="shared" si="28"/>
        <v>#DIV/0!</v>
      </c>
      <c r="I46" s="197" t="e">
        <f t="shared" si="28"/>
        <v>#DIV/0!</v>
      </c>
      <c r="J46" s="197" t="e">
        <f t="shared" si="28"/>
        <v>#DIV/0!</v>
      </c>
      <c r="K46" s="197"/>
      <c r="V46" s="193" t="s">
        <v>102</v>
      </c>
      <c r="AL46" s="193" t="s">
        <v>39</v>
      </c>
      <c r="AM46" s="193" t="s">
        <v>102</v>
      </c>
    </row>
    <row r="47" s="175" customFormat="1" spans="1:39">
      <c r="A47" s="178">
        <v>5</v>
      </c>
      <c r="B47" s="193" t="s">
        <v>102</v>
      </c>
      <c r="C47" s="197">
        <f>'2023年'!C47</f>
        <v>25.134</v>
      </c>
      <c r="D47" s="197">
        <f>'2023年'!D47</f>
        <v>10.011</v>
      </c>
      <c r="E47" s="197">
        <f>'2023年'!E47</f>
        <v>0</v>
      </c>
      <c r="F47" s="197">
        <f>'2023年'!F47</f>
        <v>0</v>
      </c>
      <c r="G47" s="197">
        <f>'2023年'!G47</f>
        <v>0</v>
      </c>
      <c r="H47" s="197">
        <f>'2023年'!H47</f>
        <v>0</v>
      </c>
      <c r="I47" s="197">
        <f>'2023年'!I47</f>
        <v>0</v>
      </c>
      <c r="J47" s="197">
        <f>'2023年'!J47</f>
        <v>0</v>
      </c>
      <c r="K47" s="197"/>
      <c r="V47" s="193" t="s">
        <v>102</v>
      </c>
      <c r="AL47" s="193" t="s">
        <v>39</v>
      </c>
      <c r="AM47" s="193" t="s">
        <v>102</v>
      </c>
    </row>
    <row r="48" spans="1:39">
      <c r="A48" s="184" t="s">
        <v>95</v>
      </c>
      <c r="B48" s="188" t="s">
        <v>113</v>
      </c>
      <c r="C48" s="192" t="e">
        <f>C40-C43-C44-C45-C47-C46</f>
        <v>#DIV/0!</v>
      </c>
      <c r="D48" s="192" t="e">
        <f t="shared" ref="D48:J48" si="29">D40-D43-D44-D45-D47-D46</f>
        <v>#DIV/0!</v>
      </c>
      <c r="E48" s="192" t="e">
        <f t="shared" si="29"/>
        <v>#DIV/0!</v>
      </c>
      <c r="F48" s="192" t="e">
        <f t="shared" si="29"/>
        <v>#DIV/0!</v>
      </c>
      <c r="G48" s="192" t="e">
        <f t="shared" si="29"/>
        <v>#DIV/0!</v>
      </c>
      <c r="H48" s="192" t="e">
        <f t="shared" si="29"/>
        <v>#DIV/0!</v>
      </c>
      <c r="I48" s="192" t="e">
        <f t="shared" si="29"/>
        <v>#DIV/0!</v>
      </c>
      <c r="J48" s="192" t="e">
        <f t="shared" si="29"/>
        <v>#DIV/0!</v>
      </c>
      <c r="K48" s="192"/>
      <c r="V48" s="188" t="s">
        <v>113</v>
      </c>
      <c r="AL48" s="184" t="s">
        <v>112</v>
      </c>
      <c r="AM48" s="188" t="s">
        <v>113</v>
      </c>
    </row>
    <row r="51" spans="3:10">
      <c r="C51" s="198"/>
      <c r="D51" s="198"/>
      <c r="E51" s="198"/>
      <c r="F51" s="198"/>
      <c r="G51" s="198"/>
      <c r="H51" s="198"/>
      <c r="I51" s="198"/>
      <c r="J51" s="198"/>
    </row>
    <row r="54" spans="2:16">
      <c r="B54" s="2"/>
      <c r="C54" s="28"/>
      <c r="D54" s="28"/>
      <c r="E54" s="28"/>
      <c r="F54" s="28"/>
      <c r="G54" s="28"/>
      <c r="H54" s="28"/>
      <c r="I54" s="28"/>
      <c r="J54" s="28"/>
      <c r="K54" s="28"/>
      <c r="L54" s="2"/>
      <c r="M54" s="2"/>
      <c r="N54" s="2"/>
      <c r="O54" s="2"/>
      <c r="P54" s="2"/>
    </row>
    <row r="55" spans="2:16">
      <c r="B55" s="2"/>
      <c r="C55" s="28"/>
      <c r="D55" s="28"/>
      <c r="E55" s="28"/>
      <c r="F55" s="28"/>
      <c r="G55" s="28"/>
      <c r="H55" s="28"/>
      <c r="I55" s="28"/>
      <c r="J55" s="28"/>
      <c r="K55" s="28"/>
      <c r="L55" s="2"/>
      <c r="M55" s="2"/>
      <c r="N55" s="2"/>
      <c r="O55" s="2"/>
      <c r="P55" s="2"/>
    </row>
    <row r="56" spans="2:16">
      <c r="B56" s="2"/>
      <c r="C56" s="28"/>
      <c r="D56" s="28"/>
      <c r="E56" s="28"/>
      <c r="F56" s="28"/>
      <c r="G56" s="28"/>
      <c r="H56" s="28"/>
      <c r="I56" s="28"/>
      <c r="J56" s="28"/>
      <c r="K56" s="28"/>
      <c r="L56" s="2"/>
      <c r="M56" s="2"/>
      <c r="N56" s="2"/>
      <c r="O56" s="2"/>
      <c r="P56" s="2"/>
    </row>
    <row r="57" spans="2:16">
      <c r="B57" s="2"/>
      <c r="C57" s="28"/>
      <c r="D57" s="28"/>
      <c r="E57" s="28"/>
      <c r="F57" s="28"/>
      <c r="G57" s="28"/>
      <c r="H57" s="28"/>
      <c r="I57" s="28"/>
      <c r="J57" s="28"/>
      <c r="K57" s="28"/>
      <c r="L57" s="2"/>
      <c r="M57" s="2"/>
      <c r="N57" s="2"/>
      <c r="O57" s="2"/>
      <c r="P57" s="2"/>
    </row>
    <row r="58" spans="2:16">
      <c r="B58" s="2"/>
      <c r="C58" s="28"/>
      <c r="D58" s="28"/>
      <c r="E58" s="28"/>
      <c r="F58" s="28"/>
      <c r="G58" s="28"/>
      <c r="H58" s="28"/>
      <c r="I58" s="28"/>
      <c r="J58" s="28"/>
      <c r="K58" s="28"/>
      <c r="L58" s="2"/>
      <c r="M58" s="2"/>
      <c r="N58" s="2"/>
      <c r="O58" s="2"/>
      <c r="P58" s="2"/>
    </row>
    <row r="59" spans="2:16">
      <c r="B59" s="2"/>
      <c r="C59" s="28"/>
      <c r="D59" s="28"/>
      <c r="E59" s="28"/>
      <c r="F59" s="28"/>
      <c r="G59" s="28"/>
      <c r="H59" s="28"/>
      <c r="I59" s="28"/>
      <c r="J59" s="28"/>
      <c r="K59" s="28"/>
      <c r="L59" s="2"/>
      <c r="M59" s="2"/>
      <c r="N59" s="2"/>
      <c r="O59" s="2"/>
      <c r="P59" s="2"/>
    </row>
    <row r="60" spans="2:16">
      <c r="B60" s="2"/>
      <c r="C60" s="28"/>
      <c r="D60" s="28"/>
      <c r="E60" s="28"/>
      <c r="F60" s="28"/>
      <c r="G60" s="28"/>
      <c r="H60" s="28"/>
      <c r="I60" s="28"/>
      <c r="J60" s="28"/>
      <c r="K60" s="28"/>
      <c r="L60" s="2"/>
      <c r="M60" s="2"/>
      <c r="N60" s="2"/>
      <c r="O60" s="2"/>
      <c r="P60" s="2"/>
    </row>
    <row r="61" spans="2:16">
      <c r="B61" s="2"/>
      <c r="C61" s="28"/>
      <c r="D61" s="28"/>
      <c r="E61" s="28"/>
      <c r="F61" s="28"/>
      <c r="G61" s="28"/>
      <c r="H61" s="28"/>
      <c r="I61" s="28"/>
      <c r="J61" s="28"/>
      <c r="K61" s="28"/>
      <c r="L61" s="2"/>
      <c r="M61" s="2"/>
      <c r="N61" s="2"/>
      <c r="O61" s="2"/>
      <c r="P61" s="2"/>
    </row>
    <row r="62" spans="2:16">
      <c r="B62" s="2"/>
      <c r="C62" s="28"/>
      <c r="D62" s="28"/>
      <c r="E62" s="28"/>
      <c r="F62" s="28"/>
      <c r="G62" s="28"/>
      <c r="H62" s="28"/>
      <c r="I62" s="28"/>
      <c r="J62" s="28"/>
      <c r="K62" s="28"/>
      <c r="L62" s="2"/>
      <c r="M62" s="2"/>
      <c r="N62" s="2"/>
      <c r="O62" s="2"/>
      <c r="P62" s="2"/>
    </row>
    <row r="63" spans="2:16">
      <c r="B63" s="2"/>
      <c r="C63" s="28"/>
      <c r="D63" s="28"/>
      <c r="E63" s="28"/>
      <c r="F63" s="28"/>
      <c r="G63" s="28"/>
      <c r="H63" s="28"/>
      <c r="I63" s="28"/>
      <c r="J63" s="28"/>
      <c r="K63" s="28"/>
      <c r="L63" s="2"/>
      <c r="M63" s="2"/>
      <c r="N63" s="2"/>
      <c r="O63" s="2"/>
      <c r="P63" s="2"/>
    </row>
    <row r="64" spans="2:16">
      <c r="B64" s="2"/>
      <c r="C64" s="28"/>
      <c r="D64" s="28"/>
      <c r="E64" s="28"/>
      <c r="F64" s="28"/>
      <c r="G64" s="28"/>
      <c r="H64" s="28"/>
      <c r="I64" s="28"/>
      <c r="J64" s="28"/>
      <c r="K64" s="28"/>
      <c r="L64" s="2"/>
      <c r="M64" s="2"/>
      <c r="N64" s="2"/>
      <c r="O64" s="2"/>
      <c r="P64" s="2"/>
    </row>
    <row r="65" spans="2:16">
      <c r="B65" s="2"/>
      <c r="C65" s="28"/>
      <c r="D65" s="28"/>
      <c r="E65" s="28"/>
      <c r="F65" s="28"/>
      <c r="G65" s="28"/>
      <c r="H65" s="28"/>
      <c r="I65" s="28"/>
      <c r="J65" s="28"/>
      <c r="K65" s="28"/>
      <c r="L65" s="2"/>
      <c r="M65" s="2"/>
      <c r="N65" s="2"/>
      <c r="O65" s="2"/>
      <c r="P65" s="2"/>
    </row>
    <row r="66" spans="2:16">
      <c r="B66" s="2"/>
      <c r="C66" s="28"/>
      <c r="D66" s="28"/>
      <c r="E66" s="28"/>
      <c r="F66" s="28"/>
      <c r="G66" s="28"/>
      <c r="H66" s="28"/>
      <c r="I66" s="28"/>
      <c r="J66" s="28"/>
      <c r="K66" s="28"/>
      <c r="L66" s="2"/>
      <c r="M66" s="2"/>
      <c r="N66" s="2"/>
      <c r="O66" s="2"/>
      <c r="P66" s="2"/>
    </row>
    <row r="67" spans="2:12">
      <c r="B67" s="2"/>
      <c r="C67" s="28"/>
      <c r="D67" s="28"/>
      <c r="E67" s="28"/>
      <c r="F67" s="28"/>
      <c r="G67" s="28"/>
      <c r="H67" s="28"/>
      <c r="I67" s="28"/>
      <c r="J67" s="28"/>
      <c r="K67" s="28"/>
      <c r="L67" s="2"/>
    </row>
    <row r="68" spans="2:12">
      <c r="B68" s="2"/>
      <c r="C68" s="28"/>
      <c r="D68" s="28"/>
      <c r="E68" s="28"/>
      <c r="F68" s="28"/>
      <c r="G68" s="28"/>
      <c r="H68" s="28"/>
      <c r="I68" s="28"/>
      <c r="J68" s="28"/>
      <c r="K68" s="28"/>
      <c r="L68" s="2"/>
    </row>
    <row r="69" spans="2:12">
      <c r="B69" s="2"/>
      <c r="C69" s="28"/>
      <c r="D69" s="28"/>
      <c r="E69" s="28"/>
      <c r="F69" s="28"/>
      <c r="G69" s="28"/>
      <c r="H69" s="28"/>
      <c r="I69" s="28"/>
      <c r="J69" s="28"/>
      <c r="K69" s="28"/>
      <c r="L69" s="2"/>
    </row>
    <row r="70" spans="2:12">
      <c r="B70" s="2"/>
      <c r="C70" s="28"/>
      <c r="D70" s="28"/>
      <c r="E70" s="28"/>
      <c r="F70" s="28"/>
      <c r="G70" s="28"/>
      <c r="H70" s="28"/>
      <c r="I70" s="28"/>
      <c r="J70" s="28"/>
      <c r="K70" s="28"/>
      <c r="L70" s="2"/>
    </row>
    <row r="71" spans="2:12">
      <c r="B71" s="2"/>
      <c r="C71" s="28"/>
      <c r="D71" s="28"/>
      <c r="E71" s="28"/>
      <c r="F71" s="28"/>
      <c r="G71" s="28"/>
      <c r="H71" s="28"/>
      <c r="I71" s="28"/>
      <c r="J71" s="28"/>
      <c r="K71" s="28"/>
      <c r="L71" s="2"/>
    </row>
    <row r="72" spans="2:12">
      <c r="B72" s="2"/>
      <c r="C72" s="28"/>
      <c r="D72" s="28"/>
      <c r="E72" s="28"/>
      <c r="F72" s="28"/>
      <c r="G72" s="28"/>
      <c r="H72" s="28"/>
      <c r="I72" s="28"/>
      <c r="J72" s="28"/>
      <c r="K72" s="28"/>
      <c r="L72" s="2"/>
    </row>
    <row r="73" spans="2:12">
      <c r="B73" s="2"/>
      <c r="C73" s="28"/>
      <c r="D73" s="28"/>
      <c r="E73" s="28"/>
      <c r="F73" s="28"/>
      <c r="G73" s="28"/>
      <c r="H73" s="28"/>
      <c r="I73" s="28"/>
      <c r="J73" s="28"/>
      <c r="K73" s="28"/>
      <c r="L73" s="2"/>
    </row>
    <row r="74" spans="2:12">
      <c r="B74" s="2"/>
      <c r="C74" s="28"/>
      <c r="D74" s="28"/>
      <c r="E74" s="28"/>
      <c r="F74" s="28"/>
      <c r="G74" s="28"/>
      <c r="H74" s="28"/>
      <c r="I74" s="28"/>
      <c r="J74" s="28"/>
      <c r="K74" s="28"/>
      <c r="L74" s="2"/>
    </row>
  </sheetData>
  <mergeCells count="8">
    <mergeCell ref="A1:B1"/>
    <mergeCell ref="C1:K1"/>
    <mergeCell ref="A2:B2"/>
    <mergeCell ref="C2:K2"/>
    <mergeCell ref="A3:B3"/>
    <mergeCell ref="A4:B4"/>
    <mergeCell ref="A5:B5"/>
    <mergeCell ref="K3:K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pane xSplit="2" ySplit="7" topLeftCell="C8" activePane="bottomRight" state="frozen"/>
      <selection/>
      <selection pane="topRight"/>
      <selection pane="bottomLeft"/>
      <selection pane="bottomRight" activeCell="E26" sqref="E26"/>
    </sheetView>
  </sheetViews>
  <sheetFormatPr defaultColWidth="9" defaultRowHeight="14.5"/>
  <cols>
    <col min="1" max="1" width="5.12727272727273" style="176" customWidth="1"/>
    <col min="2" max="2" width="17.5" style="176" customWidth="1"/>
    <col min="3" max="10" width="13.2545454545455" style="177" customWidth="1"/>
    <col min="11" max="11" width="18.7545454545455" style="177" customWidth="1"/>
    <col min="12" max="12" width="12.3727272727273" style="176" customWidth="1"/>
    <col min="13" max="13" width="10.1272727272727" style="176" customWidth="1"/>
    <col min="14" max="20" width="9" style="176" customWidth="1"/>
    <col min="21" max="37" width="9" style="176"/>
    <col min="38" max="38" width="4.37272727272727" style="176" customWidth="1"/>
    <col min="39" max="39" width="13.8727272727273" style="176" customWidth="1"/>
    <col min="40" max="16384" width="9" style="176"/>
  </cols>
  <sheetData>
    <row r="1" spans="1:11">
      <c r="A1" s="178" t="s">
        <v>153</v>
      </c>
      <c r="B1" s="178"/>
      <c r="C1" s="179" t="s">
        <v>169</v>
      </c>
      <c r="D1" s="180"/>
      <c r="E1" s="180"/>
      <c r="F1" s="180"/>
      <c r="G1" s="180"/>
      <c r="H1" s="180"/>
      <c r="I1" s="180"/>
      <c r="J1" s="180"/>
      <c r="K1" s="199"/>
    </row>
    <row r="2" spans="1:11">
      <c r="A2" s="178" t="s">
        <v>155</v>
      </c>
      <c r="B2" s="178"/>
      <c r="C2" s="181" t="str">
        <f>'2023年'!C2:K2</f>
        <v>中国重汽济宁商用车有限公司</v>
      </c>
      <c r="D2" s="181"/>
      <c r="E2" s="181"/>
      <c r="F2" s="181"/>
      <c r="G2" s="181"/>
      <c r="H2" s="181"/>
      <c r="I2" s="181"/>
      <c r="J2" s="181"/>
      <c r="K2" s="181"/>
    </row>
    <row r="3" ht="39" spans="1:11">
      <c r="A3" s="178" t="s">
        <v>157</v>
      </c>
      <c r="B3" s="178"/>
      <c r="C3" s="182" t="str">
        <f>'2023年'!C3</f>
        <v>MAX左座椅总成（TX平台 空气减震）</v>
      </c>
      <c r="D3" s="182" t="str">
        <f>'2023年'!D3</f>
        <v>MAX右座椅总成（TX平台 简易版 无</v>
      </c>
      <c r="E3" s="182">
        <f>'2023年'!E3</f>
        <v>0</v>
      </c>
      <c r="F3" s="182">
        <f>'2023年'!F3</f>
        <v>0</v>
      </c>
      <c r="G3" s="182">
        <f>'2023年'!G3</f>
        <v>0</v>
      </c>
      <c r="H3" s="182">
        <f>'2023年'!H3</f>
        <v>0</v>
      </c>
      <c r="I3" s="182">
        <f>'2023年'!I3</f>
        <v>0</v>
      </c>
      <c r="J3" s="182">
        <f>'2023年'!J3</f>
        <v>0</v>
      </c>
      <c r="K3" s="200" t="s">
        <v>27</v>
      </c>
    </row>
    <row r="4" ht="26" spans="1:11">
      <c r="A4" s="178" t="s">
        <v>158</v>
      </c>
      <c r="B4" s="178"/>
      <c r="C4" s="182" t="str">
        <f>'2023年'!C4</f>
        <v>YZ167151000039</v>
      </c>
      <c r="D4" s="182" t="str">
        <f>'2023年'!D4</f>
        <v>YZ167151000040</v>
      </c>
      <c r="E4" s="182">
        <f>'2023年'!E4</f>
        <v>0</v>
      </c>
      <c r="F4" s="182">
        <f>'2023年'!F4</f>
        <v>0</v>
      </c>
      <c r="G4" s="182">
        <f>'2023年'!G4</f>
        <v>0</v>
      </c>
      <c r="H4" s="182">
        <f>'2023年'!H4</f>
        <v>0</v>
      </c>
      <c r="I4" s="182">
        <f>'2023年'!I4</f>
        <v>0</v>
      </c>
      <c r="J4" s="182">
        <f>'2023年'!J4</f>
        <v>0</v>
      </c>
      <c r="K4" s="201"/>
    </row>
    <row r="5" spans="1:40">
      <c r="A5" s="178" t="s">
        <v>159</v>
      </c>
      <c r="B5" s="178"/>
      <c r="C5" s="183"/>
      <c r="D5" s="183"/>
      <c r="E5" s="183"/>
      <c r="F5" s="183"/>
      <c r="G5" s="183"/>
      <c r="H5" s="183"/>
      <c r="I5" s="183"/>
      <c r="J5" s="183"/>
      <c r="K5" s="202"/>
      <c r="AN5" s="176" t="s">
        <v>28</v>
      </c>
    </row>
    <row r="6" ht="16.5" spans="1:40">
      <c r="A6" s="184" t="s">
        <v>21</v>
      </c>
      <c r="B6" s="185" t="s">
        <v>160</v>
      </c>
      <c r="C6" s="186">
        <f>销量!C13</f>
        <v>0</v>
      </c>
      <c r="D6" s="186">
        <f>销量!D13</f>
        <v>0</v>
      </c>
      <c r="E6" s="186">
        <f>销量!E13</f>
        <v>0</v>
      </c>
      <c r="F6" s="186">
        <f>销量!F13</f>
        <v>0</v>
      </c>
      <c r="G6" s="186">
        <f>销量!G13</f>
        <v>0</v>
      </c>
      <c r="H6" s="186">
        <f>销量!H13</f>
        <v>0</v>
      </c>
      <c r="I6" s="186">
        <f>销量!I13</f>
        <v>0</v>
      </c>
      <c r="J6" s="186">
        <f>销量!J13</f>
        <v>0</v>
      </c>
      <c r="K6" s="187">
        <f t="shared" ref="K6:K15" si="0">SUM(C6:J6)</f>
        <v>0</v>
      </c>
      <c r="V6" s="185" t="s">
        <v>3</v>
      </c>
      <c r="AL6" s="184" t="s">
        <v>21</v>
      </c>
      <c r="AM6" s="185" t="s">
        <v>3</v>
      </c>
      <c r="AN6" s="176" t="s">
        <v>29</v>
      </c>
    </row>
    <row r="7" spans="1:40">
      <c r="A7" s="178">
        <v>1</v>
      </c>
      <c r="B7" s="185" t="s">
        <v>30</v>
      </c>
      <c r="C7" s="187">
        <f>C6*销量!C8</f>
        <v>0</v>
      </c>
      <c r="D7" s="187">
        <f>D6*销量!D8</f>
        <v>0</v>
      </c>
      <c r="E7" s="187">
        <f>E6*销量!E8</f>
        <v>0</v>
      </c>
      <c r="F7" s="187">
        <f>F6*销量!F8</f>
        <v>0</v>
      </c>
      <c r="G7" s="187">
        <f>G6*销量!G8</f>
        <v>0</v>
      </c>
      <c r="H7" s="187">
        <f>H6*销量!H8</f>
        <v>0</v>
      </c>
      <c r="I7" s="187">
        <f>I6*销量!I8</f>
        <v>0</v>
      </c>
      <c r="J7" s="187">
        <f>J6*销量!J8</f>
        <v>0</v>
      </c>
      <c r="K7" s="187">
        <f t="shared" si="0"/>
        <v>0</v>
      </c>
      <c r="L7" s="177"/>
      <c r="V7" s="185" t="s">
        <v>30</v>
      </c>
      <c r="AL7" s="184" t="s">
        <v>31</v>
      </c>
      <c r="AM7" s="185" t="s">
        <v>30</v>
      </c>
      <c r="AN7" s="176" t="s">
        <v>29</v>
      </c>
    </row>
    <row r="8" spans="1:40">
      <c r="A8" s="178">
        <v>2</v>
      </c>
      <c r="B8" s="178" t="s">
        <v>32</v>
      </c>
      <c r="C8" s="187">
        <f>C7*(1-销量!$O$10)</f>
        <v>0</v>
      </c>
      <c r="D8" s="187">
        <f>D7*(1-销量!$O$10)</f>
        <v>0</v>
      </c>
      <c r="E8" s="187">
        <f>E7*(1-销量!$O$10)</f>
        <v>0</v>
      </c>
      <c r="F8" s="187">
        <f>F7*(1-销量!$O$10)</f>
        <v>0</v>
      </c>
      <c r="G8" s="187">
        <f>G7*(1-销量!$O$10)</f>
        <v>0</v>
      </c>
      <c r="H8" s="187">
        <f>H7*(1-销量!$O$10)</f>
        <v>0</v>
      </c>
      <c r="I8" s="187">
        <f>I7*(1-销量!$O$10)</f>
        <v>0</v>
      </c>
      <c r="J8" s="187">
        <f>J7*(1-销量!$O$10)</f>
        <v>0</v>
      </c>
      <c r="K8" s="187">
        <f t="shared" si="0"/>
        <v>0</v>
      </c>
      <c r="L8" s="203"/>
      <c r="V8" s="178" t="s">
        <v>34</v>
      </c>
      <c r="AL8" s="184" t="s">
        <v>33</v>
      </c>
      <c r="AM8" s="178" t="s">
        <v>34</v>
      </c>
      <c r="AN8" s="176" t="s">
        <v>29</v>
      </c>
    </row>
    <row r="9" spans="1:40">
      <c r="A9" s="178">
        <v>3</v>
      </c>
      <c r="B9" s="185" t="s">
        <v>35</v>
      </c>
      <c r="C9" s="187">
        <f>+C7-C8</f>
        <v>0</v>
      </c>
      <c r="D9" s="187">
        <f t="shared" ref="D9:J9" si="1">+D7-D8</f>
        <v>0</v>
      </c>
      <c r="E9" s="187">
        <f t="shared" si="1"/>
        <v>0</v>
      </c>
      <c r="F9" s="187">
        <f t="shared" si="1"/>
        <v>0</v>
      </c>
      <c r="G9" s="187">
        <f t="shared" si="1"/>
        <v>0</v>
      </c>
      <c r="H9" s="187">
        <f t="shared" si="1"/>
        <v>0</v>
      </c>
      <c r="I9" s="187">
        <f t="shared" si="1"/>
        <v>0</v>
      </c>
      <c r="J9" s="187">
        <f t="shared" si="1"/>
        <v>0</v>
      </c>
      <c r="K9" s="187">
        <f t="shared" si="0"/>
        <v>0</v>
      </c>
      <c r="V9" s="185" t="s">
        <v>35</v>
      </c>
      <c r="AL9" s="184" t="s">
        <v>36</v>
      </c>
      <c r="AM9" s="185" t="s">
        <v>35</v>
      </c>
      <c r="AN9" s="176" t="s">
        <v>37</v>
      </c>
    </row>
    <row r="10" spans="1:40">
      <c r="A10" s="178">
        <v>4</v>
      </c>
      <c r="B10" s="184" t="s">
        <v>38</v>
      </c>
      <c r="C10" s="187">
        <f>C6*C33</f>
        <v>0</v>
      </c>
      <c r="D10" s="187">
        <f t="shared" ref="D10:J10" si="2">D6*D33</f>
        <v>0</v>
      </c>
      <c r="E10" s="187">
        <f t="shared" si="2"/>
        <v>0</v>
      </c>
      <c r="F10" s="187">
        <f t="shared" si="2"/>
        <v>0</v>
      </c>
      <c r="G10" s="187">
        <f t="shared" si="2"/>
        <v>0</v>
      </c>
      <c r="H10" s="187">
        <f t="shared" si="2"/>
        <v>0</v>
      </c>
      <c r="I10" s="187">
        <f t="shared" si="2"/>
        <v>0</v>
      </c>
      <c r="J10" s="187">
        <f t="shared" si="2"/>
        <v>0</v>
      </c>
      <c r="K10" s="187">
        <f t="shared" si="0"/>
        <v>0</v>
      </c>
      <c r="V10" s="184" t="s">
        <v>38</v>
      </c>
      <c r="AL10" s="184" t="s">
        <v>39</v>
      </c>
      <c r="AM10" s="184" t="s">
        <v>38</v>
      </c>
      <c r="AN10" s="176" t="s">
        <v>40</v>
      </c>
    </row>
    <row r="11" spans="1:39">
      <c r="A11" s="178">
        <v>5</v>
      </c>
      <c r="B11" s="184" t="s">
        <v>41</v>
      </c>
      <c r="C11" s="187">
        <f>+C6*C36</f>
        <v>0</v>
      </c>
      <c r="D11" s="187">
        <f t="shared" ref="D11:J11" si="3">+D6*D36</f>
        <v>0</v>
      </c>
      <c r="E11" s="187">
        <f t="shared" si="3"/>
        <v>0</v>
      </c>
      <c r="F11" s="187">
        <f t="shared" si="3"/>
        <v>0</v>
      </c>
      <c r="G11" s="187">
        <f t="shared" si="3"/>
        <v>0</v>
      </c>
      <c r="H11" s="187">
        <f t="shared" si="3"/>
        <v>0</v>
      </c>
      <c r="I11" s="187">
        <f t="shared" si="3"/>
        <v>0</v>
      </c>
      <c r="J11" s="187">
        <f t="shared" si="3"/>
        <v>0</v>
      </c>
      <c r="K11" s="187">
        <f t="shared" si="0"/>
        <v>0</v>
      </c>
      <c r="V11" s="184" t="s">
        <v>41</v>
      </c>
      <c r="AL11" s="184" t="s">
        <v>42</v>
      </c>
      <c r="AM11" s="184" t="s">
        <v>41</v>
      </c>
    </row>
    <row r="12" spans="1:39">
      <c r="A12" s="178">
        <v>6</v>
      </c>
      <c r="B12" s="184" t="s">
        <v>43</v>
      </c>
      <c r="C12" s="187">
        <f>+C6*C37</f>
        <v>0</v>
      </c>
      <c r="D12" s="187">
        <f t="shared" ref="D12:J12" si="4">+D6*D37</f>
        <v>0</v>
      </c>
      <c r="E12" s="187">
        <f t="shared" si="4"/>
        <v>0</v>
      </c>
      <c r="F12" s="187">
        <f t="shared" si="4"/>
        <v>0</v>
      </c>
      <c r="G12" s="187">
        <f t="shared" si="4"/>
        <v>0</v>
      </c>
      <c r="H12" s="187">
        <f t="shared" si="4"/>
        <v>0</v>
      </c>
      <c r="I12" s="187">
        <f t="shared" si="4"/>
        <v>0</v>
      </c>
      <c r="J12" s="187">
        <f t="shared" si="4"/>
        <v>0</v>
      </c>
      <c r="K12" s="187">
        <f t="shared" si="0"/>
        <v>0</v>
      </c>
      <c r="V12" s="184" t="s">
        <v>43</v>
      </c>
      <c r="AL12" s="184" t="s">
        <v>44</v>
      </c>
      <c r="AM12" s="184" t="s">
        <v>43</v>
      </c>
    </row>
    <row r="13" spans="1:40">
      <c r="A13" s="178">
        <v>7</v>
      </c>
      <c r="B13" s="184" t="s">
        <v>45</v>
      </c>
      <c r="C13" s="187">
        <f>+C6*C38</f>
        <v>0</v>
      </c>
      <c r="D13" s="187">
        <f t="shared" ref="D13:J13" si="5">+D6*D38</f>
        <v>0</v>
      </c>
      <c r="E13" s="187">
        <f t="shared" si="5"/>
        <v>0</v>
      </c>
      <c r="F13" s="187">
        <f t="shared" si="5"/>
        <v>0</v>
      </c>
      <c r="G13" s="187">
        <f t="shared" si="5"/>
        <v>0</v>
      </c>
      <c r="H13" s="187">
        <f t="shared" si="5"/>
        <v>0</v>
      </c>
      <c r="I13" s="187">
        <f t="shared" si="5"/>
        <v>0</v>
      </c>
      <c r="J13" s="187">
        <f t="shared" si="5"/>
        <v>0</v>
      </c>
      <c r="K13" s="187">
        <f t="shared" si="0"/>
        <v>0</v>
      </c>
      <c r="V13" s="184" t="s">
        <v>45</v>
      </c>
      <c r="AL13" s="184" t="s">
        <v>46</v>
      </c>
      <c r="AM13" s="184" t="s">
        <v>45</v>
      </c>
      <c r="AN13" s="176" t="s">
        <v>29</v>
      </c>
    </row>
    <row r="14" spans="1:39">
      <c r="A14" s="178">
        <v>8</v>
      </c>
      <c r="B14" s="188" t="s">
        <v>47</v>
      </c>
      <c r="C14" s="187">
        <f>SUM(C11:C13)</f>
        <v>0</v>
      </c>
      <c r="D14" s="187">
        <f t="shared" ref="D14:J14" si="6">SUM(D11:D13)</f>
        <v>0</v>
      </c>
      <c r="E14" s="187">
        <f t="shared" si="6"/>
        <v>0</v>
      </c>
      <c r="F14" s="187">
        <f t="shared" si="6"/>
        <v>0</v>
      </c>
      <c r="G14" s="187">
        <f t="shared" si="6"/>
        <v>0</v>
      </c>
      <c r="H14" s="187">
        <f t="shared" si="6"/>
        <v>0</v>
      </c>
      <c r="I14" s="187">
        <f t="shared" si="6"/>
        <v>0</v>
      </c>
      <c r="J14" s="187">
        <f t="shared" si="6"/>
        <v>0</v>
      </c>
      <c r="K14" s="187">
        <f t="shared" si="0"/>
        <v>0</v>
      </c>
      <c r="V14" s="188" t="s">
        <v>47</v>
      </c>
      <c r="AL14" s="184" t="s">
        <v>48</v>
      </c>
      <c r="AM14" s="188" t="s">
        <v>47</v>
      </c>
    </row>
    <row r="15" spans="1:39">
      <c r="A15" s="178">
        <v>9</v>
      </c>
      <c r="B15" s="188" t="s">
        <v>49</v>
      </c>
      <c r="C15" s="187">
        <f>+C9-C10-C14</f>
        <v>0</v>
      </c>
      <c r="D15" s="187">
        <f t="shared" ref="D15:J15" si="7">+D9-D10-D14</f>
        <v>0</v>
      </c>
      <c r="E15" s="187">
        <f t="shared" si="7"/>
        <v>0</v>
      </c>
      <c r="F15" s="187">
        <f t="shared" si="7"/>
        <v>0</v>
      </c>
      <c r="G15" s="187">
        <f t="shared" si="7"/>
        <v>0</v>
      </c>
      <c r="H15" s="187">
        <f t="shared" si="7"/>
        <v>0</v>
      </c>
      <c r="I15" s="187">
        <f t="shared" si="7"/>
        <v>0</v>
      </c>
      <c r="J15" s="187">
        <f t="shared" si="7"/>
        <v>0</v>
      </c>
      <c r="K15" s="187">
        <f t="shared" si="0"/>
        <v>0</v>
      </c>
      <c r="V15" s="188" t="s">
        <v>49</v>
      </c>
      <c r="AL15" s="184" t="s">
        <v>50</v>
      </c>
      <c r="AM15" s="188" t="s">
        <v>49</v>
      </c>
    </row>
    <row r="16" spans="1:39">
      <c r="A16" s="178">
        <v>10</v>
      </c>
      <c r="B16" s="184" t="s">
        <v>51</v>
      </c>
      <c r="C16" s="189" t="e">
        <f>+C15/C9</f>
        <v>#DIV/0!</v>
      </c>
      <c r="D16" s="189" t="e">
        <f t="shared" ref="D16:J16" si="8">+D15/D9</f>
        <v>#DIV/0!</v>
      </c>
      <c r="E16" s="189" t="e">
        <f t="shared" si="8"/>
        <v>#DIV/0!</v>
      </c>
      <c r="F16" s="189" t="e">
        <f t="shared" si="8"/>
        <v>#DIV/0!</v>
      </c>
      <c r="G16" s="189" t="e">
        <f t="shared" si="8"/>
        <v>#DIV/0!</v>
      </c>
      <c r="H16" s="189" t="e">
        <f t="shared" si="8"/>
        <v>#DIV/0!</v>
      </c>
      <c r="I16" s="189" t="e">
        <f t="shared" si="8"/>
        <v>#DIV/0!</v>
      </c>
      <c r="J16" s="189" t="e">
        <f t="shared" si="8"/>
        <v>#DIV/0!</v>
      </c>
      <c r="K16" s="189" t="e">
        <f t="shared" ref="K16" si="9">+K15/K9</f>
        <v>#DIV/0!</v>
      </c>
      <c r="V16" s="184" t="s">
        <v>51</v>
      </c>
      <c r="AL16" s="184" t="s">
        <v>52</v>
      </c>
      <c r="AM16" s="184" t="s">
        <v>51</v>
      </c>
    </row>
    <row r="17" spans="1:39">
      <c r="A17" s="178">
        <v>11</v>
      </c>
      <c r="B17" s="184" t="s">
        <v>53</v>
      </c>
      <c r="C17" s="187" t="e">
        <f>C6*C43+C18</f>
        <v>#DIV/0!</v>
      </c>
      <c r="D17" s="187" t="e">
        <f t="shared" ref="D17:J17" si="10">D6*D43+D18</f>
        <v>#DIV/0!</v>
      </c>
      <c r="E17" s="187" t="e">
        <f t="shared" si="10"/>
        <v>#DIV/0!</v>
      </c>
      <c r="F17" s="187" t="e">
        <f t="shared" si="10"/>
        <v>#DIV/0!</v>
      </c>
      <c r="G17" s="187" t="e">
        <f t="shared" si="10"/>
        <v>#DIV/0!</v>
      </c>
      <c r="H17" s="187" t="e">
        <f t="shared" si="10"/>
        <v>#DIV/0!</v>
      </c>
      <c r="I17" s="187" t="e">
        <f t="shared" si="10"/>
        <v>#DIV/0!</v>
      </c>
      <c r="J17" s="187" t="e">
        <f t="shared" si="10"/>
        <v>#DIV/0!</v>
      </c>
      <c r="K17" s="187" t="e">
        <f>SUM(C17:J17)</f>
        <v>#DIV/0!</v>
      </c>
      <c r="L17" s="203"/>
      <c r="V17" s="184" t="s">
        <v>53</v>
      </c>
      <c r="AL17" s="184" t="s">
        <v>54</v>
      </c>
      <c r="AM17" s="184" t="s">
        <v>53</v>
      </c>
    </row>
    <row r="18" s="174" customFormat="1" spans="1:14">
      <c r="A18" s="178">
        <v>12</v>
      </c>
      <c r="B18" s="190" t="s">
        <v>161</v>
      </c>
      <c r="C18" s="191" t="e">
        <f>$K$18/$K$6*C6</f>
        <v>#DIV/0!</v>
      </c>
      <c r="D18" s="191" t="e">
        <f t="shared" ref="D18:J18" si="11">$K$18/$K$6*D6</f>
        <v>#DIV/0!</v>
      </c>
      <c r="E18" s="191" t="e">
        <f t="shared" si="11"/>
        <v>#DIV/0!</v>
      </c>
      <c r="F18" s="191" t="e">
        <f t="shared" si="11"/>
        <v>#DIV/0!</v>
      </c>
      <c r="G18" s="191" t="e">
        <f t="shared" si="11"/>
        <v>#DIV/0!</v>
      </c>
      <c r="H18" s="191" t="e">
        <f t="shared" si="11"/>
        <v>#DIV/0!</v>
      </c>
      <c r="I18" s="191" t="e">
        <f t="shared" si="11"/>
        <v>#DIV/0!</v>
      </c>
      <c r="J18" s="191" t="e">
        <f t="shared" si="11"/>
        <v>#DIV/0!</v>
      </c>
      <c r="K18" s="191">
        <f>项目投资!D26</f>
        <v>95000</v>
      </c>
      <c r="L18" s="204" t="s">
        <v>162</v>
      </c>
      <c r="M18" s="204"/>
      <c r="N18" s="204"/>
    </row>
    <row r="19" spans="1:40">
      <c r="A19" s="178">
        <v>13</v>
      </c>
      <c r="B19" s="184" t="s">
        <v>55</v>
      </c>
      <c r="C19" s="187">
        <f>C6*C44</f>
        <v>0</v>
      </c>
      <c r="D19" s="187">
        <f t="shared" ref="D19:J19" si="12">D6*D44</f>
        <v>0</v>
      </c>
      <c r="E19" s="187">
        <f t="shared" si="12"/>
        <v>0</v>
      </c>
      <c r="F19" s="187">
        <f t="shared" si="12"/>
        <v>0</v>
      </c>
      <c r="G19" s="187">
        <f t="shared" si="12"/>
        <v>0</v>
      </c>
      <c r="H19" s="187">
        <f t="shared" si="12"/>
        <v>0</v>
      </c>
      <c r="I19" s="187">
        <f t="shared" si="12"/>
        <v>0</v>
      </c>
      <c r="J19" s="187">
        <f t="shared" si="12"/>
        <v>0</v>
      </c>
      <c r="K19" s="187">
        <f>SUM(C19:J19)</f>
        <v>0</v>
      </c>
      <c r="L19" s="174"/>
      <c r="V19" s="184" t="s">
        <v>55</v>
      </c>
      <c r="AL19" s="184" t="s">
        <v>56</v>
      </c>
      <c r="AM19" s="184" t="s">
        <v>55</v>
      </c>
      <c r="AN19" s="176" t="s">
        <v>29</v>
      </c>
    </row>
    <row r="20" spans="1:39">
      <c r="A20" s="178">
        <v>14</v>
      </c>
      <c r="B20" s="184" t="s">
        <v>57</v>
      </c>
      <c r="C20" s="187">
        <f>C6*C45</f>
        <v>0</v>
      </c>
      <c r="D20" s="187">
        <f t="shared" ref="D20:J20" si="13">D6*D45</f>
        <v>0</v>
      </c>
      <c r="E20" s="187">
        <f t="shared" si="13"/>
        <v>0</v>
      </c>
      <c r="F20" s="187">
        <f t="shared" si="13"/>
        <v>0</v>
      </c>
      <c r="G20" s="187">
        <f t="shared" si="13"/>
        <v>0</v>
      </c>
      <c r="H20" s="187">
        <f t="shared" si="13"/>
        <v>0</v>
      </c>
      <c r="I20" s="187">
        <f t="shared" si="13"/>
        <v>0</v>
      </c>
      <c r="J20" s="187">
        <f t="shared" si="13"/>
        <v>0</v>
      </c>
      <c r="K20" s="187">
        <f>SUM(C20:J20)</f>
        <v>0</v>
      </c>
      <c r="V20" s="184" t="s">
        <v>57</v>
      </c>
      <c r="AL20" s="184" t="s">
        <v>58</v>
      </c>
      <c r="AM20" s="184" t="s">
        <v>57</v>
      </c>
    </row>
    <row r="21" spans="1:39">
      <c r="A21" s="178">
        <v>15</v>
      </c>
      <c r="B21" s="184" t="s">
        <v>59</v>
      </c>
      <c r="C21" s="192" t="e">
        <f>$K$21/$K$6*C6</f>
        <v>#DIV/0!</v>
      </c>
      <c r="D21" s="192" t="e">
        <f t="shared" ref="D21:J21" si="14">$K$21/$K$6*D6</f>
        <v>#DIV/0!</v>
      </c>
      <c r="E21" s="192" t="e">
        <f t="shared" si="14"/>
        <v>#DIV/0!</v>
      </c>
      <c r="F21" s="192" t="e">
        <f t="shared" si="14"/>
        <v>#DIV/0!</v>
      </c>
      <c r="G21" s="192" t="e">
        <f t="shared" si="14"/>
        <v>#DIV/0!</v>
      </c>
      <c r="H21" s="192" t="e">
        <f t="shared" si="14"/>
        <v>#DIV/0!</v>
      </c>
      <c r="I21" s="192" t="e">
        <f t="shared" si="14"/>
        <v>#DIV/0!</v>
      </c>
      <c r="J21" s="192" t="e">
        <f t="shared" si="14"/>
        <v>#DIV/0!</v>
      </c>
      <c r="K21" s="187">
        <f>项目投资!H27</f>
        <v>0</v>
      </c>
      <c r="V21" s="184" t="s">
        <v>59</v>
      </c>
      <c r="AL21" s="184"/>
      <c r="AM21" s="184"/>
    </row>
    <row r="22" spans="1:39">
      <c r="A22" s="178">
        <v>16</v>
      </c>
      <c r="B22" s="184" t="s">
        <v>60</v>
      </c>
      <c r="C22" s="187">
        <f>C6*C47</f>
        <v>0</v>
      </c>
      <c r="D22" s="187">
        <f t="shared" ref="D22:J22" si="15">D6*D47</f>
        <v>0</v>
      </c>
      <c r="E22" s="187">
        <f t="shared" si="15"/>
        <v>0</v>
      </c>
      <c r="F22" s="187">
        <f t="shared" si="15"/>
        <v>0</v>
      </c>
      <c r="G22" s="187">
        <f t="shared" si="15"/>
        <v>0</v>
      </c>
      <c r="H22" s="187">
        <f t="shared" si="15"/>
        <v>0</v>
      </c>
      <c r="I22" s="187">
        <f t="shared" si="15"/>
        <v>0</v>
      </c>
      <c r="J22" s="187">
        <f t="shared" si="15"/>
        <v>0</v>
      </c>
      <c r="K22" s="187">
        <f>SUM(C22:J22)</f>
        <v>0</v>
      </c>
      <c r="V22" s="184" t="s">
        <v>60</v>
      </c>
      <c r="AL22" s="184" t="s">
        <v>61</v>
      </c>
      <c r="AM22" s="184" t="s">
        <v>60</v>
      </c>
    </row>
    <row r="23" spans="1:39">
      <c r="A23" s="178">
        <v>17</v>
      </c>
      <c r="B23" s="188" t="s">
        <v>62</v>
      </c>
      <c r="C23" s="192" t="e">
        <f>+C22+C21+C20+C19+C17</f>
        <v>#DIV/0!</v>
      </c>
      <c r="D23" s="192" t="e">
        <f t="shared" ref="D23:J23" si="16">+D22+D21+D20+D19+D17</f>
        <v>#DIV/0!</v>
      </c>
      <c r="E23" s="192" t="e">
        <f t="shared" si="16"/>
        <v>#DIV/0!</v>
      </c>
      <c r="F23" s="192" t="e">
        <f t="shared" si="16"/>
        <v>#DIV/0!</v>
      </c>
      <c r="G23" s="192" t="e">
        <f t="shared" si="16"/>
        <v>#DIV/0!</v>
      </c>
      <c r="H23" s="192" t="e">
        <f t="shared" si="16"/>
        <v>#DIV/0!</v>
      </c>
      <c r="I23" s="192" t="e">
        <f t="shared" si="16"/>
        <v>#DIV/0!</v>
      </c>
      <c r="J23" s="192" t="e">
        <f t="shared" si="16"/>
        <v>#DIV/0!</v>
      </c>
      <c r="K23" s="192" t="e">
        <f t="shared" ref="K23" si="17">+K22+K21+K20+K19+K17</f>
        <v>#DIV/0!</v>
      </c>
      <c r="V23" s="188" t="s">
        <v>62</v>
      </c>
      <c r="AL23" s="184" t="s">
        <v>63</v>
      </c>
      <c r="AM23" s="188" t="s">
        <v>62</v>
      </c>
    </row>
    <row r="24" spans="1:39">
      <c r="A24" s="178">
        <v>18</v>
      </c>
      <c r="B24" s="193" t="s">
        <v>64</v>
      </c>
      <c r="C24" s="192" t="e">
        <f>+C15-C23</f>
        <v>#DIV/0!</v>
      </c>
      <c r="D24" s="192" t="e">
        <f t="shared" ref="D24:J24" si="18">+D15-D23</f>
        <v>#DIV/0!</v>
      </c>
      <c r="E24" s="192" t="e">
        <f t="shared" si="18"/>
        <v>#DIV/0!</v>
      </c>
      <c r="F24" s="192" t="e">
        <f t="shared" si="18"/>
        <v>#DIV/0!</v>
      </c>
      <c r="G24" s="192" t="e">
        <f t="shared" si="18"/>
        <v>#DIV/0!</v>
      </c>
      <c r="H24" s="192" t="e">
        <f t="shared" si="18"/>
        <v>#DIV/0!</v>
      </c>
      <c r="I24" s="192" t="e">
        <f t="shared" si="18"/>
        <v>#DIV/0!</v>
      </c>
      <c r="J24" s="192" t="e">
        <f t="shared" si="18"/>
        <v>#DIV/0!</v>
      </c>
      <c r="K24" s="192" t="e">
        <f t="shared" ref="K24" si="19">+K15-K23</f>
        <v>#DIV/0!</v>
      </c>
      <c r="M24" s="205"/>
      <c r="V24" s="184" t="s">
        <v>64</v>
      </c>
      <c r="AL24" s="184" t="s">
        <v>65</v>
      </c>
      <c r="AM24" s="184" t="s">
        <v>64</v>
      </c>
    </row>
    <row r="25" spans="1:39">
      <c r="A25" s="178">
        <v>19</v>
      </c>
      <c r="B25" s="184" t="s">
        <v>163</v>
      </c>
      <c r="C25" s="192" t="e">
        <f>IF(C24&lt;0,0,C24*0.15)</f>
        <v>#DIV/0!</v>
      </c>
      <c r="D25" s="192" t="e">
        <f t="shared" ref="D25:K25" si="20">IF(D24&lt;0,0,D24*0.15)</f>
        <v>#DIV/0!</v>
      </c>
      <c r="E25" s="192" t="e">
        <f t="shared" si="20"/>
        <v>#DIV/0!</v>
      </c>
      <c r="F25" s="192" t="e">
        <f t="shared" si="20"/>
        <v>#DIV/0!</v>
      </c>
      <c r="G25" s="192" t="e">
        <f t="shared" si="20"/>
        <v>#DIV/0!</v>
      </c>
      <c r="H25" s="192" t="e">
        <f t="shared" si="20"/>
        <v>#DIV/0!</v>
      </c>
      <c r="I25" s="192" t="e">
        <f t="shared" si="20"/>
        <v>#DIV/0!</v>
      </c>
      <c r="J25" s="192" t="e">
        <f t="shared" si="20"/>
        <v>#DIV/0!</v>
      </c>
      <c r="K25" s="192" t="e">
        <f t="shared" si="20"/>
        <v>#DIV/0!</v>
      </c>
      <c r="L25" s="2"/>
      <c r="M25" s="2"/>
      <c r="N25" s="2"/>
      <c r="V25" s="184" t="s">
        <v>66</v>
      </c>
      <c r="AL25" s="184" t="s">
        <v>67</v>
      </c>
      <c r="AM25" s="184" t="s">
        <v>66</v>
      </c>
    </row>
    <row r="26" spans="1:39">
      <c r="A26" s="178">
        <v>20</v>
      </c>
      <c r="B26" s="184" t="s">
        <v>68</v>
      </c>
      <c r="C26" s="192" t="e">
        <f t="shared" ref="C26" si="21">C24-C25</f>
        <v>#DIV/0!</v>
      </c>
      <c r="D26" s="192" t="e">
        <f t="shared" ref="D26:K26" si="22">D24-D25</f>
        <v>#DIV/0!</v>
      </c>
      <c r="E26" s="192" t="e">
        <f t="shared" si="22"/>
        <v>#DIV/0!</v>
      </c>
      <c r="F26" s="192" t="e">
        <f t="shared" si="22"/>
        <v>#DIV/0!</v>
      </c>
      <c r="G26" s="192" t="e">
        <f t="shared" si="22"/>
        <v>#DIV/0!</v>
      </c>
      <c r="H26" s="192" t="e">
        <f t="shared" si="22"/>
        <v>#DIV/0!</v>
      </c>
      <c r="I26" s="192" t="e">
        <f t="shared" si="22"/>
        <v>#DIV/0!</v>
      </c>
      <c r="J26" s="192" t="e">
        <f t="shared" si="22"/>
        <v>#DIV/0!</v>
      </c>
      <c r="K26" s="187" t="e">
        <f t="shared" si="22"/>
        <v>#DIV/0!</v>
      </c>
      <c r="L26" s="206"/>
      <c r="M26" s="2"/>
      <c r="N26" s="2"/>
      <c r="V26" s="184" t="s">
        <v>68</v>
      </c>
      <c r="AL26" s="184" t="s">
        <v>69</v>
      </c>
      <c r="AM26" s="184" t="s">
        <v>68</v>
      </c>
    </row>
    <row r="27" spans="1:39">
      <c r="A27" s="178">
        <v>21</v>
      </c>
      <c r="B27" s="184" t="s">
        <v>72</v>
      </c>
      <c r="C27" s="194" t="e">
        <f t="shared" ref="C27:K27" si="23">C26/C7</f>
        <v>#DIV/0!</v>
      </c>
      <c r="D27" s="194" t="e">
        <f t="shared" ref="D27:J27" si="24">D26/D7</f>
        <v>#DIV/0!</v>
      </c>
      <c r="E27" s="194" t="e">
        <f t="shared" si="24"/>
        <v>#DIV/0!</v>
      </c>
      <c r="F27" s="194" t="e">
        <f t="shared" si="24"/>
        <v>#DIV/0!</v>
      </c>
      <c r="G27" s="194" t="e">
        <f t="shared" si="24"/>
        <v>#DIV/0!</v>
      </c>
      <c r="H27" s="194" t="e">
        <f t="shared" si="24"/>
        <v>#DIV/0!</v>
      </c>
      <c r="I27" s="194" t="e">
        <f t="shared" si="24"/>
        <v>#DIV/0!</v>
      </c>
      <c r="J27" s="194" t="e">
        <f t="shared" si="24"/>
        <v>#DIV/0!</v>
      </c>
      <c r="K27" s="194" t="e">
        <f t="shared" si="23"/>
        <v>#DIV/0!</v>
      </c>
      <c r="L27" s="207"/>
      <c r="M27" s="2"/>
      <c r="N27" s="2"/>
      <c r="V27" s="184" t="s">
        <v>72</v>
      </c>
      <c r="AL27" s="184" t="s">
        <v>71</v>
      </c>
      <c r="AM27" s="184" t="s">
        <v>72</v>
      </c>
    </row>
    <row r="28" spans="12:22">
      <c r="L28" s="2"/>
      <c r="M28" s="2"/>
      <c r="N28" s="2"/>
      <c r="V28" s="184"/>
    </row>
    <row r="29" spans="1:38">
      <c r="A29" s="176" t="s">
        <v>73</v>
      </c>
      <c r="K29" s="177" t="s">
        <v>20</v>
      </c>
      <c r="L29" s="2"/>
      <c r="M29" s="2"/>
      <c r="N29" s="2"/>
      <c r="V29" s="184"/>
      <c r="AL29" s="176" t="s">
        <v>73</v>
      </c>
    </row>
    <row r="30" spans="1:39">
      <c r="A30" s="184" t="s">
        <v>79</v>
      </c>
      <c r="B30" s="188" t="s">
        <v>80</v>
      </c>
      <c r="C30" s="192"/>
      <c r="D30" s="192"/>
      <c r="E30" s="192"/>
      <c r="F30" s="192"/>
      <c r="G30" s="192"/>
      <c r="H30" s="192"/>
      <c r="I30" s="192"/>
      <c r="J30" s="192"/>
      <c r="K30" s="192"/>
      <c r="L30" s="2"/>
      <c r="M30" s="2"/>
      <c r="N30" s="2"/>
      <c r="P30" s="2"/>
      <c r="V30" s="188" t="s">
        <v>80</v>
      </c>
      <c r="AL30" s="184" t="s">
        <v>81</v>
      </c>
      <c r="AM30" s="188" t="s">
        <v>80</v>
      </c>
    </row>
    <row r="31" spans="1:39">
      <c r="A31" s="178">
        <v>1</v>
      </c>
      <c r="B31" s="190" t="s">
        <v>82</v>
      </c>
      <c r="C31" s="195">
        <f>'2023年'!C31</f>
        <v>1180</v>
      </c>
      <c r="D31" s="195">
        <f>'2023年'!D31</f>
        <v>470</v>
      </c>
      <c r="E31" s="195">
        <f>'2023年'!E31</f>
        <v>0</v>
      </c>
      <c r="F31" s="195">
        <f>'2023年'!F31</f>
        <v>0</v>
      </c>
      <c r="G31" s="195">
        <f>'2023年'!G31</f>
        <v>0</v>
      </c>
      <c r="H31" s="195">
        <f>'2023年'!H31</f>
        <v>0</v>
      </c>
      <c r="I31" s="195">
        <f>'2023年'!I31</f>
        <v>0</v>
      </c>
      <c r="J31" s="195">
        <f>'2023年'!J31</f>
        <v>0</v>
      </c>
      <c r="K31" s="192"/>
      <c r="L31" s="2"/>
      <c r="M31" s="2"/>
      <c r="N31" s="2"/>
      <c r="P31" s="2"/>
      <c r="V31" s="184" t="s">
        <v>82</v>
      </c>
      <c r="AL31" s="184" t="s">
        <v>31</v>
      </c>
      <c r="AM31" s="184" t="s">
        <v>82</v>
      </c>
    </row>
    <row r="32" spans="1:39">
      <c r="A32" s="178">
        <v>2</v>
      </c>
      <c r="B32" s="184" t="s">
        <v>164</v>
      </c>
      <c r="C32" s="187" t="e">
        <f>C9/C6</f>
        <v>#DIV/0!</v>
      </c>
      <c r="D32" s="187" t="e">
        <f t="shared" ref="D32:J32" si="25">D9/D6</f>
        <v>#DIV/0!</v>
      </c>
      <c r="E32" s="187" t="e">
        <f t="shared" si="25"/>
        <v>#DIV/0!</v>
      </c>
      <c r="F32" s="187" t="e">
        <f t="shared" si="25"/>
        <v>#DIV/0!</v>
      </c>
      <c r="G32" s="187" t="e">
        <f t="shared" si="25"/>
        <v>#DIV/0!</v>
      </c>
      <c r="H32" s="187" t="e">
        <f t="shared" si="25"/>
        <v>#DIV/0!</v>
      </c>
      <c r="I32" s="187" t="e">
        <f t="shared" si="25"/>
        <v>#DIV/0!</v>
      </c>
      <c r="J32" s="187" t="e">
        <f t="shared" si="25"/>
        <v>#DIV/0!</v>
      </c>
      <c r="K32" s="192"/>
      <c r="L32" s="2"/>
      <c r="M32" s="2"/>
      <c r="N32" s="2"/>
      <c r="O32" s="2"/>
      <c r="P32" s="2"/>
      <c r="Q32" s="2"/>
      <c r="R32" s="2"/>
      <c r="AL32" s="184"/>
      <c r="AM32" s="184"/>
    </row>
    <row r="33" spans="1:39">
      <c r="A33" s="178">
        <v>3</v>
      </c>
      <c r="B33" s="190" t="s">
        <v>83</v>
      </c>
      <c r="C33" s="187">
        <f>'2026年'!C33*(1-0.01)</f>
        <v>698.9226707232</v>
      </c>
      <c r="D33" s="187">
        <f>'2026年'!D33*(1-0.01)</f>
        <v>378.3595564188</v>
      </c>
      <c r="E33" s="187">
        <f>'2026年'!E33*(1-0.01)</f>
        <v>0</v>
      </c>
      <c r="F33" s="187">
        <f>'2026年'!F33*(1-0.01)</f>
        <v>0</v>
      </c>
      <c r="G33" s="187">
        <f>'2026年'!G33*(1-0.01)</f>
        <v>0</v>
      </c>
      <c r="H33" s="187">
        <f>'2026年'!H33*(1-0.01)</f>
        <v>0</v>
      </c>
      <c r="I33" s="187">
        <f>'2026年'!I33*(1-0.01)</f>
        <v>0</v>
      </c>
      <c r="J33" s="187">
        <f>'2026年'!J33*(1-0.01)</f>
        <v>0</v>
      </c>
      <c r="K33" s="192"/>
      <c r="M33" s="2"/>
      <c r="N33" s="2"/>
      <c r="O33" s="2"/>
      <c r="P33" s="2"/>
      <c r="Q33" s="2"/>
      <c r="R33" s="2"/>
      <c r="V33" s="184" t="s">
        <v>83</v>
      </c>
      <c r="AL33" s="184" t="s">
        <v>33</v>
      </c>
      <c r="AM33" s="184" t="s">
        <v>83</v>
      </c>
    </row>
    <row r="34" ht="17.25" customHeight="1" spans="1:39">
      <c r="A34" s="178">
        <v>4</v>
      </c>
      <c r="B34" s="184" t="s">
        <v>85</v>
      </c>
      <c r="C34" s="196" t="e">
        <f>C32-C33</f>
        <v>#DIV/0!</v>
      </c>
      <c r="D34" s="196" t="e">
        <f t="shared" ref="D34:J34" si="26">D32-D33</f>
        <v>#DIV/0!</v>
      </c>
      <c r="E34" s="196" t="e">
        <f t="shared" si="26"/>
        <v>#DIV/0!</v>
      </c>
      <c r="F34" s="196" t="e">
        <f t="shared" si="26"/>
        <v>#DIV/0!</v>
      </c>
      <c r="G34" s="196" t="e">
        <f t="shared" si="26"/>
        <v>#DIV/0!</v>
      </c>
      <c r="H34" s="196" t="e">
        <f t="shared" si="26"/>
        <v>#DIV/0!</v>
      </c>
      <c r="I34" s="196" t="e">
        <f t="shared" si="26"/>
        <v>#DIV/0!</v>
      </c>
      <c r="J34" s="196" t="e">
        <f t="shared" si="26"/>
        <v>#DIV/0!</v>
      </c>
      <c r="K34" s="192"/>
      <c r="M34" s="2"/>
      <c r="N34" s="2"/>
      <c r="O34" s="2"/>
      <c r="P34" s="2"/>
      <c r="Q34" s="2"/>
      <c r="R34" s="2"/>
      <c r="V34" s="184" t="s">
        <v>85</v>
      </c>
      <c r="AL34" s="184" t="s">
        <v>84</v>
      </c>
      <c r="AM34" s="184" t="s">
        <v>85</v>
      </c>
    </row>
    <row r="35" spans="1:39">
      <c r="A35" s="184" t="s">
        <v>81</v>
      </c>
      <c r="B35" s="188" t="s">
        <v>10</v>
      </c>
      <c r="C35" s="192"/>
      <c r="D35" s="192"/>
      <c r="E35" s="192"/>
      <c r="F35" s="192"/>
      <c r="G35" s="192"/>
      <c r="H35" s="192"/>
      <c r="I35" s="192"/>
      <c r="J35" s="192"/>
      <c r="K35" s="192"/>
      <c r="L35" s="2"/>
      <c r="M35" s="2"/>
      <c r="N35" s="2"/>
      <c r="O35" s="2"/>
      <c r="P35" s="2"/>
      <c r="Q35" s="2"/>
      <c r="R35" s="2"/>
      <c r="S35" s="2"/>
      <c r="T35" s="2"/>
      <c r="U35" s="2"/>
      <c r="V35" s="188" t="s">
        <v>10</v>
      </c>
      <c r="AL35" s="184" t="s">
        <v>87</v>
      </c>
      <c r="AM35" s="188" t="s">
        <v>10</v>
      </c>
    </row>
    <row r="36" spans="1:39">
      <c r="A36" s="178">
        <v>1</v>
      </c>
      <c r="B36" s="184" t="s">
        <v>88</v>
      </c>
      <c r="C36" s="191">
        <f>'2023年'!C36</f>
        <v>66.3395839194973</v>
      </c>
      <c r="D36" s="191">
        <f>'2023年'!D36</f>
        <v>26.423393595054</v>
      </c>
      <c r="E36" s="191">
        <f>'2023年'!E36</f>
        <v>0</v>
      </c>
      <c r="F36" s="191">
        <f>'2023年'!F36</f>
        <v>0</v>
      </c>
      <c r="G36" s="191">
        <f>'2023年'!G36</f>
        <v>0</v>
      </c>
      <c r="H36" s="191">
        <f>'2023年'!H36</f>
        <v>0</v>
      </c>
      <c r="I36" s="191">
        <f>'2023年'!I36</f>
        <v>0</v>
      </c>
      <c r="J36" s="191">
        <f>'2023年'!J36</f>
        <v>0</v>
      </c>
      <c r="K36" s="195"/>
      <c r="L36" s="2"/>
      <c r="M36" s="2"/>
      <c r="N36" s="2"/>
      <c r="O36" s="2"/>
      <c r="P36" s="2"/>
      <c r="Q36" s="2"/>
      <c r="R36" s="2"/>
      <c r="S36" s="2"/>
      <c r="T36" s="2"/>
      <c r="U36" s="2"/>
      <c r="V36" s="184" t="s">
        <v>88</v>
      </c>
      <c r="AL36" s="184" t="s">
        <v>84</v>
      </c>
      <c r="AM36" s="184" t="s">
        <v>88</v>
      </c>
    </row>
    <row r="37" spans="1:39">
      <c r="A37" s="178">
        <v>2</v>
      </c>
      <c r="B37" s="184" t="s">
        <v>89</v>
      </c>
      <c r="C37" s="191">
        <f>'2023年'!C37</f>
        <v>17.7896677292704</v>
      </c>
      <c r="D37" s="191">
        <f>'2023年'!D37</f>
        <v>7.085715112506</v>
      </c>
      <c r="E37" s="191">
        <f>'2023年'!E37</f>
        <v>0</v>
      </c>
      <c r="F37" s="191">
        <f>'2023年'!F37</f>
        <v>0</v>
      </c>
      <c r="G37" s="191">
        <f>'2023年'!G37</f>
        <v>0</v>
      </c>
      <c r="H37" s="191">
        <f>'2023年'!H37</f>
        <v>0</v>
      </c>
      <c r="I37" s="191">
        <f>'2023年'!I37</f>
        <v>0</v>
      </c>
      <c r="J37" s="191">
        <f>'2023年'!J37</f>
        <v>0</v>
      </c>
      <c r="K37" s="195"/>
      <c r="L37" s="2"/>
      <c r="M37" s="2"/>
      <c r="N37" s="2"/>
      <c r="O37" s="2"/>
      <c r="P37" s="2"/>
      <c r="Q37" s="2"/>
      <c r="R37" s="2"/>
      <c r="S37" s="2"/>
      <c r="T37" s="2"/>
      <c r="U37" s="2"/>
      <c r="V37" s="184" t="s">
        <v>89</v>
      </c>
      <c r="AL37" s="184" t="s">
        <v>36</v>
      </c>
      <c r="AM37" s="184" t="s">
        <v>89</v>
      </c>
    </row>
    <row r="38" spans="1:39">
      <c r="A38" s="178">
        <v>3</v>
      </c>
      <c r="B38" s="184" t="s">
        <v>90</v>
      </c>
      <c r="C38" s="191">
        <f>'2023年'!C38</f>
        <v>47.2</v>
      </c>
      <c r="D38" s="191">
        <f>'2023年'!D38</f>
        <v>18.8</v>
      </c>
      <c r="E38" s="191">
        <f>'2023年'!E38</f>
        <v>0</v>
      </c>
      <c r="F38" s="191">
        <f>'2023年'!F38</f>
        <v>0</v>
      </c>
      <c r="G38" s="191">
        <f>'2023年'!G38</f>
        <v>0</v>
      </c>
      <c r="H38" s="191">
        <f>'2023年'!H38</f>
        <v>0</v>
      </c>
      <c r="I38" s="191">
        <f>'2023年'!I38</f>
        <v>0</v>
      </c>
      <c r="J38" s="191">
        <f>'2023年'!J38</f>
        <v>0</v>
      </c>
      <c r="K38" s="195"/>
      <c r="L38" s="2"/>
      <c r="M38" s="2"/>
      <c r="N38" s="2"/>
      <c r="O38" s="2"/>
      <c r="P38" s="2"/>
      <c r="Q38" s="2"/>
      <c r="R38" s="2"/>
      <c r="S38" s="2"/>
      <c r="T38" s="2"/>
      <c r="U38" s="2"/>
      <c r="V38" s="184" t="s">
        <v>90</v>
      </c>
      <c r="AL38" s="184" t="s">
        <v>42</v>
      </c>
      <c r="AM38" s="184" t="s">
        <v>90</v>
      </c>
    </row>
    <row r="39" spans="1:39">
      <c r="A39" s="184" t="s">
        <v>87</v>
      </c>
      <c r="B39" s="188" t="s">
        <v>92</v>
      </c>
      <c r="C39" s="192"/>
      <c r="D39" s="192"/>
      <c r="E39" s="192"/>
      <c r="F39" s="192"/>
      <c r="G39" s="192"/>
      <c r="H39" s="192"/>
      <c r="I39" s="192"/>
      <c r="J39" s="192"/>
      <c r="K39" s="192"/>
      <c r="V39" s="188" t="s">
        <v>92</v>
      </c>
      <c r="AL39" s="184" t="s">
        <v>91</v>
      </c>
      <c r="AM39" s="188" t="s">
        <v>92</v>
      </c>
    </row>
    <row r="40" spans="1:39">
      <c r="A40" s="178">
        <v>1</v>
      </c>
      <c r="B40" s="184" t="s">
        <v>93</v>
      </c>
      <c r="C40" s="192" t="e">
        <f>C34-C36-C37-C38</f>
        <v>#DIV/0!</v>
      </c>
      <c r="D40" s="192" t="e">
        <f t="shared" ref="D40:J40" si="27">D34-D36-D37-D38</f>
        <v>#DIV/0!</v>
      </c>
      <c r="E40" s="192" t="e">
        <f t="shared" si="27"/>
        <v>#DIV/0!</v>
      </c>
      <c r="F40" s="192" t="e">
        <f t="shared" si="27"/>
        <v>#DIV/0!</v>
      </c>
      <c r="G40" s="192" t="e">
        <f t="shared" si="27"/>
        <v>#DIV/0!</v>
      </c>
      <c r="H40" s="192" t="e">
        <f t="shared" si="27"/>
        <v>#DIV/0!</v>
      </c>
      <c r="I40" s="192" t="e">
        <f t="shared" si="27"/>
        <v>#DIV/0!</v>
      </c>
      <c r="J40" s="192" t="e">
        <f t="shared" si="27"/>
        <v>#DIV/0!</v>
      </c>
      <c r="K40" s="192"/>
      <c r="V40" s="184" t="s">
        <v>93</v>
      </c>
      <c r="AL40" s="184" t="s">
        <v>31</v>
      </c>
      <c r="AM40" s="184" t="s">
        <v>93</v>
      </c>
    </row>
    <row r="41" spans="1:39">
      <c r="A41" s="178">
        <v>2</v>
      </c>
      <c r="B41" s="184" t="s">
        <v>94</v>
      </c>
      <c r="C41" s="192"/>
      <c r="D41" s="192"/>
      <c r="E41" s="192"/>
      <c r="F41" s="192"/>
      <c r="G41" s="192"/>
      <c r="H41" s="192"/>
      <c r="I41" s="192"/>
      <c r="J41" s="192"/>
      <c r="K41" s="192"/>
      <c r="V41" s="184" t="s">
        <v>94</v>
      </c>
      <c r="AL41" s="184" t="s">
        <v>33</v>
      </c>
      <c r="AM41" s="184" t="s">
        <v>94</v>
      </c>
    </row>
    <row r="42" spans="1:39">
      <c r="A42" s="184" t="s">
        <v>91</v>
      </c>
      <c r="B42" s="188" t="s">
        <v>96</v>
      </c>
      <c r="C42" s="192"/>
      <c r="D42" s="192"/>
      <c r="E42" s="192"/>
      <c r="F42" s="192"/>
      <c r="G42" s="192"/>
      <c r="H42" s="192"/>
      <c r="I42" s="192"/>
      <c r="J42" s="192"/>
      <c r="K42" s="192"/>
      <c r="V42" s="188" t="s">
        <v>96</v>
      </c>
      <c r="AL42" s="184" t="s">
        <v>95</v>
      </c>
      <c r="AM42" s="188" t="s">
        <v>96</v>
      </c>
    </row>
    <row r="43" spans="1:39">
      <c r="A43" s="178">
        <v>1</v>
      </c>
      <c r="B43" s="193" t="s">
        <v>97</v>
      </c>
      <c r="C43" s="191">
        <f>'2023年'!C43</f>
        <v>53.1</v>
      </c>
      <c r="D43" s="191">
        <f>'2023年'!D43</f>
        <v>21.15</v>
      </c>
      <c r="E43" s="191">
        <f>'2023年'!E43</f>
        <v>0</v>
      </c>
      <c r="F43" s="191">
        <f>'2023年'!F43</f>
        <v>0</v>
      </c>
      <c r="G43" s="191">
        <f>'2023年'!G43</f>
        <v>0</v>
      </c>
      <c r="H43" s="191">
        <f>'2023年'!H43</f>
        <v>0</v>
      </c>
      <c r="I43" s="191">
        <f>'2023年'!I43</f>
        <v>0</v>
      </c>
      <c r="J43" s="191">
        <f>'2023年'!J43</f>
        <v>0</v>
      </c>
      <c r="K43" s="192"/>
      <c r="V43" s="184" t="s">
        <v>97</v>
      </c>
      <c r="AL43" s="184" t="s">
        <v>31</v>
      </c>
      <c r="AM43" s="184" t="s">
        <v>97</v>
      </c>
    </row>
    <row r="44" spans="1:39">
      <c r="A44" s="178">
        <v>2</v>
      </c>
      <c r="B44" s="193" t="s">
        <v>98</v>
      </c>
      <c r="C44" s="191">
        <f>'2023年'!C44</f>
        <v>8.26</v>
      </c>
      <c r="D44" s="191">
        <f>'2023年'!D44</f>
        <v>3.29</v>
      </c>
      <c r="E44" s="191">
        <f>'2023年'!E44</f>
        <v>0</v>
      </c>
      <c r="F44" s="191">
        <f>'2023年'!F44</f>
        <v>0</v>
      </c>
      <c r="G44" s="191">
        <f>'2023年'!G44</f>
        <v>0</v>
      </c>
      <c r="H44" s="191">
        <f>'2023年'!H44</f>
        <v>0</v>
      </c>
      <c r="I44" s="191">
        <f>'2023年'!I44</f>
        <v>0</v>
      </c>
      <c r="J44" s="191">
        <f>'2023年'!J44</f>
        <v>0</v>
      </c>
      <c r="K44" s="192"/>
      <c r="V44" s="184" t="s">
        <v>98</v>
      </c>
      <c r="AL44" s="184" t="s">
        <v>33</v>
      </c>
      <c r="AM44" s="184" t="s">
        <v>98</v>
      </c>
    </row>
    <row r="45" spans="1:39">
      <c r="A45" s="178">
        <v>3</v>
      </c>
      <c r="B45" s="193" t="s">
        <v>99</v>
      </c>
      <c r="C45" s="191">
        <f>'2023年'!C45</f>
        <v>47.2</v>
      </c>
      <c r="D45" s="191">
        <f>'2023年'!D45</f>
        <v>18.8</v>
      </c>
      <c r="E45" s="191">
        <f>'2023年'!E45</f>
        <v>0</v>
      </c>
      <c r="F45" s="191">
        <f>'2023年'!F45</f>
        <v>0</v>
      </c>
      <c r="G45" s="191">
        <f>'2023年'!G45</f>
        <v>0</v>
      </c>
      <c r="H45" s="191">
        <f>'2023年'!H45</f>
        <v>0</v>
      </c>
      <c r="I45" s="191">
        <f>'2023年'!I45</f>
        <v>0</v>
      </c>
      <c r="J45" s="191">
        <f>'2023年'!J45</f>
        <v>0</v>
      </c>
      <c r="K45" s="192"/>
      <c r="V45" s="184" t="s">
        <v>99</v>
      </c>
      <c r="AL45" s="184" t="s">
        <v>84</v>
      </c>
      <c r="AM45" s="184" t="s">
        <v>99</v>
      </c>
    </row>
    <row r="46" s="175" customFormat="1" spans="1:39">
      <c r="A46" s="178">
        <v>4</v>
      </c>
      <c r="B46" s="193" t="s">
        <v>100</v>
      </c>
      <c r="C46" s="197" t="e">
        <f>C21/C6</f>
        <v>#DIV/0!</v>
      </c>
      <c r="D46" s="197" t="e">
        <f t="shared" ref="D46:J46" si="28">D21/D6</f>
        <v>#DIV/0!</v>
      </c>
      <c r="E46" s="197" t="e">
        <f t="shared" si="28"/>
        <v>#DIV/0!</v>
      </c>
      <c r="F46" s="197" t="e">
        <f t="shared" si="28"/>
        <v>#DIV/0!</v>
      </c>
      <c r="G46" s="197" t="e">
        <f t="shared" si="28"/>
        <v>#DIV/0!</v>
      </c>
      <c r="H46" s="197" t="e">
        <f t="shared" si="28"/>
        <v>#DIV/0!</v>
      </c>
      <c r="I46" s="197" t="e">
        <f t="shared" si="28"/>
        <v>#DIV/0!</v>
      </c>
      <c r="J46" s="197" t="e">
        <f t="shared" si="28"/>
        <v>#DIV/0!</v>
      </c>
      <c r="K46" s="197"/>
      <c r="V46" s="193" t="s">
        <v>102</v>
      </c>
      <c r="AL46" s="193" t="s">
        <v>39</v>
      </c>
      <c r="AM46" s="193" t="s">
        <v>102</v>
      </c>
    </row>
    <row r="47" s="175" customFormat="1" spans="1:39">
      <c r="A47" s="178">
        <v>5</v>
      </c>
      <c r="B47" s="193" t="s">
        <v>102</v>
      </c>
      <c r="C47" s="197">
        <f>'2023年'!C47</f>
        <v>25.134</v>
      </c>
      <c r="D47" s="197">
        <f>'2023年'!D47</f>
        <v>10.011</v>
      </c>
      <c r="E47" s="197">
        <f>'2023年'!E47</f>
        <v>0</v>
      </c>
      <c r="F47" s="197">
        <f>'2023年'!F47</f>
        <v>0</v>
      </c>
      <c r="G47" s="197">
        <f>'2023年'!G47</f>
        <v>0</v>
      </c>
      <c r="H47" s="197">
        <f>'2023年'!H47</f>
        <v>0</v>
      </c>
      <c r="I47" s="197">
        <f>'2023年'!I47</f>
        <v>0</v>
      </c>
      <c r="J47" s="197">
        <f>'2023年'!J47</f>
        <v>0</v>
      </c>
      <c r="K47" s="197"/>
      <c r="V47" s="193" t="s">
        <v>102</v>
      </c>
      <c r="AL47" s="193" t="s">
        <v>39</v>
      </c>
      <c r="AM47" s="193" t="s">
        <v>102</v>
      </c>
    </row>
    <row r="48" spans="1:39">
      <c r="A48" s="184" t="s">
        <v>95</v>
      </c>
      <c r="B48" s="188" t="s">
        <v>113</v>
      </c>
      <c r="C48" s="192" t="e">
        <f>C40-C43-C44-C45-C47-C46</f>
        <v>#DIV/0!</v>
      </c>
      <c r="D48" s="192" t="e">
        <f t="shared" ref="D48:J48" si="29">D40-D43-D44-D45-D47-D46</f>
        <v>#DIV/0!</v>
      </c>
      <c r="E48" s="192" t="e">
        <f t="shared" si="29"/>
        <v>#DIV/0!</v>
      </c>
      <c r="F48" s="192" t="e">
        <f t="shared" si="29"/>
        <v>#DIV/0!</v>
      </c>
      <c r="G48" s="192" t="e">
        <f t="shared" si="29"/>
        <v>#DIV/0!</v>
      </c>
      <c r="H48" s="192" t="e">
        <f t="shared" si="29"/>
        <v>#DIV/0!</v>
      </c>
      <c r="I48" s="192" t="e">
        <f t="shared" si="29"/>
        <v>#DIV/0!</v>
      </c>
      <c r="J48" s="192" t="e">
        <f t="shared" si="29"/>
        <v>#DIV/0!</v>
      </c>
      <c r="K48" s="192"/>
      <c r="V48" s="188" t="s">
        <v>113</v>
      </c>
      <c r="AL48" s="184" t="s">
        <v>112</v>
      </c>
      <c r="AM48" s="188" t="s">
        <v>113</v>
      </c>
    </row>
    <row r="51" spans="3:10">
      <c r="C51" s="198"/>
      <c r="D51" s="198"/>
      <c r="E51" s="198"/>
      <c r="F51" s="198"/>
      <c r="G51" s="198"/>
      <c r="H51" s="198"/>
      <c r="I51" s="198"/>
      <c r="J51" s="198"/>
    </row>
    <row r="54" spans="2:16">
      <c r="B54" s="2"/>
      <c r="C54" s="28"/>
      <c r="D54" s="28"/>
      <c r="E54" s="28"/>
      <c r="F54" s="28"/>
      <c r="G54" s="28"/>
      <c r="H54" s="28"/>
      <c r="I54" s="28"/>
      <c r="J54" s="28"/>
      <c r="K54" s="28"/>
      <c r="L54" s="2"/>
      <c r="M54" s="2"/>
      <c r="N54" s="2"/>
      <c r="O54" s="2"/>
      <c r="P54" s="2"/>
    </row>
    <row r="55" spans="2:16">
      <c r="B55" s="2"/>
      <c r="C55" s="28"/>
      <c r="D55" s="28"/>
      <c r="E55" s="28"/>
      <c r="F55" s="28"/>
      <c r="G55" s="28"/>
      <c r="H55" s="28"/>
      <c r="I55" s="28"/>
      <c r="J55" s="28"/>
      <c r="K55" s="28"/>
      <c r="L55" s="2"/>
      <c r="M55" s="2"/>
      <c r="N55" s="2"/>
      <c r="O55" s="2"/>
      <c r="P55" s="2"/>
    </row>
    <row r="56" spans="2:16">
      <c r="B56" s="2"/>
      <c r="C56" s="28"/>
      <c r="D56" s="28"/>
      <c r="E56" s="28"/>
      <c r="F56" s="28"/>
      <c r="G56" s="28"/>
      <c r="H56" s="28"/>
      <c r="I56" s="28"/>
      <c r="J56" s="28"/>
      <c r="K56" s="28"/>
      <c r="L56" s="2"/>
      <c r="M56" s="2"/>
      <c r="N56" s="2"/>
      <c r="O56" s="2"/>
      <c r="P56" s="2"/>
    </row>
    <row r="57" spans="2:16">
      <c r="B57" s="2"/>
      <c r="C57" s="28"/>
      <c r="D57" s="28"/>
      <c r="E57" s="28"/>
      <c r="F57" s="28"/>
      <c r="G57" s="28"/>
      <c r="H57" s="28"/>
      <c r="I57" s="28"/>
      <c r="J57" s="28"/>
      <c r="K57" s="28"/>
      <c r="L57" s="2"/>
      <c r="M57" s="2"/>
      <c r="N57" s="2"/>
      <c r="O57" s="2"/>
      <c r="P57" s="2"/>
    </row>
    <row r="58" spans="2:16">
      <c r="B58" s="2"/>
      <c r="C58" s="28"/>
      <c r="D58" s="28"/>
      <c r="E58" s="28"/>
      <c r="F58" s="28"/>
      <c r="G58" s="28"/>
      <c r="H58" s="28"/>
      <c r="I58" s="28"/>
      <c r="J58" s="28"/>
      <c r="K58" s="28"/>
      <c r="L58" s="2"/>
      <c r="M58" s="2"/>
      <c r="N58" s="2"/>
      <c r="O58" s="2"/>
      <c r="P58" s="2"/>
    </row>
    <row r="59" spans="2:16">
      <c r="B59" s="2"/>
      <c r="C59" s="28"/>
      <c r="D59" s="28"/>
      <c r="E59" s="28"/>
      <c r="F59" s="28"/>
      <c r="G59" s="28"/>
      <c r="H59" s="28"/>
      <c r="I59" s="28"/>
      <c r="J59" s="28"/>
      <c r="K59" s="28"/>
      <c r="L59" s="2"/>
      <c r="M59" s="2"/>
      <c r="N59" s="2"/>
      <c r="O59" s="2"/>
      <c r="P59" s="2"/>
    </row>
    <row r="60" spans="2:16">
      <c r="B60" s="2"/>
      <c r="C60" s="28"/>
      <c r="D60" s="28"/>
      <c r="E60" s="28"/>
      <c r="F60" s="28"/>
      <c r="G60" s="28"/>
      <c r="H60" s="28"/>
      <c r="I60" s="28"/>
      <c r="J60" s="28"/>
      <c r="K60" s="28"/>
      <c r="L60" s="2"/>
      <c r="M60" s="2"/>
      <c r="N60" s="2"/>
      <c r="O60" s="2"/>
      <c r="P60" s="2"/>
    </row>
    <row r="61" spans="2:16">
      <c r="B61" s="2"/>
      <c r="C61" s="28"/>
      <c r="D61" s="28"/>
      <c r="E61" s="28"/>
      <c r="F61" s="28"/>
      <c r="G61" s="28"/>
      <c r="H61" s="28"/>
      <c r="I61" s="28"/>
      <c r="J61" s="28"/>
      <c r="K61" s="28"/>
      <c r="L61" s="2"/>
      <c r="M61" s="2"/>
      <c r="N61" s="2"/>
      <c r="O61" s="2"/>
      <c r="P61" s="2"/>
    </row>
    <row r="62" spans="2:16">
      <c r="B62" s="2"/>
      <c r="C62" s="28"/>
      <c r="D62" s="28"/>
      <c r="E62" s="28"/>
      <c r="F62" s="28"/>
      <c r="G62" s="28"/>
      <c r="H62" s="28"/>
      <c r="I62" s="28"/>
      <c r="J62" s="28"/>
      <c r="K62" s="28"/>
      <c r="L62" s="2"/>
      <c r="M62" s="2"/>
      <c r="N62" s="2"/>
      <c r="O62" s="2"/>
      <c r="P62" s="2"/>
    </row>
    <row r="63" spans="2:16">
      <c r="B63" s="2"/>
      <c r="C63" s="28"/>
      <c r="D63" s="28"/>
      <c r="E63" s="28"/>
      <c r="F63" s="28"/>
      <c r="G63" s="28"/>
      <c r="H63" s="28"/>
      <c r="I63" s="28"/>
      <c r="J63" s="28"/>
      <c r="K63" s="28"/>
      <c r="L63" s="2"/>
      <c r="M63" s="2"/>
      <c r="N63" s="2"/>
      <c r="O63" s="2"/>
      <c r="P63" s="2"/>
    </row>
    <row r="64" spans="2:16">
      <c r="B64" s="2"/>
      <c r="C64" s="28"/>
      <c r="D64" s="28"/>
      <c r="E64" s="28"/>
      <c r="F64" s="28"/>
      <c r="G64" s="28"/>
      <c r="H64" s="28"/>
      <c r="I64" s="28"/>
      <c r="J64" s="28"/>
      <c r="K64" s="28"/>
      <c r="L64" s="2"/>
      <c r="M64" s="2"/>
      <c r="N64" s="2"/>
      <c r="O64" s="2"/>
      <c r="P64" s="2"/>
    </row>
    <row r="65" spans="2:16">
      <c r="B65" s="2"/>
      <c r="C65" s="28"/>
      <c r="D65" s="28"/>
      <c r="E65" s="28"/>
      <c r="F65" s="28"/>
      <c r="G65" s="28"/>
      <c r="H65" s="28"/>
      <c r="I65" s="28"/>
      <c r="J65" s="28"/>
      <c r="K65" s="28"/>
      <c r="L65" s="2"/>
      <c r="M65" s="2"/>
      <c r="N65" s="2"/>
      <c r="O65" s="2"/>
      <c r="P65" s="2"/>
    </row>
    <row r="66" spans="2:16">
      <c r="B66" s="2"/>
      <c r="C66" s="28"/>
      <c r="D66" s="28"/>
      <c r="E66" s="28"/>
      <c r="F66" s="28"/>
      <c r="G66" s="28"/>
      <c r="H66" s="28"/>
      <c r="I66" s="28"/>
      <c r="J66" s="28"/>
      <c r="K66" s="28"/>
      <c r="L66" s="2"/>
      <c r="M66" s="2"/>
      <c r="N66" s="2"/>
      <c r="O66" s="2"/>
      <c r="P66" s="2"/>
    </row>
    <row r="67" spans="2:12">
      <c r="B67" s="2"/>
      <c r="C67" s="28"/>
      <c r="D67" s="28"/>
      <c r="E67" s="28"/>
      <c r="F67" s="28"/>
      <c r="G67" s="28"/>
      <c r="H67" s="28"/>
      <c r="I67" s="28"/>
      <c r="J67" s="28"/>
      <c r="K67" s="28"/>
      <c r="L67" s="2"/>
    </row>
    <row r="68" spans="2:12">
      <c r="B68" s="2"/>
      <c r="C68" s="28"/>
      <c r="D68" s="28"/>
      <c r="E68" s="28"/>
      <c r="F68" s="28"/>
      <c r="G68" s="28"/>
      <c r="H68" s="28"/>
      <c r="I68" s="28"/>
      <c r="J68" s="28"/>
      <c r="K68" s="28"/>
      <c r="L68" s="2"/>
    </row>
    <row r="69" spans="2:12">
      <c r="B69" s="2"/>
      <c r="C69" s="28"/>
      <c r="D69" s="28"/>
      <c r="E69" s="28"/>
      <c r="F69" s="28"/>
      <c r="G69" s="28"/>
      <c r="H69" s="28"/>
      <c r="I69" s="28"/>
      <c r="J69" s="28"/>
      <c r="K69" s="28"/>
      <c r="L69" s="2"/>
    </row>
    <row r="70" spans="2:12">
      <c r="B70" s="2"/>
      <c r="C70" s="28"/>
      <c r="D70" s="28"/>
      <c r="E70" s="28"/>
      <c r="F70" s="28"/>
      <c r="G70" s="28"/>
      <c r="H70" s="28"/>
      <c r="I70" s="28"/>
      <c r="J70" s="28"/>
      <c r="K70" s="28"/>
      <c r="L70" s="2"/>
    </row>
    <row r="71" spans="2:12">
      <c r="B71" s="2"/>
      <c r="C71" s="28"/>
      <c r="D71" s="28"/>
      <c r="E71" s="28"/>
      <c r="F71" s="28"/>
      <c r="G71" s="28"/>
      <c r="H71" s="28"/>
      <c r="I71" s="28"/>
      <c r="J71" s="28"/>
      <c r="K71" s="28"/>
      <c r="L71" s="2"/>
    </row>
    <row r="72" spans="2:12">
      <c r="B72" s="2"/>
      <c r="C72" s="28"/>
      <c r="D72" s="28"/>
      <c r="E72" s="28"/>
      <c r="F72" s="28"/>
      <c r="G72" s="28"/>
      <c r="H72" s="28"/>
      <c r="I72" s="28"/>
      <c r="J72" s="28"/>
      <c r="K72" s="28"/>
      <c r="L72" s="2"/>
    </row>
    <row r="73" spans="2:12">
      <c r="B73" s="2"/>
      <c r="C73" s="28"/>
      <c r="D73" s="28"/>
      <c r="E73" s="28"/>
      <c r="F73" s="28"/>
      <c r="G73" s="28"/>
      <c r="H73" s="28"/>
      <c r="I73" s="28"/>
      <c r="J73" s="28"/>
      <c r="K73" s="28"/>
      <c r="L73" s="2"/>
    </row>
    <row r="74" spans="2:12">
      <c r="B74" s="2"/>
      <c r="C74" s="28"/>
      <c r="D74" s="28"/>
      <c r="E74" s="28"/>
      <c r="F74" s="28"/>
      <c r="G74" s="28"/>
      <c r="H74" s="28"/>
      <c r="I74" s="28"/>
      <c r="J74" s="28"/>
      <c r="K74" s="28"/>
      <c r="L74" s="2"/>
    </row>
  </sheetData>
  <mergeCells count="8">
    <mergeCell ref="A1:B1"/>
    <mergeCell ref="C1:K1"/>
    <mergeCell ref="A2:B2"/>
    <mergeCell ref="C2:K2"/>
    <mergeCell ref="A3:B3"/>
    <mergeCell ref="A4:B4"/>
    <mergeCell ref="A5:B5"/>
    <mergeCell ref="K3:K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zoomScale="80" zoomScaleNormal="80" workbookViewId="0">
      <pane xSplit="6" ySplit="2" topLeftCell="G3" activePane="bottomRight" state="frozen"/>
      <selection/>
      <selection pane="topRight"/>
      <selection pane="bottomLeft"/>
      <selection pane="bottomRight" activeCell="D26" sqref="D26"/>
    </sheetView>
  </sheetViews>
  <sheetFormatPr defaultColWidth="9" defaultRowHeight="14"/>
  <cols>
    <col min="1" max="1" width="20.6272727272727" customWidth="1"/>
    <col min="2" max="2" width="14.2545454545455" style="126" customWidth="1"/>
    <col min="3" max="3" width="13.1272727272727" customWidth="1"/>
    <col min="4" max="6" width="14.5" customWidth="1"/>
    <col min="7" max="7" width="14.7545454545455" customWidth="1"/>
    <col min="8" max="8" width="26.5" customWidth="1"/>
    <col min="9" max="9" width="16.2545454545455" customWidth="1"/>
    <col min="10" max="10" width="14.1272727272727" customWidth="1"/>
  </cols>
  <sheetData>
    <row r="1" ht="21" spans="1:10">
      <c r="A1" s="127" t="s">
        <v>170</v>
      </c>
      <c r="B1" s="127"/>
      <c r="C1" s="127"/>
      <c r="E1" s="128" t="s">
        <v>171</v>
      </c>
      <c r="F1" s="129"/>
      <c r="G1" s="129"/>
      <c r="H1" s="130"/>
      <c r="J1" s="166"/>
    </row>
    <row r="2" ht="23.45" customHeight="1" spans="1:10">
      <c r="A2" s="131" t="s">
        <v>1</v>
      </c>
      <c r="B2" s="132" t="s">
        <v>172</v>
      </c>
      <c r="C2" s="133" t="s">
        <v>173</v>
      </c>
      <c r="E2" s="134" t="s">
        <v>174</v>
      </c>
      <c r="F2" s="134" t="s">
        <v>1</v>
      </c>
      <c r="G2" s="135" t="s">
        <v>175</v>
      </c>
      <c r="H2" s="134" t="s">
        <v>173</v>
      </c>
      <c r="J2" s="167"/>
    </row>
    <row r="3" ht="15.75" customHeight="1" spans="1:10">
      <c r="A3" s="136" t="s">
        <v>176</v>
      </c>
      <c r="B3" s="137"/>
      <c r="C3" s="138"/>
      <c r="E3" s="139" t="s">
        <v>177</v>
      </c>
      <c r="F3" s="140" t="s">
        <v>178</v>
      </c>
      <c r="G3" s="141">
        <v>9</v>
      </c>
      <c r="H3" s="142" t="s">
        <v>179</v>
      </c>
      <c r="J3" s="167"/>
    </row>
    <row r="4" ht="15.75" customHeight="1" spans="1:10">
      <c r="A4" s="136" t="s">
        <v>180</v>
      </c>
      <c r="B4" s="137"/>
      <c r="C4" s="143"/>
      <c r="E4" s="144"/>
      <c r="F4" s="140" t="s">
        <v>181</v>
      </c>
      <c r="G4" s="141">
        <v>0</v>
      </c>
      <c r="H4" s="145"/>
      <c r="J4" s="167"/>
    </row>
    <row r="5" ht="15.75" customHeight="1" spans="1:10">
      <c r="A5" s="136" t="s">
        <v>182</v>
      </c>
      <c r="B5" s="146">
        <f>SUM(G3:G4)</f>
        <v>9</v>
      </c>
      <c r="C5" s="138"/>
      <c r="E5" s="147" t="s">
        <v>183</v>
      </c>
      <c r="F5" s="148" t="s">
        <v>184</v>
      </c>
      <c r="G5" s="141">
        <v>0</v>
      </c>
      <c r="H5" s="149"/>
      <c r="J5" s="168"/>
    </row>
    <row r="6" ht="15.75" customHeight="1" spans="1:10">
      <c r="A6" s="136" t="s">
        <v>185</v>
      </c>
      <c r="B6" s="137"/>
      <c r="C6" s="138"/>
      <c r="E6" s="150"/>
      <c r="F6" s="148" t="s">
        <v>186</v>
      </c>
      <c r="G6" s="141">
        <f>1.5+5</f>
        <v>6.5</v>
      </c>
      <c r="H6" s="151" t="s">
        <v>187</v>
      </c>
      <c r="J6" s="168"/>
    </row>
    <row r="7" ht="15.75" customHeight="1" spans="1:10">
      <c r="A7" s="152" t="s">
        <v>188</v>
      </c>
      <c r="B7" s="146">
        <f>SUM(B3:B6)</f>
        <v>9</v>
      </c>
      <c r="C7" s="138"/>
      <c r="E7" s="150"/>
      <c r="F7" s="148" t="s">
        <v>189</v>
      </c>
      <c r="G7" s="141">
        <v>0</v>
      </c>
      <c r="H7" s="151"/>
      <c r="J7" s="168"/>
    </row>
    <row r="8" ht="15.75" customHeight="1" spans="1:10">
      <c r="A8" s="153" t="s">
        <v>190</v>
      </c>
      <c r="B8" s="146">
        <f>SUM(G5:G12)</f>
        <v>21</v>
      </c>
      <c r="C8" s="154"/>
      <c r="E8" s="150"/>
      <c r="F8" s="148" t="s">
        <v>191</v>
      </c>
      <c r="G8" s="141">
        <v>0</v>
      </c>
      <c r="H8" s="151"/>
      <c r="J8" s="168"/>
    </row>
    <row r="9" ht="15.75" customHeight="1" spans="1:10">
      <c r="A9" s="136" t="s">
        <v>192</v>
      </c>
      <c r="B9" s="146">
        <f>SUM(G13:G21)</f>
        <v>26</v>
      </c>
      <c r="C9" s="138"/>
      <c r="E9" s="150"/>
      <c r="F9" s="140" t="s">
        <v>193</v>
      </c>
      <c r="G9" s="141">
        <v>12</v>
      </c>
      <c r="H9" s="151" t="s">
        <v>194</v>
      </c>
      <c r="J9" s="168"/>
    </row>
    <row r="10" ht="15.75" customHeight="1" spans="1:10">
      <c r="A10" s="143" t="s">
        <v>27</v>
      </c>
      <c r="B10" s="146">
        <f>B7+B8+B9</f>
        <v>56</v>
      </c>
      <c r="C10" s="138"/>
      <c r="E10" s="150"/>
      <c r="F10" s="140" t="s">
        <v>195</v>
      </c>
      <c r="G10" s="141">
        <v>2.5</v>
      </c>
      <c r="H10" s="151" t="s">
        <v>196</v>
      </c>
      <c r="J10" s="168"/>
    </row>
    <row r="11" ht="15.75" customHeight="1" spans="5:10">
      <c r="E11" s="150"/>
      <c r="F11" s="140" t="s">
        <v>197</v>
      </c>
      <c r="G11" s="155">
        <v>0</v>
      </c>
      <c r="H11" s="145"/>
      <c r="J11" s="168"/>
    </row>
    <row r="12" ht="15.75" customHeight="1" spans="5:10">
      <c r="E12" s="156"/>
      <c r="F12" s="140" t="s">
        <v>198</v>
      </c>
      <c r="G12" s="141">
        <v>0</v>
      </c>
      <c r="H12" s="145"/>
      <c r="J12" s="168"/>
    </row>
    <row r="13" ht="15.75" customHeight="1" spans="5:10">
      <c r="E13" s="139" t="s">
        <v>59</v>
      </c>
      <c r="F13" s="140" t="s">
        <v>199</v>
      </c>
      <c r="G13" s="141">
        <v>0</v>
      </c>
      <c r="H13" s="151"/>
      <c r="J13" s="169"/>
    </row>
    <row r="14" ht="15.75" customHeight="1" spans="5:10">
      <c r="E14" s="144"/>
      <c r="F14" s="140" t="s">
        <v>200</v>
      </c>
      <c r="G14" s="141">
        <v>1.5</v>
      </c>
      <c r="H14" s="145"/>
      <c r="J14" s="169"/>
    </row>
    <row r="15" ht="15.75" customHeight="1" spans="5:10">
      <c r="E15" s="144"/>
      <c r="F15" s="140" t="s">
        <v>201</v>
      </c>
      <c r="G15" s="141">
        <v>0</v>
      </c>
      <c r="H15" s="145"/>
      <c r="J15" s="169"/>
    </row>
    <row r="16" ht="15.75" customHeight="1" spans="5:10">
      <c r="E16" s="144"/>
      <c r="F16" s="140" t="s">
        <v>202</v>
      </c>
      <c r="G16" s="141">
        <v>1.5</v>
      </c>
      <c r="H16" s="145"/>
      <c r="J16" s="169"/>
    </row>
    <row r="17" ht="15.75" customHeight="1" spans="5:10">
      <c r="E17" s="144"/>
      <c r="F17" s="140" t="s">
        <v>203</v>
      </c>
      <c r="G17" s="141">
        <v>3</v>
      </c>
      <c r="H17" s="145" t="s">
        <v>204</v>
      </c>
      <c r="J17" s="169"/>
    </row>
    <row r="18" ht="15.75" customHeight="1" spans="5:10">
      <c r="E18" s="144"/>
      <c r="F18" s="140" t="s">
        <v>205</v>
      </c>
      <c r="G18" s="141">
        <v>12</v>
      </c>
      <c r="H18" s="151" t="s">
        <v>206</v>
      </c>
      <c r="J18" s="169"/>
    </row>
    <row r="19" ht="15.75" customHeight="1" spans="5:10">
      <c r="E19" s="144"/>
      <c r="F19" s="140" t="s">
        <v>207</v>
      </c>
      <c r="G19" s="141">
        <v>6</v>
      </c>
      <c r="H19" s="145" t="s">
        <v>208</v>
      </c>
      <c r="J19" s="169"/>
    </row>
    <row r="20" ht="15.75" customHeight="1" spans="5:10">
      <c r="E20" s="144"/>
      <c r="F20" s="140" t="s">
        <v>209</v>
      </c>
      <c r="G20" s="141">
        <v>2</v>
      </c>
      <c r="H20" s="145"/>
      <c r="J20" s="169"/>
    </row>
    <row r="21" ht="15.75" customHeight="1" spans="5:10">
      <c r="E21" s="157"/>
      <c r="F21" s="140" t="s">
        <v>141</v>
      </c>
      <c r="G21" s="141">
        <v>0</v>
      </c>
      <c r="H21" s="145"/>
      <c r="J21" s="169"/>
    </row>
    <row r="22" ht="15.75" customHeight="1" spans="5:10">
      <c r="E22" s="134" t="s">
        <v>27</v>
      </c>
      <c r="F22" s="140"/>
      <c r="G22" s="135">
        <f>SUM(G3:G21)</f>
        <v>56</v>
      </c>
      <c r="H22" s="140"/>
      <c r="I22">
        <v>60</v>
      </c>
      <c r="J22" s="170" t="s">
        <v>210</v>
      </c>
    </row>
    <row r="23" ht="30.75" customHeight="1" spans="5:8">
      <c r="E23" s="158" t="s">
        <v>211</v>
      </c>
      <c r="F23" s="158"/>
      <c r="G23" s="158"/>
      <c r="H23" s="158"/>
    </row>
    <row r="25" ht="16.5" spans="1:10">
      <c r="A25" s="66" t="s">
        <v>1</v>
      </c>
      <c r="B25" s="66" t="s">
        <v>172</v>
      </c>
      <c r="C25" s="66" t="s">
        <v>212</v>
      </c>
      <c r="D25" s="159" t="s">
        <v>74</v>
      </c>
      <c r="E25" s="159" t="s">
        <v>75</v>
      </c>
      <c r="F25" s="159" t="s">
        <v>76</v>
      </c>
      <c r="G25" s="159" t="s">
        <v>77</v>
      </c>
      <c r="H25" s="159" t="s">
        <v>78</v>
      </c>
      <c r="I25" s="159" t="s">
        <v>27</v>
      </c>
      <c r="J25" s="171" t="s">
        <v>213</v>
      </c>
    </row>
    <row r="26" ht="16.5" spans="1:10">
      <c r="A26" s="160" t="s">
        <v>161</v>
      </c>
      <c r="B26" s="161">
        <f>(B5+B8)*10000</f>
        <v>300000</v>
      </c>
      <c r="C26" s="162">
        <v>0.05</v>
      </c>
      <c r="D26" s="62">
        <f>B26*(1-C26)/3</f>
        <v>95000</v>
      </c>
      <c r="E26" s="62">
        <f t="shared" ref="E26:F27" si="0">D26</f>
        <v>95000</v>
      </c>
      <c r="F26" s="62">
        <f t="shared" si="0"/>
        <v>95000</v>
      </c>
      <c r="G26" s="62"/>
      <c r="H26" s="62"/>
      <c r="I26" s="62">
        <f>SUM(D26:H26)</f>
        <v>285000</v>
      </c>
      <c r="J26" s="62">
        <f>B26*0.05</f>
        <v>15000</v>
      </c>
    </row>
    <row r="27" ht="16.5" spans="1:10">
      <c r="A27" s="160" t="s">
        <v>214</v>
      </c>
      <c r="B27" s="161">
        <f>B9*10000</f>
        <v>260000</v>
      </c>
      <c r="C27" s="62"/>
      <c r="D27" s="62">
        <f>B27/3</f>
        <v>86666.6666666667</v>
      </c>
      <c r="E27" s="62">
        <f t="shared" si="0"/>
        <v>86666.6666666667</v>
      </c>
      <c r="F27" s="62">
        <f t="shared" si="0"/>
        <v>86666.6666666667</v>
      </c>
      <c r="G27" s="62"/>
      <c r="H27" s="62"/>
      <c r="I27" s="62">
        <f>SUM(D27:H27)</f>
        <v>260000</v>
      </c>
      <c r="J27" s="62"/>
    </row>
    <row r="28" ht="16.5" spans="1:10">
      <c r="A28" s="163" t="s">
        <v>121</v>
      </c>
      <c r="B28" s="164"/>
      <c r="C28" s="165"/>
      <c r="D28" s="62">
        <f>SUM(D26:D27)</f>
        <v>181666.666666667</v>
      </c>
      <c r="E28" s="62">
        <f t="shared" ref="E28:H28" si="1">SUM(E26:E27)</f>
        <v>181666.666666667</v>
      </c>
      <c r="F28" s="62">
        <f t="shared" si="1"/>
        <v>181666.666666667</v>
      </c>
      <c r="G28" s="62"/>
      <c r="H28" s="62">
        <f t="shared" si="1"/>
        <v>0</v>
      </c>
      <c r="I28" s="172"/>
      <c r="J28" s="172"/>
    </row>
    <row r="40" spans="9:9">
      <c r="I40" s="173"/>
    </row>
    <row r="41" ht="37.5" customHeight="1"/>
  </sheetData>
  <mergeCells count="8">
    <mergeCell ref="A1:C1"/>
    <mergeCell ref="E1:H1"/>
    <mergeCell ref="E23:H23"/>
    <mergeCell ref="A28:C28"/>
    <mergeCell ref="E3:E4"/>
    <mergeCell ref="E5:E12"/>
    <mergeCell ref="E13:E21"/>
    <mergeCell ref="J3:J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哿 偉</cp:lastModifiedBy>
  <dcterms:created xsi:type="dcterms:W3CDTF">2006-09-13T11:21:00Z</dcterms:created>
  <dcterms:modified xsi:type="dcterms:W3CDTF">2024-06-13T01:56:00Z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1FDB8E0DACDF434BAA1B3EE4AEF9105D_12</vt:lpwstr>
  </property>
</Properties>
</file>