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年" sheetId="59" r:id="rId7"/>
    <sheet name="2029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'2025年'!$A$1:$H$48</definedName>
    <definedName name="_xlnm.Print_Area" localSheetId="4">'2026年'!$A$1:$H$48</definedName>
    <definedName name="_xlnm.Print_Area" localSheetId="5">'2027年'!$A$1:$H$48</definedName>
    <definedName name="_xlnm.Print_Area" localSheetId="8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<sst xmlns="http://schemas.openxmlformats.org/spreadsheetml/2006/main" count="1503" uniqueCount="296">
  <si>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</si>
  <si>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</si>
  <si>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</si>
  <si>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</si>
  <si>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</si>
  <si>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</si>
  <si>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</si>
  <si>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</si>
  <si>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</si>
  <si>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</si>
  <si>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</si>
  <si>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</si>
  <si>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</si>
  <si>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</si>
  <si>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</si>
  <si>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</si>
  <si>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</si>
  <si>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</si>
  <si>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</si>
  <si>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</si>
  <si>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</si>
  <si>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</si>
  <si>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</si>
  <si>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</si>
  <si>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</si>
  <si>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</si>
  <si>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</si>
  <si>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</si>
  <si>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</si>
  <si>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</si>
  <si>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</si>
  <si>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</si>
  <si>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</si>
  <si>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</si>
  <si>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</si>
  <si>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</si>
  <si>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</si>
  <si>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</si>
  <si>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</si>
  <si>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</si>
  <si>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</si>
  <si>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</si>
  <si>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</si>
  <si>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</si>
  <si>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</si>
  <si>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</si>
  <si>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</si>
  <si>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</si>
  <si>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</si>
  <si>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</si>
  <si>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</si>
  <si>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K1出口尼泊尔座椅项目可行性分析            单位：元</t>
  </si>
  <si>
    <t>面套、骨架、底支架自制</t>
  </si>
  <si>
    <t>2025年</t>
  </si>
  <si>
    <t>2026年</t>
  </si>
  <si>
    <t>2027年</t>
  </si>
  <si>
    <r>
      <t>2028</t>
    </r>
    <r>
      <rPr>
        <b/>
        <sz val="10"/>
        <rFont val="宋体"/>
        <charset val="134"/>
      </rPr>
      <t>年</t>
    </r>
  </si>
  <si>
    <r>
      <t>2029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</si>
  <si>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</si>
  <si>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</si>
  <si>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</si>
  <si>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</si>
  <si>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</si>
  <si>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</si>
  <si>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</si>
  <si>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</si>
  <si>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</si>
  <si>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</si>
  <si>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</si>
  <si>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</si>
  <si>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</si>
  <si>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</si>
  <si>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</si>
  <si>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</si>
  <si>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</si>
  <si>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</si>
  <si>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</si>
  <si>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</si>
  <si>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</si>
  <si>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</si>
  <si>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</si>
  <si>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</si>
  <si>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</si>
  <si>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</si>
  <si>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</si>
  <si>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</si>
  <si>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</si>
  <si>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</si>
  <si>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</si>
  <si>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</si>
  <si>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</si>
  <si>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</si>
  <si>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</si>
  <si>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</si>
  <si>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</si>
  <si>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</si>
  <si>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</si>
  <si>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</si>
  <si>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</si>
  <si>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</si>
  <si>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</si>
  <si>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</si>
  <si>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</si>
  <si>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</si>
  <si>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</si>
  <si>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</si>
  <si>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</si>
  <si>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</si>
  <si>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</si>
  <si>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</si>
  <si>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</si>
  <si>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</si>
  <si>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</si>
  <si>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</si>
  <si>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</si>
  <si>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</si>
  <si>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</si>
  <si>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</si>
  <si>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</si>
  <si>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</si>
  <si>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</si>
  <si>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</si>
  <si>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</si>
  <si>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</si>
  <si>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</si>
  <si>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</si>
  <si>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</si>
  <si>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</si>
  <si>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</si>
  <si>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</si>
  <si>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</si>
  <si>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</si>
  <si>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</si>
  <si>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</si>
  <si>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</si>
  <si>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</si>
  <si>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</si>
  <si>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</si>
  <si>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</si>
  <si>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</si>
  <si>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</si>
  <si>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</si>
  <si>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</si>
  <si>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</si>
  <si>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</si>
  <si>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</si>
  <si>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</si>
  <si>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</si>
  <si>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</si>
  <si>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</si>
  <si>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</si>
  <si>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</si>
  <si>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</si>
  <si>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福田K1</t>
  </si>
  <si>
    <t>产品名称</t>
  </si>
  <si>
    <t>第一排乘客三人连体座椅总成</t>
  </si>
  <si>
    <t>第二排乘客双人连体座椅总成</t>
  </si>
  <si>
    <t>第二排乘客单人座椅总成</t>
  </si>
  <si>
    <t>双人连体座椅总成</t>
  </si>
  <si>
    <t>乘客双人座椅总成</t>
  </si>
  <si>
    <t>产品图号</t>
  </si>
  <si>
    <t>K168100000152</t>
  </si>
  <si>
    <t>K168100000153</t>
  </si>
  <si>
    <t>K168100000154</t>
  </si>
  <si>
    <t>K168100000157</t>
  </si>
  <si>
    <t>K168100000158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</si>
  <si>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</si>
  <si>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</si>
  <si>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</si>
  <si>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</si>
  <si>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</si>
  <si>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</si>
  <si>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</si>
  <si>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</si>
  <si>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</si>
  <si>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</si>
  <si>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</si>
  <si>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</si>
  <si>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北京福田K1驾驶员座椅项目研发费用预算表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</si>
  <si>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</si>
  <si>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</si>
  <si>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</si>
  <si>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</si>
  <si>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</si>
  <si>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</si>
  <si>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</si>
  <si>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</si>
  <si>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</si>
  <si>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</si>
  <si>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</si>
  <si>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</si>
  <si>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</si>
  <si>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</si>
  <si>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</si>
  <si>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</si>
  <si>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</si>
  <si>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</si>
  <si>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</si>
  <si>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</si>
  <si>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</si>
  <si>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</si>
  <si>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</si>
  <si>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</si>
  <si>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</si>
  <si>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</si>
  <si>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</si>
  <si>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</si>
  <si>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</si>
  <si>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</si>
  <si>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</si>
  <si>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</si>
  <si>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</si>
  <si>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</si>
  <si>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</si>
  <si>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</si>
  <si>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</si>
  <si>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</si>
  <si>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</si>
  <si>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</si>
  <si>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</si>
  <si>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</si>
  <si>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r>
      <rPr>
        <sz val="11"/>
        <rFont val="宋体"/>
        <charset val="134"/>
      </rPr>
      <t>K</t>
    </r>
    <r>
      <rPr>
        <sz val="11"/>
        <rFont val="宋体"/>
        <charset val="134"/>
      </rPr>
      <t>168100000152</t>
    </r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</si>
  <si>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</si>
  <si>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</si>
  <si>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</si>
  <si>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</si>
  <si>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</si>
  <si>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</si>
  <si>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年0 %</t>
  </si>
  <si>
    <t>模块</t>
  </si>
  <si>
    <t>项目名称</t>
  </si>
  <si>
    <t>K1</t>
  </si>
  <si>
    <t>项目编号</t>
  </si>
  <si>
    <t>ZY2407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</si>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</sst>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1" borderId="19" applyNumberFormat="0" applyAlignment="0" applyProtection="0">
      <alignment vertical="center"/>
    </xf>
    <xf numFmtId="0" fontId="44" fillId="12" borderId="20" applyNumberFormat="0" applyAlignment="0" applyProtection="0">
      <alignment vertical="center"/>
    </xf>
    <xf numFmtId="0" fontId="45" fillId="12" borderId="19" applyNumberFormat="0" applyAlignment="0" applyProtection="0">
      <alignment vertical="center"/>
    </xf>
    <xf numFmtId="0" fontId="46" fillId="13" borderId="21" applyNumberFormat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4" fillId="0" borderId="0"/>
    <xf numFmtId="0" fontId="55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/>
    <xf numFmtId="0" fontId="57" fillId="0" borderId="0"/>
    <xf numFmtId="1" fontId="58" fillId="0" borderId="2" applyBorder="0"/>
    <xf numFmtId="43" fontId="59" fillId="0" borderId="0" applyFont="0" applyFill="0" applyBorder="0" applyAlignment="0" applyProtection="0">
      <alignment vertical="center"/>
    </xf>
    <xf numFmtId="0" fontId="56" fillId="0" borderId="0"/>
  </cellStyleXfs>
  <cellXfs count="2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43" fontId="0" fillId="0" borderId="0" xfId="1" applyFont="1">
      <alignment vertical="center"/>
    </xf>
    <xf numFmtId="0" fontId="16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7" fillId="7" borderId="2" xfId="53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53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8" fillId="0" borderId="3" xfId="53" applyNumberFormat="1" applyFont="1" applyFill="1" applyBorder="1" applyAlignment="1">
      <alignment horizontal="center" vertical="center"/>
    </xf>
    <xf numFmtId="179" fontId="18" fillId="0" borderId="3" xfId="53" applyNumberFormat="1" applyFont="1" applyFill="1" applyBorder="1" applyAlignment="1">
      <alignment horizontal="left" vertical="center" wrapText="1"/>
    </xf>
    <xf numFmtId="0" fontId="19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1" fillId="0" borderId="0" xfId="1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21" fillId="0" borderId="3" xfId="1" applyFont="1" applyFill="1" applyBorder="1" applyAlignment="1">
      <alignment horizontal="center" vertical="center"/>
    </xf>
    <xf numFmtId="43" fontId="21" fillId="0" borderId="4" xfId="1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center" vertical="center"/>
    </xf>
    <xf numFmtId="43" fontId="21" fillId="4" borderId="2" xfId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 wrapText="1"/>
    </xf>
    <xf numFmtId="43" fontId="25" fillId="0" borderId="6" xfId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21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wrapText="1" readingOrder="1"/>
    </xf>
    <xf numFmtId="43" fontId="21" fillId="0" borderId="2" xfId="1" applyFont="1" applyFill="1" applyBorder="1" applyAlignment="1">
      <alignment horizontal="center" vertical="center"/>
    </xf>
    <xf numFmtId="0" fontId="26" fillId="0" borderId="2" xfId="0" applyFont="1" applyFill="1" applyBorder="1">
      <alignment vertical="center"/>
    </xf>
    <xf numFmtId="10" fontId="21" fillId="0" borderId="2" xfId="3" applyNumberFormat="1" applyFont="1" applyFill="1" applyBorder="1" applyAlignment="1">
      <alignment horizontal="center" vertical="center"/>
    </xf>
    <xf numFmtId="0" fontId="22" fillId="0" borderId="2" xfId="0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3" fillId="0" borderId="2" xfId="0" applyFont="1" applyFill="1" applyBorder="1">
      <alignment vertical="center"/>
    </xf>
    <xf numFmtId="9" fontId="21" fillId="0" borderId="2" xfId="3" applyFont="1" applyFill="1" applyBorder="1">
      <alignment vertical="center"/>
    </xf>
    <xf numFmtId="10" fontId="21" fillId="0" borderId="2" xfId="3" applyNumberFormat="1" applyFont="1" applyFill="1" applyBorder="1">
      <alignment vertical="center"/>
    </xf>
    <xf numFmtId="43" fontId="22" fillId="0" borderId="2" xfId="1" applyFont="1" applyFill="1" applyBorder="1" applyAlignment="1">
      <alignment horizontal="center" vertical="center"/>
    </xf>
    <xf numFmtId="43" fontId="21" fillId="0" borderId="2" xfId="0" applyNumberFormat="1" applyFont="1" applyFill="1" applyBorder="1">
      <alignment vertical="center"/>
    </xf>
    <xf numFmtId="43" fontId="23" fillId="0" borderId="2" xfId="1" applyFont="1" applyFill="1" applyBorder="1">
      <alignment vertical="center"/>
    </xf>
    <xf numFmtId="43" fontId="21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1" fillId="0" borderId="0" xfId="0" applyNumberFormat="1" applyFont="1" applyFill="1">
      <alignment vertical="center"/>
    </xf>
    <xf numFmtId="10" fontId="21" fillId="0" borderId="0" xfId="0" applyNumberFormat="1" applyFont="1" applyFill="1">
      <alignment vertical="center"/>
    </xf>
    <xf numFmtId="0" fontId="27" fillId="0" borderId="0" xfId="0" applyFont="1" applyFill="1">
      <alignment vertical="center"/>
    </xf>
    <xf numFmtId="180" fontId="21" fillId="0" borderId="0" xfId="0" applyNumberFormat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3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>
      <alignment vertical="center"/>
    </xf>
    <xf numFmtId="43" fontId="21" fillId="0" borderId="0" xfId="1" applyFont="1">
      <alignment vertical="center"/>
    </xf>
    <xf numFmtId="0" fontId="28" fillId="0" borderId="1" xfId="0" applyFont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43" fontId="29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177" fontId="21" fillId="0" borderId="2" xfId="1" applyNumberFormat="1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3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1" fillId="0" borderId="2" xfId="0" applyFont="1" applyBorder="1">
      <alignment vertical="center"/>
    </xf>
    <xf numFmtId="10" fontId="23" fillId="0" borderId="2" xfId="3" applyNumberFormat="1" applyFont="1" applyBorder="1" applyAlignment="1">
      <alignment vertical="center"/>
    </xf>
    <xf numFmtId="177" fontId="23" fillId="0" borderId="2" xfId="1" applyNumberFormat="1" applyFont="1" applyBorder="1" applyAlignment="1">
      <alignment horizontal="center" vertical="center"/>
    </xf>
    <xf numFmtId="177" fontId="21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1" fillId="0" borderId="2" xfId="1" applyNumberFormat="1" applyFont="1" applyBorder="1" applyAlignment="1">
      <alignment horizontal="center" vertical="center"/>
    </xf>
    <xf numFmtId="10" fontId="21" fillId="0" borderId="2" xfId="3" applyNumberFormat="1" applyFont="1" applyBorder="1">
      <alignment vertical="center"/>
    </xf>
    <xf numFmtId="10" fontId="21" fillId="0" borderId="0" xfId="3" applyNumberFormat="1" applyFont="1" applyBorder="1">
      <alignment vertical="center"/>
    </xf>
    <xf numFmtId="43" fontId="21" fillId="0" borderId="0" xfId="1" applyFont="1" applyBorder="1">
      <alignment vertical="center"/>
    </xf>
    <xf numFmtId="0" fontId="21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3" fontId="21" fillId="0" borderId="2" xfId="1" applyFont="1" applyBorder="1">
      <alignment vertical="center"/>
    </xf>
    <xf numFmtId="177" fontId="21" fillId="0" borderId="2" xfId="1" applyNumberFormat="1" applyFont="1" applyBorder="1">
      <alignment vertical="center"/>
    </xf>
    <xf numFmtId="43" fontId="22" fillId="0" borderId="0" xfId="0" applyNumberFormat="1" applyFont="1" applyFill="1">
      <alignment vertical="center"/>
    </xf>
    <xf numFmtId="43" fontId="21" fillId="0" borderId="0" xfId="0" applyNumberFormat="1" applyFont="1" applyFill="1" applyBorder="1">
      <alignment vertical="center"/>
    </xf>
    <xf numFmtId="0" fontId="23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1" fillId="0" borderId="6" xfId="0" applyFont="1" applyBorder="1">
      <alignment vertical="center"/>
    </xf>
    <xf numFmtId="1" fontId="18" fillId="6" borderId="0" xfId="49" applyNumberFormat="1" applyFont="1" applyFill="1" applyProtection="1"/>
    <xf numFmtId="0" fontId="18" fillId="6" borderId="0" xfId="49" applyFont="1" applyFill="1" applyProtection="1"/>
    <xf numFmtId="0" fontId="31" fillId="6" borderId="0" xfId="49" applyFont="1" applyFill="1" applyAlignment="1" applyProtection="1">
      <alignment horizontal="centerContinuous"/>
    </xf>
    <xf numFmtId="0" fontId="18" fillId="6" borderId="0" xfId="49" applyFont="1" applyFill="1" applyAlignment="1">
      <alignment horizontal="centerContinuous"/>
    </xf>
    <xf numFmtId="0" fontId="18" fillId="6" borderId="0" xfId="49" applyFont="1" applyFill="1" applyAlignment="1" applyProtection="1">
      <alignment horizontal="centerContinuous"/>
    </xf>
    <xf numFmtId="9" fontId="18" fillId="6" borderId="0" xfId="49" applyNumberFormat="1" applyFont="1" applyFill="1" applyProtection="1"/>
    <xf numFmtId="0" fontId="18" fillId="6" borderId="6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center"/>
    </xf>
    <xf numFmtId="0" fontId="20" fillId="6" borderId="4" xfId="49" applyFont="1" applyFill="1" applyBorder="1" applyAlignment="1" applyProtection="1">
      <alignment horizontal="center"/>
    </xf>
    <xf numFmtId="1" fontId="20" fillId="6" borderId="4" xfId="54" applyFont="1" applyFill="1" applyBorder="1"/>
    <xf numFmtId="1" fontId="18" fillId="6" borderId="4" xfId="54" applyFont="1" applyFill="1" applyBorder="1"/>
    <xf numFmtId="0" fontId="18" fillId="6" borderId="7" xfId="49" applyFont="1" applyFill="1" applyBorder="1" applyProtection="1"/>
    <xf numFmtId="0" fontId="18" fillId="6" borderId="2" xfId="49" applyFont="1" applyFill="1" applyBorder="1" applyAlignment="1" applyProtection="1">
      <alignment horizontal="center"/>
    </xf>
    <xf numFmtId="0" fontId="18" fillId="6" borderId="2" xfId="49" applyFont="1" applyFill="1" applyBorder="1" applyAlignment="1" applyProtection="1">
      <alignment horizontal="left"/>
    </xf>
    <xf numFmtId="0" fontId="18" fillId="9" borderId="2" xfId="49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49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49" applyNumberFormat="1" applyFont="1" applyFill="1" applyBorder="1" applyAlignment="1" applyProtection="1">
      <alignment horizontal="left"/>
    </xf>
    <xf numFmtId="1" fontId="18" fillId="6" borderId="2" xfId="49" applyNumberFormat="1" applyFont="1" applyFill="1" applyBorder="1" applyProtection="1"/>
    <xf numFmtId="1" fontId="18" fillId="6" borderId="2" xfId="49" applyNumberFormat="1" applyFont="1" applyFill="1" applyBorder="1" applyAlignment="1" applyProtection="1">
      <alignment horizontal="left"/>
    </xf>
    <xf numFmtId="0" fontId="18" fillId="6" borderId="8" xfId="49" applyFont="1" applyFill="1" applyBorder="1" applyProtection="1"/>
    <xf numFmtId="0" fontId="18" fillId="6" borderId="11" xfId="49" applyFont="1" applyFill="1" applyBorder="1" applyProtection="1"/>
    <xf numFmtId="0" fontId="18" fillId="6" borderId="12" xfId="49" applyFont="1" applyFill="1" applyBorder="1" applyProtection="1"/>
    <xf numFmtId="0" fontId="18" fillId="6" borderId="0" xfId="49" applyFont="1" applyFill="1" applyBorder="1" applyProtection="1"/>
    <xf numFmtId="181" fontId="18" fillId="6" borderId="0" xfId="49" applyNumberFormat="1" applyFont="1" applyFill="1" applyBorder="1" applyProtection="1"/>
    <xf numFmtId="10" fontId="18" fillId="6" borderId="0" xfId="49" applyNumberFormat="1" applyFont="1" applyFill="1" applyBorder="1" applyProtection="1"/>
    <xf numFmtId="1" fontId="18" fillId="6" borderId="0" xfId="49" applyNumberFormat="1" applyFont="1" applyFill="1" applyBorder="1" applyProtection="1"/>
    <xf numFmtId="0" fontId="18" fillId="6" borderId="13" xfId="49" applyFont="1" applyFill="1" applyBorder="1" applyProtection="1"/>
    <xf numFmtId="0" fontId="18" fillId="6" borderId="1" xfId="49" applyFont="1" applyFill="1" applyBorder="1" applyProtection="1"/>
    <xf numFmtId="2" fontId="18" fillId="6" borderId="1" xfId="49" applyNumberFormat="1" applyFont="1" applyFill="1" applyBorder="1" applyProtection="1"/>
    <xf numFmtId="0" fontId="18" fillId="6" borderId="5" xfId="49" applyFont="1" applyFill="1" applyBorder="1"/>
    <xf numFmtId="1" fontId="18" fillId="6" borderId="7" xfId="54" applyFont="1" applyFill="1" applyBorder="1" applyAlignment="1">
      <alignment horizontal="center"/>
    </xf>
    <xf numFmtId="0" fontId="18" fillId="6" borderId="9" xfId="49" applyFont="1" applyFill="1" applyBorder="1" applyProtection="1"/>
    <xf numFmtId="0" fontId="18" fillId="6" borderId="14" xfId="49" applyFont="1" applyFill="1" applyBorder="1" applyProtection="1"/>
    <xf numFmtId="0" fontId="18" fillId="6" borderId="15" xfId="49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37" customFormat="1" ht="35.25" customHeight="1" spans="1:4">
      <c r="A2" s="238" t="s">
        <v>0</v>
      </c>
      <c r="B2" s="238" t="s">
        <v>1</v>
      </c>
      <c r="C2" s="238" t="s">
        <v>2</v>
      </c>
      <c r="D2" s="239"/>
    </row>
    <row r="3" s="237" customFormat="1" ht="33.75" customHeight="1" spans="1:4">
      <c r="A3" s="240">
        <v>1</v>
      </c>
      <c r="B3" s="240" t="s">
        <v>3</v>
      </c>
      <c r="C3" s="241" t="s">
        <v>4</v>
      </c>
      <c r="D3" s="239"/>
    </row>
    <row r="4" s="237" customFormat="1" ht="33.75" customHeight="1" spans="1:3">
      <c r="A4" s="240">
        <v>2</v>
      </c>
      <c r="B4" s="240" t="s">
        <v>5</v>
      </c>
      <c r="C4" s="241" t="s">
        <v>6</v>
      </c>
    </row>
    <row r="5" s="237" customFormat="1" ht="33.75" customHeight="1" spans="1:3">
      <c r="A5" s="240">
        <v>3</v>
      </c>
      <c r="B5" s="242" t="s">
        <v>7</v>
      </c>
      <c r="C5" s="243" t="s">
        <v>8</v>
      </c>
    </row>
    <row r="6" s="237" customFormat="1" ht="33.75" customHeight="1" spans="1:3">
      <c r="A6" s="240">
        <v>4</v>
      </c>
      <c r="B6" s="244"/>
      <c r="C6" s="241" t="s">
        <v>9</v>
      </c>
    </row>
    <row r="7" s="237" customFormat="1" ht="33.75" customHeight="1" spans="1:3">
      <c r="A7" s="240">
        <v>5</v>
      </c>
      <c r="B7" s="245" t="s">
        <v>10</v>
      </c>
      <c r="C7" s="241" t="s">
        <v>11</v>
      </c>
    </row>
    <row r="8" s="237" customFormat="1" ht="33.75" customHeight="1" spans="1:3">
      <c r="A8" s="240">
        <v>6</v>
      </c>
      <c r="B8" s="242" t="s">
        <v>12</v>
      </c>
      <c r="C8" s="241" t="s">
        <v>13</v>
      </c>
    </row>
    <row r="9" s="237" customFormat="1" ht="33.75" customHeight="1" spans="1:3">
      <c r="A9" s="240">
        <v>7</v>
      </c>
      <c r="B9" s="244"/>
      <c r="C9" s="241" t="s">
        <v>14</v>
      </c>
    </row>
    <row r="10" s="237" customFormat="1" ht="33.75" customHeight="1" spans="1:3">
      <c r="A10" s="240">
        <v>8</v>
      </c>
      <c r="B10" s="244"/>
      <c r="C10" s="243" t="s">
        <v>15</v>
      </c>
    </row>
    <row r="11" s="237" customFormat="1" ht="33.75" customHeight="1" spans="1:3">
      <c r="A11" s="240">
        <v>9</v>
      </c>
      <c r="B11" s="244"/>
      <c r="C11" s="241" t="s">
        <v>16</v>
      </c>
    </row>
    <row r="12" s="237" customFormat="1" ht="33.75" customHeight="1" spans="1:3">
      <c r="A12" s="240">
        <v>10</v>
      </c>
      <c r="B12" s="245" t="s">
        <v>17</v>
      </c>
      <c r="C12" s="241" t="s">
        <v>18</v>
      </c>
    </row>
    <row r="13" ht="33.75" customHeight="1"/>
    <row r="14" ht="33.75" customHeight="1"/>
    <row r="15" ht="33.75" customHeight="1" spans="3:3">
      <c r="C15" s="246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85" zoomScaleNormal="85" workbookViewId="0">
      <selection activeCell="G22" sqref="G22"/>
    </sheetView>
  </sheetViews>
  <sheetFormatPr defaultColWidth="9" defaultRowHeight="16.5"/>
  <cols>
    <col min="1" max="1" width="14" style="68" customWidth="1"/>
    <col min="2" max="2" width="14.1272727272727" style="68" customWidth="1"/>
    <col min="3" max="3" width="14.7545454545455" style="68" customWidth="1"/>
    <col min="4" max="4" width="11.1272727272727" style="68" customWidth="1"/>
    <col min="5" max="5" width="12.8727272727273" style="68" customWidth="1"/>
    <col min="6" max="6" width="11.1272727272727" style="68" customWidth="1"/>
    <col min="7" max="7" width="13.2545454545455" style="68" customWidth="1"/>
    <col min="8" max="8" width="11.6272727272727" style="68" customWidth="1"/>
    <col min="9" max="9" width="9.25454545454545" style="68" customWidth="1"/>
    <col min="10" max="10" width="9.12727272727273" style="69" customWidth="1"/>
    <col min="11" max="11" width="12.8727272727273" style="69"/>
    <col min="12" max="16384" width="9" style="68"/>
  </cols>
  <sheetData>
    <row r="1" ht="29.25" customHeight="1" spans="1:8">
      <c r="A1" s="70" t="s">
        <v>216</v>
      </c>
      <c r="E1" s="71"/>
      <c r="F1" s="71"/>
      <c r="G1" s="71"/>
      <c r="H1" s="71"/>
    </row>
    <row r="2" ht="24" customHeight="1" spans="1:8">
      <c r="A2" s="72" t="s">
        <v>217</v>
      </c>
      <c r="E2" s="71"/>
      <c r="F2" s="71"/>
      <c r="G2" s="71"/>
      <c r="H2" s="71"/>
    </row>
    <row r="3" spans="3:5">
      <c r="C3" s="68" t="s">
        <v>218</v>
      </c>
      <c r="D3" s="68" t="s">
        <v>219</v>
      </c>
      <c r="E3" s="73">
        <v>0</v>
      </c>
    </row>
    <row r="5" ht="45" customHeight="1" spans="1:8">
      <c r="A5" s="74" t="s">
        <v>220</v>
      </c>
      <c r="B5" s="75" t="s">
        <v>154</v>
      </c>
      <c r="C5" s="21" t="s">
        <v>155</v>
      </c>
      <c r="D5" s="21" t="s">
        <v>156</v>
      </c>
      <c r="E5" s="21" t="s">
        <v>157</v>
      </c>
      <c r="F5" s="21" t="s">
        <v>158</v>
      </c>
      <c r="G5" s="21" t="s">
        <v>159</v>
      </c>
      <c r="H5" s="76" t="s">
        <v>58</v>
      </c>
    </row>
    <row r="6" ht="31.5" customHeight="1" spans="1:10">
      <c r="A6" s="74"/>
      <c r="B6" s="75" t="s">
        <v>160</v>
      </c>
      <c r="C6" s="21" t="s">
        <v>221</v>
      </c>
      <c r="D6" s="21" t="s">
        <v>162</v>
      </c>
      <c r="E6" s="21" t="s">
        <v>163</v>
      </c>
      <c r="F6" s="21" t="s">
        <v>164</v>
      </c>
      <c r="G6" s="21" t="s">
        <v>165</v>
      </c>
      <c r="H6" s="77"/>
      <c r="J6" s="69">
        <v>100</v>
      </c>
    </row>
    <row r="7" ht="15.6" customHeight="1" spans="1:11">
      <c r="A7" s="74"/>
      <c r="B7" s="23" t="s">
        <v>222</v>
      </c>
      <c r="C7" s="78"/>
      <c r="D7" s="78"/>
      <c r="E7" s="23"/>
      <c r="F7" s="23"/>
      <c r="G7" s="78"/>
      <c r="H7" s="79"/>
      <c r="I7" s="68">
        <v>2026</v>
      </c>
      <c r="J7" s="69">
        <f>J6*(1-$E$3)</f>
        <v>100</v>
      </c>
      <c r="K7" s="69">
        <f>J7/$J$6</f>
        <v>1</v>
      </c>
    </row>
    <row r="8" ht="33" spans="1:11">
      <c r="A8" s="74"/>
      <c r="B8" s="23" t="s">
        <v>223</v>
      </c>
      <c r="C8" s="80">
        <v>991.15</v>
      </c>
      <c r="D8" s="80">
        <v>730.09</v>
      </c>
      <c r="E8" s="80">
        <v>351.33</v>
      </c>
      <c r="F8" s="80">
        <v>693.8</v>
      </c>
      <c r="G8" s="80">
        <v>693.8</v>
      </c>
      <c r="H8" s="81">
        <f>SUM(C8:G8)</f>
        <v>3460.17</v>
      </c>
      <c r="I8" s="68">
        <v>2027</v>
      </c>
      <c r="J8" s="69">
        <f>J7*(1-$E$3)</f>
        <v>100</v>
      </c>
      <c r="K8" s="69">
        <f>J8/$J$6</f>
        <v>1</v>
      </c>
    </row>
    <row r="9" spans="1:11">
      <c r="A9" s="74" t="s">
        <v>224</v>
      </c>
      <c r="B9" s="82" t="s">
        <v>53</v>
      </c>
      <c r="C9" s="83">
        <v>350</v>
      </c>
      <c r="D9" s="83">
        <v>350</v>
      </c>
      <c r="E9" s="83">
        <v>350</v>
      </c>
      <c r="F9" s="83">
        <v>350</v>
      </c>
      <c r="G9" s="83">
        <v>350</v>
      </c>
      <c r="H9" s="81">
        <f>SUM(C9:G9)</f>
        <v>1750</v>
      </c>
      <c r="J9" s="69">
        <f t="shared" ref="J8:J10" si="0">J8*(1-$E$3)</f>
        <v>100</v>
      </c>
      <c r="K9" s="69">
        <f>J9/$J$6</f>
        <v>1</v>
      </c>
    </row>
    <row r="10" spans="1:11">
      <c r="A10" s="74"/>
      <c r="B10" s="82" t="s">
        <v>54</v>
      </c>
      <c r="C10" s="83">
        <v>700</v>
      </c>
      <c r="D10" s="83">
        <v>700</v>
      </c>
      <c r="E10" s="83">
        <v>700</v>
      </c>
      <c r="F10" s="83">
        <v>700</v>
      </c>
      <c r="G10" s="83">
        <v>700</v>
      </c>
      <c r="H10" s="81">
        <f>SUM(C10:G10)</f>
        <v>3500</v>
      </c>
      <c r="J10" s="69">
        <f t="shared" si="0"/>
        <v>100</v>
      </c>
      <c r="K10" s="69">
        <f t="shared" ref="K10" si="1">J10/$J$6</f>
        <v>1</v>
      </c>
    </row>
    <row r="11" spans="1:8">
      <c r="A11" s="74"/>
      <c r="B11" s="82" t="s">
        <v>55</v>
      </c>
      <c r="C11" s="83">
        <v>800</v>
      </c>
      <c r="D11" s="83">
        <v>800</v>
      </c>
      <c r="E11" s="83">
        <v>800</v>
      </c>
      <c r="F11" s="83">
        <v>800</v>
      </c>
      <c r="G11" s="83">
        <v>800</v>
      </c>
      <c r="H11" s="81">
        <f>SUM(C11:G11)</f>
        <v>4000</v>
      </c>
    </row>
    <row r="12" spans="1:8">
      <c r="A12" s="74"/>
      <c r="B12" s="82" t="s">
        <v>212</v>
      </c>
      <c r="C12" s="83">
        <v>850</v>
      </c>
      <c r="D12" s="83">
        <v>850</v>
      </c>
      <c r="E12" s="83">
        <v>850</v>
      </c>
      <c r="F12" s="83">
        <v>850</v>
      </c>
      <c r="G12" s="83">
        <v>850</v>
      </c>
      <c r="H12" s="81">
        <f>SUM(C12:G12)</f>
        <v>4250</v>
      </c>
    </row>
    <row r="13" spans="1:8">
      <c r="A13" s="74"/>
      <c r="B13" s="82" t="s">
        <v>213</v>
      </c>
      <c r="C13" s="83">
        <v>890</v>
      </c>
      <c r="D13" s="83">
        <v>890</v>
      </c>
      <c r="E13" s="83">
        <v>890</v>
      </c>
      <c r="F13" s="83">
        <v>890</v>
      </c>
      <c r="G13" s="83">
        <v>890</v>
      </c>
      <c r="H13" s="81">
        <f>SUM(C13:G13)</f>
        <v>4450</v>
      </c>
    </row>
    <row r="14" spans="1:8">
      <c r="A14" s="82" t="s">
        <v>58</v>
      </c>
      <c r="B14" s="82"/>
      <c r="C14" s="84">
        <f>SUM(C9:C13)</f>
        <v>3590</v>
      </c>
      <c r="D14" s="84">
        <f>SUM(D9:D13)</f>
        <v>3590</v>
      </c>
      <c r="E14" s="84">
        <f>SUM(E9:E13)</f>
        <v>3590</v>
      </c>
      <c r="F14" s="84">
        <f>SUM(F9:F13)</f>
        <v>3590</v>
      </c>
      <c r="G14" s="84">
        <f>SUM(G9:G13)</f>
        <v>3590</v>
      </c>
      <c r="H14" s="84">
        <f>SUM(H9:H13)</f>
        <v>17950</v>
      </c>
    </row>
    <row r="15" ht="33" spans="1:3">
      <c r="A15" s="85"/>
      <c r="B15" s="85"/>
      <c r="C15" s="86" t="s">
        <v>52</v>
      </c>
    </row>
    <row r="16" spans="2:8">
      <c r="B16" s="68" t="s">
        <v>225</v>
      </c>
      <c r="C16" s="87">
        <f>材料成本!D24</f>
        <v>336.8102649961</v>
      </c>
      <c r="D16" s="87">
        <f>材料成本!E24</f>
        <v>263.57094</v>
      </c>
      <c r="E16" s="87">
        <f>材料成本!F24</f>
        <v>161.192</v>
      </c>
      <c r="F16" s="87">
        <f>材料成本!G24</f>
        <v>184.8158568</v>
      </c>
      <c r="G16" s="87">
        <f>材料成本!H24</f>
        <v>305.4940808</v>
      </c>
      <c r="H16" s="85">
        <f>SUM(C16:G16)</f>
        <v>1251.8831425961</v>
      </c>
    </row>
    <row r="17" spans="2:8">
      <c r="B17" s="68" t="s">
        <v>106</v>
      </c>
      <c r="C17" s="87">
        <f>C8-C16</f>
        <v>654.3397350039</v>
      </c>
      <c r="D17" s="87">
        <f>D8-D16</f>
        <v>466.51906</v>
      </c>
      <c r="E17" s="87">
        <f>E8-E16</f>
        <v>190.138</v>
      </c>
      <c r="F17" s="87">
        <f>F8-F16</f>
        <v>508.9841432</v>
      </c>
      <c r="G17" s="87">
        <f>G8-G16</f>
        <v>388.3059192</v>
      </c>
      <c r="H17" s="85">
        <f>SUM(C17:G17)</f>
        <v>2208.2868574039</v>
      </c>
    </row>
    <row r="18" spans="2:8">
      <c r="B18" s="68" t="s">
        <v>226</v>
      </c>
      <c r="C18" s="88">
        <f>C17/C8</f>
        <v>0.660182348790698</v>
      </c>
      <c r="D18" s="88">
        <f>D17/D8</f>
        <v>0.638988426084455</v>
      </c>
      <c r="E18" s="88">
        <f>E17/E8</f>
        <v>0.54119488799704</v>
      </c>
      <c r="F18" s="88">
        <f>F17/F8</f>
        <v>0.733617963678293</v>
      </c>
      <c r="G18" s="89">
        <f>G17/G8</f>
        <v>0.559679906601326</v>
      </c>
      <c r="H18" s="88">
        <f>H17/H8</f>
        <v>0.638201839043717</v>
      </c>
    </row>
  </sheetData>
  <mergeCells count="4">
    <mergeCell ref="A14:B14"/>
    <mergeCell ref="A5:A8"/>
    <mergeCell ref="A9:A13"/>
    <mergeCell ref="H5:H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xSplit="3" ySplit="5" topLeftCell="D8" activePane="bottomRight" state="frozen"/>
      <selection/>
      <selection pane="topRight"/>
      <selection pane="bottomLeft"/>
      <selection pane="bottomRight" activeCell="I28" sqref="I28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9" width="12" style="34" customWidth="1"/>
    <col min="10" max="10" width="12.2545454545455" style="33" customWidth="1"/>
    <col min="11" max="11" width="13.2545454545455" style="33" customWidth="1"/>
    <col min="12" max="12" width="16" style="33" customWidth="1"/>
    <col min="13" max="16384" width="9" style="33"/>
  </cols>
  <sheetData>
    <row r="1" s="32" customFormat="1" ht="28.5" customHeight="1" spans="1:12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L1" s="61"/>
    </row>
    <row r="2" spans="1:9">
      <c r="A2" s="38" t="s">
        <v>227</v>
      </c>
      <c r="B2" s="38"/>
      <c r="C2" s="39"/>
      <c r="D2" s="40"/>
      <c r="E2" s="41" t="s">
        <v>228</v>
      </c>
      <c r="F2" s="42"/>
      <c r="G2" s="42"/>
      <c r="H2" s="42"/>
      <c r="I2" s="62"/>
    </row>
    <row r="3" ht="33" spans="1:9">
      <c r="A3" s="43" t="s">
        <v>21</v>
      </c>
      <c r="B3" s="43" t="s">
        <v>229</v>
      </c>
      <c r="C3" s="43" t="s">
        <v>230</v>
      </c>
      <c r="D3" s="44" t="s">
        <v>231</v>
      </c>
      <c r="E3" s="44"/>
      <c r="F3" s="40" t="s">
        <v>232</v>
      </c>
      <c r="G3" s="45" t="s">
        <v>233</v>
      </c>
      <c r="H3" s="46"/>
      <c r="I3" s="63" t="s">
        <v>180</v>
      </c>
    </row>
    <row r="4" ht="39" spans="1:9">
      <c r="A4" s="43"/>
      <c r="B4" s="43"/>
      <c r="C4" s="43" t="s">
        <v>154</v>
      </c>
      <c r="D4" s="47" t="s">
        <v>155</v>
      </c>
      <c r="E4" s="47" t="s">
        <v>156</v>
      </c>
      <c r="F4" s="47" t="s">
        <v>157</v>
      </c>
      <c r="G4" s="47" t="s">
        <v>158</v>
      </c>
      <c r="H4" s="48" t="s">
        <v>159</v>
      </c>
      <c r="I4" s="64"/>
    </row>
    <row r="5" ht="33" spans="1:9">
      <c r="A5" s="43"/>
      <c r="B5" s="43"/>
      <c r="C5" s="43" t="s">
        <v>160</v>
      </c>
      <c r="D5" s="47" t="s">
        <v>161</v>
      </c>
      <c r="E5" s="47" t="s">
        <v>162</v>
      </c>
      <c r="F5" s="47" t="s">
        <v>163</v>
      </c>
      <c r="G5" s="47" t="s">
        <v>164</v>
      </c>
      <c r="H5" s="47" t="s">
        <v>165</v>
      </c>
      <c r="I5" s="65"/>
    </row>
    <row r="6" spans="1:9">
      <c r="A6" s="49">
        <v>1</v>
      </c>
      <c r="B6" s="50" t="s">
        <v>234</v>
      </c>
      <c r="C6" s="51"/>
      <c r="D6" s="52"/>
      <c r="E6" s="48"/>
      <c r="F6" s="48"/>
      <c r="G6" s="48"/>
      <c r="H6" s="48"/>
      <c r="I6" s="66"/>
    </row>
    <row r="7" spans="1:9">
      <c r="A7" s="49">
        <v>2</v>
      </c>
      <c r="B7" s="50" t="s">
        <v>235</v>
      </c>
      <c r="C7" s="51"/>
      <c r="D7" s="52"/>
      <c r="E7" s="48"/>
      <c r="F7" s="48"/>
      <c r="G7" s="48"/>
      <c r="H7" s="48"/>
      <c r="I7" s="66"/>
    </row>
    <row r="8" spans="1:9">
      <c r="A8" s="49">
        <v>3</v>
      </c>
      <c r="B8" s="50" t="s">
        <v>236</v>
      </c>
      <c r="C8" s="51"/>
      <c r="D8" s="52"/>
      <c r="E8" s="52"/>
      <c r="F8" s="52"/>
      <c r="G8" s="52"/>
      <c r="H8" s="52"/>
      <c r="I8" s="66"/>
    </row>
    <row r="9" spans="1:9">
      <c r="A9" s="49">
        <v>4</v>
      </c>
      <c r="B9" s="50" t="s">
        <v>237</v>
      </c>
      <c r="C9" s="51"/>
      <c r="D9" s="52"/>
      <c r="E9" s="48"/>
      <c r="F9" s="48"/>
      <c r="G9" s="48"/>
      <c r="H9" s="48"/>
      <c r="I9" s="66"/>
    </row>
    <row r="10" spans="1:9">
      <c r="A10" s="49">
        <v>5</v>
      </c>
      <c r="B10" s="50" t="s">
        <v>238</v>
      </c>
      <c r="C10" s="51"/>
      <c r="D10" s="52"/>
      <c r="E10" s="48"/>
      <c r="F10" s="48"/>
      <c r="G10" s="48"/>
      <c r="H10" s="48"/>
      <c r="I10" s="66"/>
    </row>
    <row r="11" spans="1:9">
      <c r="A11" s="49">
        <v>6</v>
      </c>
      <c r="B11" s="50" t="s">
        <v>239</v>
      </c>
      <c r="C11" s="51"/>
      <c r="D11" s="52"/>
      <c r="E11" s="48"/>
      <c r="F11" s="48"/>
      <c r="G11" s="48"/>
      <c r="H11" s="48"/>
      <c r="I11" s="66"/>
    </row>
    <row r="12" spans="1:9">
      <c r="A12" s="49">
        <v>7</v>
      </c>
      <c r="B12" s="50" t="s">
        <v>240</v>
      </c>
      <c r="C12" s="51"/>
      <c r="D12" s="52"/>
      <c r="E12" s="48"/>
      <c r="F12" s="48"/>
      <c r="G12" s="48"/>
      <c r="H12" s="48"/>
      <c r="I12" s="66"/>
    </row>
    <row r="13" spans="1:9">
      <c r="A13" s="49">
        <v>8</v>
      </c>
      <c r="B13" s="50" t="s">
        <v>241</v>
      </c>
      <c r="C13" s="51"/>
      <c r="D13" s="52"/>
      <c r="E13" s="48"/>
      <c r="F13" s="48"/>
      <c r="G13" s="48"/>
      <c r="H13" s="48"/>
      <c r="I13" s="66"/>
    </row>
    <row r="14" spans="1:9">
      <c r="A14" s="49">
        <v>9</v>
      </c>
      <c r="B14" s="50" t="s">
        <v>242</v>
      </c>
      <c r="C14" s="51"/>
      <c r="D14" s="52"/>
      <c r="E14" s="48"/>
      <c r="F14" s="48"/>
      <c r="G14" s="48"/>
      <c r="H14" s="48"/>
      <c r="I14" s="66"/>
    </row>
    <row r="15" spans="1:9">
      <c r="A15" s="49">
        <v>10</v>
      </c>
      <c r="B15" s="50" t="s">
        <v>243</v>
      </c>
      <c r="C15" s="51"/>
      <c r="D15" s="52"/>
      <c r="E15" s="48"/>
      <c r="F15" s="48"/>
      <c r="G15" s="48"/>
      <c r="H15" s="48"/>
      <c r="I15" s="66"/>
    </row>
    <row r="16" spans="1:9">
      <c r="A16" s="49">
        <v>11</v>
      </c>
      <c r="B16" s="50" t="s">
        <v>244</v>
      </c>
      <c r="C16" s="51"/>
      <c r="D16" s="52"/>
      <c r="E16" s="48"/>
      <c r="F16" s="48"/>
      <c r="G16" s="48"/>
      <c r="H16" s="48"/>
      <c r="I16" s="66"/>
    </row>
    <row r="17" spans="1:9">
      <c r="A17" s="49">
        <v>12</v>
      </c>
      <c r="B17" s="50" t="s">
        <v>245</v>
      </c>
      <c r="C17" s="51"/>
      <c r="D17" s="52"/>
      <c r="E17" s="48"/>
      <c r="F17" s="48"/>
      <c r="G17" s="48"/>
      <c r="H17" s="48"/>
      <c r="I17" s="66"/>
    </row>
    <row r="18" spans="1:9">
      <c r="A18" s="49">
        <v>13</v>
      </c>
      <c r="B18" s="50" t="s">
        <v>246</v>
      </c>
      <c r="C18" s="51"/>
      <c r="D18" s="52"/>
      <c r="E18" s="48"/>
      <c r="F18" s="48"/>
      <c r="G18" s="48"/>
      <c r="H18" s="48"/>
      <c r="I18" s="66"/>
    </row>
    <row r="19" spans="1:9">
      <c r="A19" s="49">
        <v>14</v>
      </c>
      <c r="B19" s="50" t="s">
        <v>247</v>
      </c>
      <c r="C19" s="51"/>
      <c r="D19" s="52"/>
      <c r="E19" s="48"/>
      <c r="F19" s="48"/>
      <c r="G19" s="48"/>
      <c r="H19" s="48"/>
      <c r="I19" s="66"/>
    </row>
    <row r="20" spans="1:9">
      <c r="A20" s="49">
        <v>15</v>
      </c>
      <c r="B20" s="50" t="s">
        <v>248</v>
      </c>
      <c r="C20" s="51"/>
      <c r="D20" s="52"/>
      <c r="E20" s="48"/>
      <c r="F20" s="48"/>
      <c r="G20" s="48"/>
      <c r="H20" s="48"/>
      <c r="I20" s="66"/>
    </row>
    <row r="21" spans="1:9">
      <c r="A21" s="49">
        <v>16</v>
      </c>
      <c r="B21" s="50" t="s">
        <v>249</v>
      </c>
      <c r="C21" s="51"/>
      <c r="D21" s="52"/>
      <c r="E21" s="48"/>
      <c r="F21" s="48"/>
      <c r="G21" s="48"/>
      <c r="H21" s="48"/>
      <c r="I21" s="66"/>
    </row>
    <row r="22" spans="1:9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66"/>
    </row>
    <row r="23" spans="1:9">
      <c r="A23" s="49">
        <v>18</v>
      </c>
      <c r="B23" s="50" t="s">
        <v>250</v>
      </c>
      <c r="C23" s="51"/>
      <c r="D23" s="53">
        <v>336.8102649961</v>
      </c>
      <c r="E23" s="53">
        <v>263.57094</v>
      </c>
      <c r="F23" s="53">
        <v>161.192</v>
      </c>
      <c r="G23" s="54">
        <v>184.8158568</v>
      </c>
      <c r="H23" s="55">
        <v>305.4940808</v>
      </c>
      <c r="I23" s="67"/>
    </row>
    <row r="24" ht="31.5" customHeight="1" spans="1:9">
      <c r="A24" s="56" t="s">
        <v>251</v>
      </c>
      <c r="B24" s="57"/>
      <c r="C24" s="58"/>
      <c r="D24" s="59">
        <f>SUM(D6:D23)</f>
        <v>336.8102649961</v>
      </c>
      <c r="E24" s="59">
        <f>SUM(E6:E23)</f>
        <v>263.57094</v>
      </c>
      <c r="F24" s="59">
        <f>SUM(F6:F23)</f>
        <v>161.192</v>
      </c>
      <c r="G24" s="59">
        <f>SUM(G6:G23)</f>
        <v>184.8158568</v>
      </c>
      <c r="H24" s="59">
        <f>SUM(H6:H23)</f>
        <v>305.4940808</v>
      </c>
      <c r="I24" s="67"/>
    </row>
    <row r="26" spans="3:8">
      <c r="C26" s="33" t="s">
        <v>54</v>
      </c>
      <c r="D26" s="60">
        <f>D24</f>
        <v>336.8102649961</v>
      </c>
      <c r="E26" s="60">
        <f>E24</f>
        <v>263.57094</v>
      </c>
      <c r="F26" s="60">
        <f>F24</f>
        <v>161.192</v>
      </c>
      <c r="G26" s="60">
        <f>G24</f>
        <v>184.8158568</v>
      </c>
      <c r="H26" s="60">
        <f>H24</f>
        <v>305.4940808</v>
      </c>
    </row>
    <row r="27" spans="3:8">
      <c r="C27" s="33" t="s">
        <v>55</v>
      </c>
      <c r="D27" s="60">
        <f>D26</f>
        <v>336.8102649961</v>
      </c>
      <c r="E27" s="60">
        <f>E26</f>
        <v>263.57094</v>
      </c>
      <c r="F27" s="60">
        <f>F26</f>
        <v>161.192</v>
      </c>
      <c r="G27" s="60">
        <f>G26</f>
        <v>184.8158568</v>
      </c>
      <c r="H27" s="60">
        <f>H26</f>
        <v>305.4940808</v>
      </c>
    </row>
  </sheetData>
  <mergeCells count="27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252</v>
      </c>
      <c r="C1" s="25" t="s">
        <v>253</v>
      </c>
      <c r="D1" s="25" t="s">
        <v>254</v>
      </c>
    </row>
    <row r="2" ht="19.5" customHeight="1" spans="1:4">
      <c r="A2" s="25">
        <v>1</v>
      </c>
      <c r="B2" s="26" t="s">
        <v>255</v>
      </c>
      <c r="C2" s="27" t="s">
        <v>256</v>
      </c>
      <c r="D2" s="25"/>
    </row>
    <row r="3" ht="36" customHeight="1" spans="1:4">
      <c r="A3" s="25">
        <v>2</v>
      </c>
      <c r="B3" s="26" t="s">
        <v>257</v>
      </c>
      <c r="C3" s="28" t="s">
        <v>258</v>
      </c>
      <c r="D3" s="25" t="s">
        <v>259</v>
      </c>
    </row>
    <row r="4" ht="19.5" customHeight="1" spans="1:4">
      <c r="A4" s="25">
        <v>3</v>
      </c>
      <c r="B4" s="26" t="s">
        <v>260</v>
      </c>
      <c r="C4" s="27" t="s">
        <v>261</v>
      </c>
      <c r="D4" s="25"/>
    </row>
    <row r="5" ht="42.75" customHeight="1" spans="1:4">
      <c r="A5" s="25">
        <v>4</v>
      </c>
      <c r="B5" s="26" t="s">
        <v>262</v>
      </c>
      <c r="C5" s="27"/>
      <c r="D5" s="25"/>
    </row>
    <row r="6" ht="39" customHeight="1" spans="1:4">
      <c r="A6" s="25">
        <v>5</v>
      </c>
      <c r="B6" s="26" t="s">
        <v>263</v>
      </c>
      <c r="C6" s="27"/>
      <c r="D6" s="25"/>
    </row>
    <row r="7" ht="27.75" customHeight="1" spans="1:3">
      <c r="A7" s="25">
        <v>6</v>
      </c>
      <c r="B7" s="25" t="s">
        <v>264</v>
      </c>
      <c r="C7" s="28" t="s">
        <v>265</v>
      </c>
    </row>
    <row r="8" ht="36" customHeight="1" spans="1:4">
      <c r="A8" s="25">
        <v>7</v>
      </c>
      <c r="B8" s="26" t="s">
        <v>266</v>
      </c>
      <c r="C8" s="29" t="s">
        <v>267</v>
      </c>
      <c r="D8" s="25"/>
    </row>
    <row r="9" ht="34.5" customHeight="1" spans="1:4">
      <c r="A9" s="25">
        <v>8</v>
      </c>
      <c r="B9" s="25" t="s">
        <v>268</v>
      </c>
      <c r="C9" s="30">
        <v>0.003</v>
      </c>
      <c r="D9" s="25"/>
    </row>
    <row r="10" ht="34.5" customHeight="1" spans="1:4">
      <c r="A10" s="25">
        <v>9</v>
      </c>
      <c r="B10" s="25" t="s">
        <v>269</v>
      </c>
      <c r="C10" s="29" t="s">
        <v>270</v>
      </c>
      <c r="D10" s="25"/>
    </row>
    <row r="11" ht="34.5" customHeight="1" spans="1:4">
      <c r="A11" s="25">
        <v>10</v>
      </c>
      <c r="B11" s="25" t="s">
        <v>271</v>
      </c>
      <c r="C11" s="29"/>
      <c r="D11" s="25" t="s">
        <v>272</v>
      </c>
    </row>
    <row r="12" ht="34.5" customHeight="1" spans="1:4">
      <c r="A12" s="25">
        <v>11</v>
      </c>
      <c r="B12" s="25" t="s">
        <v>273</v>
      </c>
      <c r="C12" s="29"/>
      <c r="D12" s="25"/>
    </row>
    <row r="13" ht="24" customHeight="1" spans="1:4">
      <c r="A13" s="25">
        <v>12</v>
      </c>
      <c r="B13" s="26" t="s">
        <v>274</v>
      </c>
      <c r="C13" s="29" t="s">
        <v>275</v>
      </c>
      <c r="D13" s="25"/>
    </row>
    <row r="14" ht="24" customHeight="1" spans="1:4">
      <c r="A14" s="25">
        <v>13</v>
      </c>
      <c r="B14" s="26" t="s">
        <v>276</v>
      </c>
      <c r="C14" s="29" t="s">
        <v>277</v>
      </c>
      <c r="D14" s="25"/>
    </row>
    <row r="15" ht="24" customHeight="1" spans="1:4">
      <c r="A15" s="25">
        <v>14</v>
      </c>
      <c r="B15" s="26" t="s">
        <v>278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279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2"/>
  <sheetViews>
    <sheetView zoomScale="85" zoomScaleNormal="85" topLeftCell="A46" workbookViewId="0">
      <selection activeCell="E33" sqref="E33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280</v>
      </c>
      <c r="H1" s="4"/>
      <c r="I1" s="21" t="s">
        <v>221</v>
      </c>
    </row>
    <row r="2" ht="39" customHeight="1" spans="1:9">
      <c r="A2" s="5" t="s">
        <v>281</v>
      </c>
      <c r="B2" s="5"/>
      <c r="C2" s="6" t="s">
        <v>282</v>
      </c>
      <c r="D2" s="7"/>
      <c r="E2" s="7"/>
      <c r="F2" s="7"/>
      <c r="G2" s="7"/>
      <c r="H2" s="8"/>
      <c r="I2" s="3" t="s">
        <v>283</v>
      </c>
    </row>
    <row r="3" ht="34.5" customHeight="1" spans="1:9">
      <c r="A3" s="5"/>
      <c r="B3" s="5"/>
      <c r="C3" s="9" t="s">
        <v>284</v>
      </c>
      <c r="D3" s="9" t="s">
        <v>285</v>
      </c>
      <c r="E3" s="9" t="s">
        <v>286</v>
      </c>
      <c r="F3" s="10" t="s">
        <v>287</v>
      </c>
      <c r="G3" s="10" t="s">
        <v>288</v>
      </c>
      <c r="H3" s="10" t="s">
        <v>289</v>
      </c>
      <c r="I3" s="22">
        <f>材料成本!D23</f>
        <v>336.8102649961</v>
      </c>
    </row>
    <row r="4" ht="24" customHeight="1" spans="1:9">
      <c r="A4" s="11" t="s">
        <v>290</v>
      </c>
      <c r="B4" s="11"/>
      <c r="C4" s="12"/>
      <c r="D4" s="13"/>
      <c r="E4" s="14">
        <f>I3*I4</f>
        <v>14.5165224213319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291</v>
      </c>
      <c r="B5" s="11" t="s">
        <v>292</v>
      </c>
      <c r="C5" s="12"/>
      <c r="D5" s="13"/>
      <c r="E5" s="14">
        <f>$I$3*I5</f>
        <v>13.8092208648401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293</v>
      </c>
      <c r="C6" s="12"/>
      <c r="D6" s="13"/>
      <c r="E6" s="14">
        <f>$I$3*I6</f>
        <v>7.30878275041537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294</v>
      </c>
      <c r="B7" s="8"/>
      <c r="C7" s="16"/>
      <c r="D7" s="17"/>
      <c r="E7" s="14">
        <f t="shared" ref="E7:E11" si="0">$I$3*I7</f>
        <v>35.6345260365874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89</v>
      </c>
      <c r="B8" s="11"/>
      <c r="C8" s="12"/>
      <c r="D8" s="13"/>
      <c r="E8" s="14">
        <f t="shared" si="0"/>
        <v>11.4515490098674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295</v>
      </c>
      <c r="B9" s="11" t="s">
        <v>292</v>
      </c>
      <c r="C9" s="12"/>
      <c r="D9" s="13"/>
      <c r="E9" s="14">
        <f t="shared" si="0"/>
        <v>2.3576718549727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293</v>
      </c>
      <c r="C10" s="12"/>
      <c r="D10" s="13"/>
      <c r="E10" s="14">
        <f t="shared" si="0"/>
        <v>14.8196516598284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92</v>
      </c>
      <c r="B11" s="11"/>
      <c r="C11" s="12"/>
      <c r="D11" s="13"/>
      <c r="E11" s="14">
        <f t="shared" si="0"/>
        <v>10.104307949883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280</v>
      </c>
      <c r="H13" s="4"/>
      <c r="I13" s="23" t="s">
        <v>162</v>
      </c>
    </row>
    <row r="14" ht="39" customHeight="1" spans="1:9">
      <c r="A14" s="5" t="s">
        <v>281</v>
      </c>
      <c r="B14" s="5"/>
      <c r="C14" s="6" t="s">
        <v>282</v>
      </c>
      <c r="D14" s="7"/>
      <c r="E14" s="7"/>
      <c r="F14" s="7"/>
      <c r="G14" s="7"/>
      <c r="H14" s="8"/>
      <c r="I14" s="3" t="s">
        <v>283</v>
      </c>
    </row>
    <row r="15" ht="34.5" customHeight="1" spans="1:9">
      <c r="A15" s="5"/>
      <c r="B15" s="5"/>
      <c r="C15" s="9" t="s">
        <v>284</v>
      </c>
      <c r="D15" s="9" t="s">
        <v>285</v>
      </c>
      <c r="E15" s="9" t="s">
        <v>286</v>
      </c>
      <c r="F15" s="10" t="s">
        <v>287</v>
      </c>
      <c r="G15" s="10" t="s">
        <v>288</v>
      </c>
      <c r="H15" s="10" t="s">
        <v>289</v>
      </c>
      <c r="I15" s="22">
        <f>材料成本!E23</f>
        <v>263.57094</v>
      </c>
    </row>
    <row r="16" ht="24" customHeight="1" spans="1:9">
      <c r="A16" s="11" t="s">
        <v>290</v>
      </c>
      <c r="B16" s="11"/>
      <c r="C16" s="12"/>
      <c r="D16" s="13"/>
      <c r="E16" s="14">
        <f>I15*I16</f>
        <v>11.359907514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291</v>
      </c>
      <c r="B17" s="11" t="s">
        <v>292</v>
      </c>
      <c r="C17" s="12"/>
      <c r="D17" s="13"/>
      <c r="E17" s="14">
        <f>$I$15*I17</f>
        <v>10.80640854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293</v>
      </c>
      <c r="C18" s="12"/>
      <c r="D18" s="13"/>
      <c r="E18" s="14">
        <f t="shared" ref="E18:E23" si="1">$I$15*I18</f>
        <v>5.719489398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294</v>
      </c>
      <c r="B19" s="8"/>
      <c r="C19" s="16"/>
      <c r="D19" s="17"/>
      <c r="E19" s="14">
        <f t="shared" si="1"/>
        <v>27.885805452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89</v>
      </c>
      <c r="B20" s="11"/>
      <c r="C20" s="12"/>
      <c r="D20" s="13"/>
      <c r="E20" s="14">
        <f t="shared" si="1"/>
        <v>8.96141196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295</v>
      </c>
      <c r="B21" s="11" t="s">
        <v>292</v>
      </c>
      <c r="C21" s="12"/>
      <c r="D21" s="13"/>
      <c r="E21" s="14">
        <f t="shared" si="1"/>
        <v>1.84499658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293</v>
      </c>
      <c r="C22" s="12"/>
      <c r="D22" s="13"/>
      <c r="E22" s="14">
        <f t="shared" si="1"/>
        <v>11.59712136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92</v>
      </c>
      <c r="B23" s="11"/>
      <c r="C23" s="12"/>
      <c r="D23" s="13"/>
      <c r="E23" s="14">
        <f t="shared" si="1"/>
        <v>7.9071282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280</v>
      </c>
      <c r="H26" s="4"/>
      <c r="I26" s="23" t="s">
        <v>163</v>
      </c>
    </row>
    <row r="27" ht="39" customHeight="1" spans="1:9">
      <c r="A27" s="5" t="s">
        <v>281</v>
      </c>
      <c r="B27" s="5"/>
      <c r="C27" s="6" t="s">
        <v>282</v>
      </c>
      <c r="D27" s="7"/>
      <c r="E27" s="7"/>
      <c r="F27" s="7"/>
      <c r="G27" s="7"/>
      <c r="H27" s="8"/>
      <c r="I27" s="3" t="s">
        <v>283</v>
      </c>
    </row>
    <row r="28" ht="34.5" customHeight="1" spans="1:9">
      <c r="A28" s="5"/>
      <c r="B28" s="5"/>
      <c r="C28" s="9" t="s">
        <v>284</v>
      </c>
      <c r="D28" s="9" t="s">
        <v>285</v>
      </c>
      <c r="E28" s="9" t="s">
        <v>286</v>
      </c>
      <c r="F28" s="10" t="s">
        <v>287</v>
      </c>
      <c r="G28" s="10" t="s">
        <v>288</v>
      </c>
      <c r="H28" s="10" t="s">
        <v>289</v>
      </c>
      <c r="I28" s="22">
        <f>材料成本!F23</f>
        <v>161.192</v>
      </c>
    </row>
    <row r="29" ht="24" customHeight="1" spans="1:9">
      <c r="A29" s="11" t="s">
        <v>290</v>
      </c>
      <c r="B29" s="11"/>
      <c r="C29" s="12"/>
      <c r="D29" s="13"/>
      <c r="E29" s="14">
        <f>I28*I29</f>
        <v>6.9473752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291</v>
      </c>
      <c r="B30" s="11" t="s">
        <v>292</v>
      </c>
      <c r="C30" s="12"/>
      <c r="D30" s="13"/>
      <c r="E30" s="14">
        <f t="shared" ref="E30:E36" si="2">$I$28*I30</f>
        <v>6.608872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293</v>
      </c>
      <c r="C31" s="12"/>
      <c r="D31" s="13"/>
      <c r="E31" s="14">
        <f t="shared" si="2"/>
        <v>3.4978664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294</v>
      </c>
      <c r="B32" s="8"/>
      <c r="C32" s="16"/>
      <c r="D32" s="17"/>
      <c r="E32" s="14">
        <f t="shared" si="2"/>
        <v>17.0541136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89</v>
      </c>
      <c r="B33" s="11"/>
      <c r="C33" s="12"/>
      <c r="D33" s="13"/>
      <c r="E33" s="14">
        <f t="shared" si="2"/>
        <v>5.480528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295</v>
      </c>
      <c r="B34" s="11" t="s">
        <v>292</v>
      </c>
      <c r="C34" s="12"/>
      <c r="D34" s="13"/>
      <c r="E34" s="14">
        <f t="shared" si="2"/>
        <v>1.128344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293</v>
      </c>
      <c r="C35" s="12"/>
      <c r="D35" s="13"/>
      <c r="E35" s="14">
        <f t="shared" si="2"/>
        <v>7.092448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92</v>
      </c>
      <c r="B36" s="11"/>
      <c r="C36" s="12"/>
      <c r="D36" s="13"/>
      <c r="E36" s="14">
        <f t="shared" si="2"/>
        <v>4.83576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280</v>
      </c>
      <c r="H39" s="4"/>
      <c r="I39" s="23" t="s">
        <v>164</v>
      </c>
    </row>
    <row r="40" ht="39" customHeight="1" spans="1:9">
      <c r="A40" s="5" t="s">
        <v>281</v>
      </c>
      <c r="B40" s="5"/>
      <c r="C40" s="6" t="s">
        <v>282</v>
      </c>
      <c r="D40" s="7"/>
      <c r="E40" s="7"/>
      <c r="F40" s="7"/>
      <c r="G40" s="7"/>
      <c r="H40" s="8"/>
      <c r="I40" s="3" t="s">
        <v>283</v>
      </c>
    </row>
    <row r="41" ht="34.5" customHeight="1" spans="1:9">
      <c r="A41" s="5"/>
      <c r="B41" s="5"/>
      <c r="C41" s="9" t="s">
        <v>284</v>
      </c>
      <c r="D41" s="9" t="s">
        <v>285</v>
      </c>
      <c r="E41" s="9" t="s">
        <v>286</v>
      </c>
      <c r="F41" s="10" t="s">
        <v>287</v>
      </c>
      <c r="G41" s="10" t="s">
        <v>288</v>
      </c>
      <c r="H41" s="10" t="s">
        <v>289</v>
      </c>
      <c r="I41" s="22">
        <f>材料成本!G23</f>
        <v>184.8158568</v>
      </c>
    </row>
    <row r="42" ht="24" customHeight="1" spans="1:9">
      <c r="A42" s="11" t="s">
        <v>290</v>
      </c>
      <c r="B42" s="11"/>
      <c r="C42" s="12"/>
      <c r="D42" s="13"/>
      <c r="E42" s="14">
        <f>I41*I42</f>
        <v>7.96556342808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291</v>
      </c>
      <c r="B43" s="11" t="s">
        <v>292</v>
      </c>
      <c r="C43" s="12"/>
      <c r="D43" s="13"/>
      <c r="E43" s="14">
        <f>$I$28*I43</f>
        <v>6.608872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293</v>
      </c>
      <c r="C44" s="12"/>
      <c r="D44" s="13"/>
      <c r="E44" s="14">
        <f t="shared" ref="E44:E49" si="3">$I$28*I44</f>
        <v>3.4978664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294</v>
      </c>
      <c r="B45" s="8"/>
      <c r="C45" s="16"/>
      <c r="D45" s="17"/>
      <c r="E45" s="14">
        <f t="shared" si="3"/>
        <v>17.0541136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89</v>
      </c>
      <c r="B46" s="11"/>
      <c r="C46" s="12"/>
      <c r="D46" s="13"/>
      <c r="E46" s="14">
        <f t="shared" si="3"/>
        <v>5.480528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295</v>
      </c>
      <c r="B47" s="11" t="s">
        <v>292</v>
      </c>
      <c r="C47" s="12"/>
      <c r="D47" s="13"/>
      <c r="E47" s="14">
        <f t="shared" si="3"/>
        <v>1.128344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293</v>
      </c>
      <c r="C48" s="12"/>
      <c r="D48" s="13"/>
      <c r="E48" s="14">
        <f t="shared" si="3"/>
        <v>7.092448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92</v>
      </c>
      <c r="B49" s="11"/>
      <c r="C49" s="12"/>
      <c r="D49" s="13"/>
      <c r="E49" s="14">
        <f t="shared" si="3"/>
        <v>4.83576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280</v>
      </c>
      <c r="H52" s="4"/>
      <c r="I52" s="23" t="s">
        <v>165</v>
      </c>
    </row>
    <row r="53" ht="39" customHeight="1" spans="1:9">
      <c r="A53" s="5" t="s">
        <v>281</v>
      </c>
      <c r="B53" s="5"/>
      <c r="C53" s="6" t="s">
        <v>282</v>
      </c>
      <c r="D53" s="7"/>
      <c r="E53" s="7"/>
      <c r="F53" s="7"/>
      <c r="G53" s="7"/>
      <c r="H53" s="8"/>
      <c r="I53" s="3" t="s">
        <v>283</v>
      </c>
    </row>
    <row r="54" ht="34.5" customHeight="1" spans="1:9">
      <c r="A54" s="5"/>
      <c r="B54" s="5"/>
      <c r="C54" s="9" t="s">
        <v>284</v>
      </c>
      <c r="D54" s="9" t="s">
        <v>285</v>
      </c>
      <c r="E54" s="9" t="s">
        <v>286</v>
      </c>
      <c r="F54" s="10" t="s">
        <v>287</v>
      </c>
      <c r="G54" s="10" t="s">
        <v>288</v>
      </c>
      <c r="H54" s="10" t="s">
        <v>289</v>
      </c>
      <c r="I54" s="22">
        <f>材料成本!H23</f>
        <v>305.4940808</v>
      </c>
    </row>
    <row r="55" ht="24" customHeight="1" spans="1:9">
      <c r="A55" s="11" t="s">
        <v>290</v>
      </c>
      <c r="B55" s="11"/>
      <c r="C55" s="12"/>
      <c r="D55" s="13"/>
      <c r="E55" s="14">
        <f>I54*I55</f>
        <v>13.16679488248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291</v>
      </c>
      <c r="B56" s="11" t="s">
        <v>292</v>
      </c>
      <c r="C56" s="12"/>
      <c r="D56" s="13"/>
      <c r="E56" s="14">
        <f>$I$54*I56</f>
        <v>12.5252573128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293</v>
      </c>
      <c r="C57" s="12"/>
      <c r="D57" s="13"/>
      <c r="E57" s="14">
        <f t="shared" ref="E57:E62" si="4">$I$54*I57</f>
        <v>6.62922155336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294</v>
      </c>
      <c r="B58" s="8"/>
      <c r="C58" s="16"/>
      <c r="D58" s="17"/>
      <c r="E58" s="14">
        <f t="shared" si="4"/>
        <v>32.32127374864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89</v>
      </c>
      <c r="B59" s="11"/>
      <c r="C59" s="12"/>
      <c r="D59" s="13"/>
      <c r="E59" s="14">
        <f t="shared" si="4"/>
        <v>10.3867987472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295</v>
      </c>
      <c r="B60" s="11" t="s">
        <v>292</v>
      </c>
      <c r="C60" s="12"/>
      <c r="D60" s="13"/>
      <c r="E60" s="14">
        <f t="shared" si="4"/>
        <v>2.1384585656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293</v>
      </c>
      <c r="C61" s="12"/>
      <c r="D61" s="13"/>
      <c r="E61" s="14">
        <f t="shared" si="4"/>
        <v>13.4417395552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92</v>
      </c>
      <c r="B62" s="11"/>
      <c r="C62" s="12"/>
      <c r="D62" s="13"/>
      <c r="E62" s="14">
        <f t="shared" si="4"/>
        <v>9.164822424</v>
      </c>
      <c r="F62" s="14"/>
      <c r="G62" s="14"/>
      <c r="H62" s="15">
        <v>0.011</v>
      </c>
      <c r="I62" s="3">
        <v>0.03</v>
      </c>
    </row>
  </sheetData>
  <mergeCells count="45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2:B3"/>
    <mergeCell ref="A14:B15"/>
    <mergeCell ref="A27:B28"/>
    <mergeCell ref="A40:B41"/>
    <mergeCell ref="A53:B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2" customWidth="1"/>
    <col min="2" max="2" width="28.5" style="202" customWidth="1"/>
    <col min="3" max="4" width="9.12727272727273" style="202"/>
    <col min="5" max="5" width="13.8727272727273" style="202" customWidth="1"/>
    <col min="6" max="12" width="16.1272727272727" style="202" customWidth="1"/>
    <col min="13" max="13" width="10.6272727272727" style="202" customWidth="1"/>
    <col min="14" max="254" width="9.12727272727273" style="202"/>
    <col min="255" max="255" width="8" style="202" customWidth="1"/>
    <col min="256" max="256" width="28.5" style="202" customWidth="1"/>
    <col min="257" max="268" width="9.12727272727273" style="202"/>
    <col min="269" max="269" width="10.6272727272727" style="202" customWidth="1"/>
    <col min="270" max="510" width="9.12727272727273" style="202"/>
    <col min="511" max="511" width="8" style="202" customWidth="1"/>
    <col min="512" max="512" width="28.5" style="202" customWidth="1"/>
    <col min="513" max="524" width="9.12727272727273" style="202"/>
    <col min="525" max="525" width="10.6272727272727" style="202" customWidth="1"/>
    <col min="526" max="766" width="9.12727272727273" style="202"/>
    <col min="767" max="767" width="8" style="202" customWidth="1"/>
    <col min="768" max="768" width="28.5" style="202" customWidth="1"/>
    <col min="769" max="780" width="9.12727272727273" style="202"/>
    <col min="781" max="781" width="10.6272727272727" style="202" customWidth="1"/>
    <col min="782" max="1022" width="9.12727272727273" style="202"/>
    <col min="1023" max="1023" width="8" style="202" customWidth="1"/>
    <col min="1024" max="1024" width="28.5" style="202" customWidth="1"/>
    <col min="1025" max="1036" width="9.12727272727273" style="202"/>
    <col min="1037" max="1037" width="10.6272727272727" style="202" customWidth="1"/>
    <col min="1038" max="1278" width="9.12727272727273" style="202"/>
    <col min="1279" max="1279" width="8" style="202" customWidth="1"/>
    <col min="1280" max="1280" width="28.5" style="202" customWidth="1"/>
    <col min="1281" max="1292" width="9.12727272727273" style="202"/>
    <col min="1293" max="1293" width="10.6272727272727" style="202" customWidth="1"/>
    <col min="1294" max="1534" width="9.12727272727273" style="202"/>
    <col min="1535" max="1535" width="8" style="202" customWidth="1"/>
    <col min="1536" max="1536" width="28.5" style="202" customWidth="1"/>
    <col min="1537" max="1548" width="9.12727272727273" style="202"/>
    <col min="1549" max="1549" width="10.6272727272727" style="202" customWidth="1"/>
    <col min="1550" max="1790" width="9.12727272727273" style="202"/>
    <col min="1791" max="1791" width="8" style="202" customWidth="1"/>
    <col min="1792" max="1792" width="28.5" style="202" customWidth="1"/>
    <col min="1793" max="1804" width="9.12727272727273" style="202"/>
    <col min="1805" max="1805" width="10.6272727272727" style="202" customWidth="1"/>
    <col min="1806" max="2046" width="9.12727272727273" style="202"/>
    <col min="2047" max="2047" width="8" style="202" customWidth="1"/>
    <col min="2048" max="2048" width="28.5" style="202" customWidth="1"/>
    <col min="2049" max="2060" width="9.12727272727273" style="202"/>
    <col min="2061" max="2061" width="10.6272727272727" style="202" customWidth="1"/>
    <col min="2062" max="2302" width="9.12727272727273" style="202"/>
    <col min="2303" max="2303" width="8" style="202" customWidth="1"/>
    <col min="2304" max="2304" width="28.5" style="202" customWidth="1"/>
    <col min="2305" max="2316" width="9.12727272727273" style="202"/>
    <col min="2317" max="2317" width="10.6272727272727" style="202" customWidth="1"/>
    <col min="2318" max="2558" width="9.12727272727273" style="202"/>
    <col min="2559" max="2559" width="8" style="202" customWidth="1"/>
    <col min="2560" max="2560" width="28.5" style="202" customWidth="1"/>
    <col min="2561" max="2572" width="9.12727272727273" style="202"/>
    <col min="2573" max="2573" width="10.6272727272727" style="202" customWidth="1"/>
    <col min="2574" max="2814" width="9.12727272727273" style="202"/>
    <col min="2815" max="2815" width="8" style="202" customWidth="1"/>
    <col min="2816" max="2816" width="28.5" style="202" customWidth="1"/>
    <col min="2817" max="2828" width="9.12727272727273" style="202"/>
    <col min="2829" max="2829" width="10.6272727272727" style="202" customWidth="1"/>
    <col min="2830" max="3070" width="9.12727272727273" style="202"/>
    <col min="3071" max="3071" width="8" style="202" customWidth="1"/>
    <col min="3072" max="3072" width="28.5" style="202" customWidth="1"/>
    <col min="3073" max="3084" width="9.12727272727273" style="202"/>
    <col min="3085" max="3085" width="10.6272727272727" style="202" customWidth="1"/>
    <col min="3086" max="3326" width="9.12727272727273" style="202"/>
    <col min="3327" max="3327" width="8" style="202" customWidth="1"/>
    <col min="3328" max="3328" width="28.5" style="202" customWidth="1"/>
    <col min="3329" max="3340" width="9.12727272727273" style="202"/>
    <col min="3341" max="3341" width="10.6272727272727" style="202" customWidth="1"/>
    <col min="3342" max="3582" width="9.12727272727273" style="202"/>
    <col min="3583" max="3583" width="8" style="202" customWidth="1"/>
    <col min="3584" max="3584" width="28.5" style="202" customWidth="1"/>
    <col min="3585" max="3596" width="9.12727272727273" style="202"/>
    <col min="3597" max="3597" width="10.6272727272727" style="202" customWidth="1"/>
    <col min="3598" max="3838" width="9.12727272727273" style="202"/>
    <col min="3839" max="3839" width="8" style="202" customWidth="1"/>
    <col min="3840" max="3840" width="28.5" style="202" customWidth="1"/>
    <col min="3841" max="3852" width="9.12727272727273" style="202"/>
    <col min="3853" max="3853" width="10.6272727272727" style="202" customWidth="1"/>
    <col min="3854" max="4094" width="9.12727272727273" style="202"/>
    <col min="4095" max="4095" width="8" style="202" customWidth="1"/>
    <col min="4096" max="4096" width="28.5" style="202" customWidth="1"/>
    <col min="4097" max="4108" width="9.12727272727273" style="202"/>
    <col min="4109" max="4109" width="10.6272727272727" style="202" customWidth="1"/>
    <col min="4110" max="4350" width="9.12727272727273" style="202"/>
    <col min="4351" max="4351" width="8" style="202" customWidth="1"/>
    <col min="4352" max="4352" width="28.5" style="202" customWidth="1"/>
    <col min="4353" max="4364" width="9.12727272727273" style="202"/>
    <col min="4365" max="4365" width="10.6272727272727" style="202" customWidth="1"/>
    <col min="4366" max="4606" width="9.12727272727273" style="202"/>
    <col min="4607" max="4607" width="8" style="202" customWidth="1"/>
    <col min="4608" max="4608" width="28.5" style="202" customWidth="1"/>
    <col min="4609" max="4620" width="9.12727272727273" style="202"/>
    <col min="4621" max="4621" width="10.6272727272727" style="202" customWidth="1"/>
    <col min="4622" max="4862" width="9.12727272727273" style="202"/>
    <col min="4863" max="4863" width="8" style="202" customWidth="1"/>
    <col min="4864" max="4864" width="28.5" style="202" customWidth="1"/>
    <col min="4865" max="4876" width="9.12727272727273" style="202"/>
    <col min="4877" max="4877" width="10.6272727272727" style="202" customWidth="1"/>
    <col min="4878" max="5118" width="9.12727272727273" style="202"/>
    <col min="5119" max="5119" width="8" style="202" customWidth="1"/>
    <col min="5120" max="5120" width="28.5" style="202" customWidth="1"/>
    <col min="5121" max="5132" width="9.12727272727273" style="202"/>
    <col min="5133" max="5133" width="10.6272727272727" style="202" customWidth="1"/>
    <col min="5134" max="5374" width="9.12727272727273" style="202"/>
    <col min="5375" max="5375" width="8" style="202" customWidth="1"/>
    <col min="5376" max="5376" width="28.5" style="202" customWidth="1"/>
    <col min="5377" max="5388" width="9.12727272727273" style="202"/>
    <col min="5389" max="5389" width="10.6272727272727" style="202" customWidth="1"/>
    <col min="5390" max="5630" width="9.12727272727273" style="202"/>
    <col min="5631" max="5631" width="8" style="202" customWidth="1"/>
    <col min="5632" max="5632" width="28.5" style="202" customWidth="1"/>
    <col min="5633" max="5644" width="9.12727272727273" style="202"/>
    <col min="5645" max="5645" width="10.6272727272727" style="202" customWidth="1"/>
    <col min="5646" max="5886" width="9.12727272727273" style="202"/>
    <col min="5887" max="5887" width="8" style="202" customWidth="1"/>
    <col min="5888" max="5888" width="28.5" style="202" customWidth="1"/>
    <col min="5889" max="5900" width="9.12727272727273" style="202"/>
    <col min="5901" max="5901" width="10.6272727272727" style="202" customWidth="1"/>
    <col min="5902" max="6142" width="9.12727272727273" style="202"/>
    <col min="6143" max="6143" width="8" style="202" customWidth="1"/>
    <col min="6144" max="6144" width="28.5" style="202" customWidth="1"/>
    <col min="6145" max="6156" width="9.12727272727273" style="202"/>
    <col min="6157" max="6157" width="10.6272727272727" style="202" customWidth="1"/>
    <col min="6158" max="6398" width="9.12727272727273" style="202"/>
    <col min="6399" max="6399" width="8" style="202" customWidth="1"/>
    <col min="6400" max="6400" width="28.5" style="202" customWidth="1"/>
    <col min="6401" max="6412" width="9.12727272727273" style="202"/>
    <col min="6413" max="6413" width="10.6272727272727" style="202" customWidth="1"/>
    <col min="6414" max="6654" width="9.12727272727273" style="202"/>
    <col min="6655" max="6655" width="8" style="202" customWidth="1"/>
    <col min="6656" max="6656" width="28.5" style="202" customWidth="1"/>
    <col min="6657" max="6668" width="9.12727272727273" style="202"/>
    <col min="6669" max="6669" width="10.6272727272727" style="202" customWidth="1"/>
    <col min="6670" max="6910" width="9.12727272727273" style="202"/>
    <col min="6911" max="6911" width="8" style="202" customWidth="1"/>
    <col min="6912" max="6912" width="28.5" style="202" customWidth="1"/>
    <col min="6913" max="6924" width="9.12727272727273" style="202"/>
    <col min="6925" max="6925" width="10.6272727272727" style="202" customWidth="1"/>
    <col min="6926" max="7166" width="9.12727272727273" style="202"/>
    <col min="7167" max="7167" width="8" style="202" customWidth="1"/>
    <col min="7168" max="7168" width="28.5" style="202" customWidth="1"/>
    <col min="7169" max="7180" width="9.12727272727273" style="202"/>
    <col min="7181" max="7181" width="10.6272727272727" style="202" customWidth="1"/>
    <col min="7182" max="7422" width="9.12727272727273" style="202"/>
    <col min="7423" max="7423" width="8" style="202" customWidth="1"/>
    <col min="7424" max="7424" width="28.5" style="202" customWidth="1"/>
    <col min="7425" max="7436" width="9.12727272727273" style="202"/>
    <col min="7437" max="7437" width="10.6272727272727" style="202" customWidth="1"/>
    <col min="7438" max="7678" width="9.12727272727273" style="202"/>
    <col min="7679" max="7679" width="8" style="202" customWidth="1"/>
    <col min="7680" max="7680" width="28.5" style="202" customWidth="1"/>
    <col min="7681" max="7692" width="9.12727272727273" style="202"/>
    <col min="7693" max="7693" width="10.6272727272727" style="202" customWidth="1"/>
    <col min="7694" max="7934" width="9.12727272727273" style="202"/>
    <col min="7935" max="7935" width="8" style="202" customWidth="1"/>
    <col min="7936" max="7936" width="28.5" style="202" customWidth="1"/>
    <col min="7937" max="7948" width="9.12727272727273" style="202"/>
    <col min="7949" max="7949" width="10.6272727272727" style="202" customWidth="1"/>
    <col min="7950" max="8190" width="9.12727272727273" style="202"/>
    <col min="8191" max="8191" width="8" style="202" customWidth="1"/>
    <col min="8192" max="8192" width="28.5" style="202" customWidth="1"/>
    <col min="8193" max="8204" width="9.12727272727273" style="202"/>
    <col min="8205" max="8205" width="10.6272727272727" style="202" customWidth="1"/>
    <col min="8206" max="8446" width="9.12727272727273" style="202"/>
    <col min="8447" max="8447" width="8" style="202" customWidth="1"/>
    <col min="8448" max="8448" width="28.5" style="202" customWidth="1"/>
    <col min="8449" max="8460" width="9.12727272727273" style="202"/>
    <col min="8461" max="8461" width="10.6272727272727" style="202" customWidth="1"/>
    <col min="8462" max="8702" width="9.12727272727273" style="202"/>
    <col min="8703" max="8703" width="8" style="202" customWidth="1"/>
    <col min="8704" max="8704" width="28.5" style="202" customWidth="1"/>
    <col min="8705" max="8716" width="9.12727272727273" style="202"/>
    <col min="8717" max="8717" width="10.6272727272727" style="202" customWidth="1"/>
    <col min="8718" max="8958" width="9.12727272727273" style="202"/>
    <col min="8959" max="8959" width="8" style="202" customWidth="1"/>
    <col min="8960" max="8960" width="28.5" style="202" customWidth="1"/>
    <col min="8961" max="8972" width="9.12727272727273" style="202"/>
    <col min="8973" max="8973" width="10.6272727272727" style="202" customWidth="1"/>
    <col min="8974" max="9214" width="9.12727272727273" style="202"/>
    <col min="9215" max="9215" width="8" style="202" customWidth="1"/>
    <col min="9216" max="9216" width="28.5" style="202" customWidth="1"/>
    <col min="9217" max="9228" width="9.12727272727273" style="202"/>
    <col min="9229" max="9229" width="10.6272727272727" style="202" customWidth="1"/>
    <col min="9230" max="9470" width="9.12727272727273" style="202"/>
    <col min="9471" max="9471" width="8" style="202" customWidth="1"/>
    <col min="9472" max="9472" width="28.5" style="202" customWidth="1"/>
    <col min="9473" max="9484" width="9.12727272727273" style="202"/>
    <col min="9485" max="9485" width="10.6272727272727" style="202" customWidth="1"/>
    <col min="9486" max="9726" width="9.12727272727273" style="202"/>
    <col min="9727" max="9727" width="8" style="202" customWidth="1"/>
    <col min="9728" max="9728" width="28.5" style="202" customWidth="1"/>
    <col min="9729" max="9740" width="9.12727272727273" style="202"/>
    <col min="9741" max="9741" width="10.6272727272727" style="202" customWidth="1"/>
    <col min="9742" max="9982" width="9.12727272727273" style="202"/>
    <col min="9983" max="9983" width="8" style="202" customWidth="1"/>
    <col min="9984" max="9984" width="28.5" style="202" customWidth="1"/>
    <col min="9985" max="9996" width="9.12727272727273" style="202"/>
    <col min="9997" max="9997" width="10.6272727272727" style="202" customWidth="1"/>
    <col min="9998" max="10238" width="9.12727272727273" style="202"/>
    <col min="10239" max="10239" width="8" style="202" customWidth="1"/>
    <col min="10240" max="10240" width="28.5" style="202" customWidth="1"/>
    <col min="10241" max="10252" width="9.12727272727273" style="202"/>
    <col min="10253" max="10253" width="10.6272727272727" style="202" customWidth="1"/>
    <col min="10254" max="10494" width="9.12727272727273" style="202"/>
    <col min="10495" max="10495" width="8" style="202" customWidth="1"/>
    <col min="10496" max="10496" width="28.5" style="202" customWidth="1"/>
    <col min="10497" max="10508" width="9.12727272727273" style="202"/>
    <col min="10509" max="10509" width="10.6272727272727" style="202" customWidth="1"/>
    <col min="10510" max="10750" width="9.12727272727273" style="202"/>
    <col min="10751" max="10751" width="8" style="202" customWidth="1"/>
    <col min="10752" max="10752" width="28.5" style="202" customWidth="1"/>
    <col min="10753" max="10764" width="9.12727272727273" style="202"/>
    <col min="10765" max="10765" width="10.6272727272727" style="202" customWidth="1"/>
    <col min="10766" max="11006" width="9.12727272727273" style="202"/>
    <col min="11007" max="11007" width="8" style="202" customWidth="1"/>
    <col min="11008" max="11008" width="28.5" style="202" customWidth="1"/>
    <col min="11009" max="11020" width="9.12727272727273" style="202"/>
    <col min="11021" max="11021" width="10.6272727272727" style="202" customWidth="1"/>
    <col min="11022" max="11262" width="9.12727272727273" style="202"/>
    <col min="11263" max="11263" width="8" style="202" customWidth="1"/>
    <col min="11264" max="11264" width="28.5" style="202" customWidth="1"/>
    <col min="11265" max="11276" width="9.12727272727273" style="202"/>
    <col min="11277" max="11277" width="10.6272727272727" style="202" customWidth="1"/>
    <col min="11278" max="11518" width="9.12727272727273" style="202"/>
    <col min="11519" max="11519" width="8" style="202" customWidth="1"/>
    <col min="11520" max="11520" width="28.5" style="202" customWidth="1"/>
    <col min="11521" max="11532" width="9.12727272727273" style="202"/>
    <col min="11533" max="11533" width="10.6272727272727" style="202" customWidth="1"/>
    <col min="11534" max="11774" width="9.12727272727273" style="202"/>
    <col min="11775" max="11775" width="8" style="202" customWidth="1"/>
    <col min="11776" max="11776" width="28.5" style="202" customWidth="1"/>
    <col min="11777" max="11788" width="9.12727272727273" style="202"/>
    <col min="11789" max="11789" width="10.6272727272727" style="202" customWidth="1"/>
    <col min="11790" max="12030" width="9.12727272727273" style="202"/>
    <col min="12031" max="12031" width="8" style="202" customWidth="1"/>
    <col min="12032" max="12032" width="28.5" style="202" customWidth="1"/>
    <col min="12033" max="12044" width="9.12727272727273" style="202"/>
    <col min="12045" max="12045" width="10.6272727272727" style="202" customWidth="1"/>
    <col min="12046" max="12286" width="9.12727272727273" style="202"/>
    <col min="12287" max="12287" width="8" style="202" customWidth="1"/>
    <col min="12288" max="12288" width="28.5" style="202" customWidth="1"/>
    <col min="12289" max="12300" width="9.12727272727273" style="202"/>
    <col min="12301" max="12301" width="10.6272727272727" style="202" customWidth="1"/>
    <col min="12302" max="12542" width="9.12727272727273" style="202"/>
    <col min="12543" max="12543" width="8" style="202" customWidth="1"/>
    <col min="12544" max="12544" width="28.5" style="202" customWidth="1"/>
    <col min="12545" max="12556" width="9.12727272727273" style="202"/>
    <col min="12557" max="12557" width="10.6272727272727" style="202" customWidth="1"/>
    <col min="12558" max="12798" width="9.12727272727273" style="202"/>
    <col min="12799" max="12799" width="8" style="202" customWidth="1"/>
    <col min="12800" max="12800" width="28.5" style="202" customWidth="1"/>
    <col min="12801" max="12812" width="9.12727272727273" style="202"/>
    <col min="12813" max="12813" width="10.6272727272727" style="202" customWidth="1"/>
    <col min="12814" max="13054" width="9.12727272727273" style="202"/>
    <col min="13055" max="13055" width="8" style="202" customWidth="1"/>
    <col min="13056" max="13056" width="28.5" style="202" customWidth="1"/>
    <col min="13057" max="13068" width="9.12727272727273" style="202"/>
    <col min="13069" max="13069" width="10.6272727272727" style="202" customWidth="1"/>
    <col min="13070" max="13310" width="9.12727272727273" style="202"/>
    <col min="13311" max="13311" width="8" style="202" customWidth="1"/>
    <col min="13312" max="13312" width="28.5" style="202" customWidth="1"/>
    <col min="13313" max="13324" width="9.12727272727273" style="202"/>
    <col min="13325" max="13325" width="10.6272727272727" style="202" customWidth="1"/>
    <col min="13326" max="13566" width="9.12727272727273" style="202"/>
    <col min="13567" max="13567" width="8" style="202" customWidth="1"/>
    <col min="13568" max="13568" width="28.5" style="202" customWidth="1"/>
    <col min="13569" max="13580" width="9.12727272727273" style="202"/>
    <col min="13581" max="13581" width="10.6272727272727" style="202" customWidth="1"/>
    <col min="13582" max="13822" width="9.12727272727273" style="202"/>
    <col min="13823" max="13823" width="8" style="202" customWidth="1"/>
    <col min="13824" max="13824" width="28.5" style="202" customWidth="1"/>
    <col min="13825" max="13836" width="9.12727272727273" style="202"/>
    <col min="13837" max="13837" width="10.6272727272727" style="202" customWidth="1"/>
    <col min="13838" max="14078" width="9.12727272727273" style="202"/>
    <col min="14079" max="14079" width="8" style="202" customWidth="1"/>
    <col min="14080" max="14080" width="28.5" style="202" customWidth="1"/>
    <col min="14081" max="14092" width="9.12727272727273" style="202"/>
    <col min="14093" max="14093" width="10.6272727272727" style="202" customWidth="1"/>
    <col min="14094" max="14334" width="9.12727272727273" style="202"/>
    <col min="14335" max="14335" width="8" style="202" customWidth="1"/>
    <col min="14336" max="14336" width="28.5" style="202" customWidth="1"/>
    <col min="14337" max="14348" width="9.12727272727273" style="202"/>
    <col min="14349" max="14349" width="10.6272727272727" style="202" customWidth="1"/>
    <col min="14350" max="14590" width="9.12727272727273" style="202"/>
    <col min="14591" max="14591" width="8" style="202" customWidth="1"/>
    <col min="14592" max="14592" width="28.5" style="202" customWidth="1"/>
    <col min="14593" max="14604" width="9.12727272727273" style="202"/>
    <col min="14605" max="14605" width="10.6272727272727" style="202" customWidth="1"/>
    <col min="14606" max="14846" width="9.12727272727273" style="202"/>
    <col min="14847" max="14847" width="8" style="202" customWidth="1"/>
    <col min="14848" max="14848" width="28.5" style="202" customWidth="1"/>
    <col min="14849" max="14860" width="9.12727272727273" style="202"/>
    <col min="14861" max="14861" width="10.6272727272727" style="202" customWidth="1"/>
    <col min="14862" max="15102" width="9.12727272727273" style="202"/>
    <col min="15103" max="15103" width="8" style="202" customWidth="1"/>
    <col min="15104" max="15104" width="28.5" style="202" customWidth="1"/>
    <col min="15105" max="15116" width="9.12727272727273" style="202"/>
    <col min="15117" max="15117" width="10.6272727272727" style="202" customWidth="1"/>
    <col min="15118" max="15358" width="9.12727272727273" style="202"/>
    <col min="15359" max="15359" width="8" style="202" customWidth="1"/>
    <col min="15360" max="15360" width="28.5" style="202" customWidth="1"/>
    <col min="15361" max="15372" width="9.12727272727273" style="202"/>
    <col min="15373" max="15373" width="10.6272727272727" style="202" customWidth="1"/>
    <col min="15374" max="15614" width="9.12727272727273" style="202"/>
    <col min="15615" max="15615" width="8" style="202" customWidth="1"/>
    <col min="15616" max="15616" width="28.5" style="202" customWidth="1"/>
    <col min="15617" max="15628" width="9.12727272727273" style="202"/>
    <col min="15629" max="15629" width="10.6272727272727" style="202" customWidth="1"/>
    <col min="15630" max="15870" width="9.12727272727273" style="202"/>
    <col min="15871" max="15871" width="8" style="202" customWidth="1"/>
    <col min="15872" max="15872" width="28.5" style="202" customWidth="1"/>
    <col min="15873" max="15884" width="9.12727272727273" style="202"/>
    <col min="15885" max="15885" width="10.6272727272727" style="202" customWidth="1"/>
    <col min="15886" max="16126" width="9.12727272727273" style="202"/>
    <col min="16127" max="16127" width="8" style="202" customWidth="1"/>
    <col min="16128" max="16128" width="28.5" style="202" customWidth="1"/>
    <col min="16129" max="16140" width="9.12727272727273" style="202"/>
    <col min="16141" max="16141" width="10.6272727272727" style="202" customWidth="1"/>
    <col min="16142" max="16384" width="9.12727272727273" style="202"/>
  </cols>
  <sheetData>
    <row r="1" ht="17.5" spans="1:13">
      <c r="A1" s="203" t="s">
        <v>19</v>
      </c>
      <c r="B1" s="204"/>
      <c r="C1" s="205"/>
      <c r="D1" s="205"/>
      <c r="E1" s="204"/>
      <c r="F1" s="205"/>
      <c r="G1" s="205"/>
      <c r="H1" s="204"/>
      <c r="I1" s="205"/>
      <c r="J1" s="205"/>
      <c r="K1" s="205"/>
      <c r="L1" s="205"/>
      <c r="M1" s="205"/>
    </row>
    <row r="2" ht="14" spans="1:2">
      <c r="A2" s="202" t="s">
        <v>20</v>
      </c>
      <c r="B2" s="206"/>
    </row>
    <row r="3" ht="16.9" customHeight="1" spans="1:13">
      <c r="A3" s="207" t="s">
        <v>21</v>
      </c>
      <c r="B3" s="207" t="s">
        <v>22</v>
      </c>
      <c r="C3" s="208" t="s">
        <v>23</v>
      </c>
      <c r="D3" s="208"/>
      <c r="E3" s="208"/>
      <c r="F3" s="209"/>
      <c r="G3" s="210"/>
      <c r="H3" s="211"/>
      <c r="I3" s="211"/>
      <c r="J3" s="211" t="s">
        <v>24</v>
      </c>
      <c r="K3" s="211"/>
      <c r="L3" s="211"/>
      <c r="M3" s="232"/>
    </row>
    <row r="4" ht="16.15" customHeight="1" spans="1:13">
      <c r="A4" s="212"/>
      <c r="B4" s="212" t="s">
        <v>25</v>
      </c>
      <c r="C4" s="208">
        <v>2017</v>
      </c>
      <c r="D4" s="208">
        <f t="shared" ref="D4:L4" si="0">C4+1</f>
        <v>2018</v>
      </c>
      <c r="E4" s="208">
        <f t="shared" si="0"/>
        <v>2019</v>
      </c>
      <c r="F4" s="208">
        <f t="shared" si="0"/>
        <v>2020</v>
      </c>
      <c r="G4" s="208">
        <f t="shared" si="0"/>
        <v>2021</v>
      </c>
      <c r="H4" s="213">
        <f t="shared" si="0"/>
        <v>2022</v>
      </c>
      <c r="I4" s="213">
        <f t="shared" si="0"/>
        <v>2023</v>
      </c>
      <c r="J4" s="213">
        <f t="shared" si="0"/>
        <v>2024</v>
      </c>
      <c r="K4" s="213">
        <f t="shared" si="0"/>
        <v>2025</v>
      </c>
      <c r="L4" s="213">
        <f t="shared" si="0"/>
        <v>2026</v>
      </c>
      <c r="M4" s="233" t="s">
        <v>26</v>
      </c>
    </row>
    <row r="5" ht="15.6" customHeight="1" spans="1:13">
      <c r="A5" s="214">
        <v>1</v>
      </c>
      <c r="B5" s="215" t="s">
        <v>27</v>
      </c>
      <c r="C5" s="216">
        <f>SUM(C6:C9)</f>
        <v>0</v>
      </c>
      <c r="D5" s="216">
        <f t="shared" ref="D5:L5" si="1">SUM(D6:D9)</f>
        <v>0</v>
      </c>
      <c r="E5" s="216" t="e">
        <f t="shared" si="1"/>
        <v>#REF!</v>
      </c>
      <c r="F5" s="216" t="e">
        <f t="shared" si="1"/>
        <v>#REF!</v>
      </c>
      <c r="G5" s="216" t="e">
        <f t="shared" si="1"/>
        <v>#REF!</v>
      </c>
      <c r="H5" s="216" t="e">
        <f t="shared" si="1"/>
        <v>#REF!</v>
      </c>
      <c r="I5" s="216" t="e">
        <f t="shared" si="1"/>
        <v>#REF!</v>
      </c>
      <c r="J5" s="216" t="e">
        <f t="shared" si="1"/>
        <v>#REF!</v>
      </c>
      <c r="K5" s="216" t="e">
        <f t="shared" si="1"/>
        <v>#REF!</v>
      </c>
      <c r="L5" s="216" t="e">
        <f t="shared" si="1"/>
        <v>#REF!</v>
      </c>
      <c r="M5" s="220" t="e">
        <f t="shared" ref="M5:M17" si="2">SUM(C5:L5)</f>
        <v>#REF!</v>
      </c>
    </row>
    <row r="6" ht="15.6" customHeight="1" spans="1:13">
      <c r="A6" s="214">
        <v>1.1</v>
      </c>
      <c r="B6" s="217" t="s">
        <v>28</v>
      </c>
      <c r="C6" s="218"/>
      <c r="D6" s="218"/>
      <c r="E6" s="218" t="e">
        <f>#REF!</f>
        <v>#REF!</v>
      </c>
      <c r="F6" s="218" t="e">
        <f>#REF!</f>
        <v>#REF!</v>
      </c>
      <c r="G6" s="218" t="e">
        <f>#REF!</f>
        <v>#REF!</v>
      </c>
      <c r="H6" s="218" t="e">
        <f>#REF!</f>
        <v>#REF!</v>
      </c>
      <c r="I6" s="218" t="e">
        <f>#REF!</f>
        <v>#REF!</v>
      </c>
      <c r="J6" s="218" t="e">
        <f>#REF!</f>
        <v>#REF!</v>
      </c>
      <c r="K6" s="218" t="e">
        <f>#REF!</f>
        <v>#REF!</v>
      </c>
      <c r="L6" s="218" t="e">
        <f>#REF!</f>
        <v>#REF!</v>
      </c>
      <c r="M6" s="220" t="e">
        <f t="shared" si="2"/>
        <v>#REF!</v>
      </c>
    </row>
    <row r="7" ht="15.6" customHeight="1" spans="1:13">
      <c r="A7" s="214">
        <v>1.2</v>
      </c>
      <c r="B7" s="217" t="s">
        <v>29</v>
      </c>
      <c r="C7" s="218"/>
      <c r="D7" s="218"/>
      <c r="E7" s="218">
        <f>[1]折、摊!G18</f>
        <v>0</v>
      </c>
      <c r="F7" s="218">
        <f>[1]折、摊!H18</f>
        <v>0</v>
      </c>
      <c r="G7" s="218">
        <f>[1]折、摊!I18</f>
        <v>0</v>
      </c>
      <c r="H7" s="218">
        <f>[1]折、摊!J18</f>
        <v>0</v>
      </c>
      <c r="I7" s="218">
        <f>[1]折、摊!K18</f>
        <v>0</v>
      </c>
      <c r="J7" s="218">
        <f>[1]折、摊!L18</f>
        <v>0</v>
      </c>
      <c r="K7" s="218">
        <f>[1]折、摊!M18</f>
        <v>0</v>
      </c>
      <c r="L7" s="218">
        <f>[1]折、摊!N18</f>
        <v>0</v>
      </c>
      <c r="M7" s="220">
        <f t="shared" si="2"/>
        <v>0</v>
      </c>
    </row>
    <row r="8" ht="15.6" customHeight="1" spans="1:13">
      <c r="A8" s="214">
        <v>1.3</v>
      </c>
      <c r="B8" s="217" t="s">
        <v>30</v>
      </c>
      <c r="C8" s="218" t="s">
        <v>31</v>
      </c>
      <c r="D8" s="218" t="s">
        <v>31</v>
      </c>
      <c r="E8" s="218" t="s">
        <v>31</v>
      </c>
      <c r="F8" s="218" t="s">
        <v>31</v>
      </c>
      <c r="G8" s="218" t="s">
        <v>31</v>
      </c>
      <c r="H8" s="218" t="s">
        <v>31</v>
      </c>
      <c r="I8" s="218" t="s">
        <v>31</v>
      </c>
      <c r="J8" s="218" t="s">
        <v>31</v>
      </c>
      <c r="K8" s="218" t="s">
        <v>31</v>
      </c>
      <c r="L8" s="218"/>
      <c r="M8" s="220">
        <f t="shared" si="2"/>
        <v>0</v>
      </c>
    </row>
    <row r="9" s="201" customFormat="1" ht="15.6" customHeight="1" spans="1:13">
      <c r="A9" s="219">
        <v>1.4</v>
      </c>
      <c r="B9" s="220" t="s">
        <v>32</v>
      </c>
      <c r="C9" s="218" t="s">
        <v>31</v>
      </c>
      <c r="D9" s="218" t="s">
        <v>31</v>
      </c>
      <c r="E9" s="218" t="s">
        <v>31</v>
      </c>
      <c r="F9" s="218" t="s">
        <v>31</v>
      </c>
      <c r="G9" s="218" t="s">
        <v>31</v>
      </c>
      <c r="H9" s="218" t="s">
        <v>31</v>
      </c>
      <c r="I9" s="218" t="s">
        <v>31</v>
      </c>
      <c r="J9" s="218" t="s">
        <v>31</v>
      </c>
      <c r="K9" s="218" t="s">
        <v>31</v>
      </c>
      <c r="L9" s="218" t="s">
        <v>31</v>
      </c>
      <c r="M9" s="220">
        <f t="shared" si="2"/>
        <v>0</v>
      </c>
    </row>
    <row r="10" ht="15.6" customHeight="1" spans="1:13">
      <c r="A10" s="219">
        <v>2</v>
      </c>
      <c r="B10" s="215" t="s">
        <v>33</v>
      </c>
      <c r="C10" s="216">
        <f t="shared" ref="C10:L10" si="3">SUM(C11:C16)</f>
        <v>0</v>
      </c>
      <c r="D10" s="216">
        <f t="shared" si="3"/>
        <v>0</v>
      </c>
      <c r="E10" s="216">
        <f t="shared" si="3"/>
        <v>0</v>
      </c>
      <c r="F10" s="216">
        <f t="shared" si="3"/>
        <v>0</v>
      </c>
      <c r="G10" s="216">
        <f t="shared" si="3"/>
        <v>0</v>
      </c>
      <c r="H10" s="216">
        <f t="shared" si="3"/>
        <v>0</v>
      </c>
      <c r="I10" s="216">
        <f t="shared" si="3"/>
        <v>0</v>
      </c>
      <c r="J10" s="216">
        <f t="shared" si="3"/>
        <v>0</v>
      </c>
      <c r="K10" s="216">
        <f t="shared" si="3"/>
        <v>0</v>
      </c>
      <c r="L10" s="216">
        <f t="shared" si="3"/>
        <v>0</v>
      </c>
      <c r="M10" s="220">
        <f t="shared" si="2"/>
        <v>0</v>
      </c>
    </row>
    <row r="11" ht="15" customHeight="1" spans="1:13">
      <c r="A11" s="214">
        <v>2.1</v>
      </c>
      <c r="B11" s="214" t="s">
        <v>34</v>
      </c>
      <c r="C11" s="218">
        <f>([1]计划!C6-[1]计划!C7)</f>
        <v>0</v>
      </c>
      <c r="D11" s="218">
        <f>([1]计划!D6-[1]计划!D7)</f>
        <v>0</v>
      </c>
      <c r="E11" s="218">
        <f>([1]计划!E6-[1]计划!E7)</f>
        <v>0</v>
      </c>
      <c r="F11" s="218">
        <f>([1]计划!F6-[1]计划!F7)</f>
        <v>0</v>
      </c>
      <c r="G11" s="218">
        <f>([1]计划!G6-[1]计划!G7)</f>
        <v>0</v>
      </c>
      <c r="H11" s="218">
        <f>([1]计划!H6-[1]计划!H7)</f>
        <v>0</v>
      </c>
      <c r="I11" s="218">
        <f>([1]计划!I6-[1]计划!I7)</f>
        <v>0</v>
      </c>
      <c r="J11" s="218">
        <f>([1]计划!J6-[1]计划!J7)</f>
        <v>0</v>
      </c>
      <c r="K11" s="218">
        <f>([1]计划!K6-[1]计划!K7)</f>
        <v>0</v>
      </c>
      <c r="L11" s="218">
        <f>([1]计划!L6-[1]计划!L7)</f>
        <v>0</v>
      </c>
      <c r="M11" s="220">
        <f t="shared" si="2"/>
        <v>0</v>
      </c>
    </row>
    <row r="12" s="201" customFormat="1" ht="15" customHeight="1" spans="1:13">
      <c r="A12" s="214">
        <v>2.2</v>
      </c>
      <c r="B12" s="220" t="s">
        <v>35</v>
      </c>
      <c r="C12" s="218">
        <f>[1]计划!C8</f>
        <v>0</v>
      </c>
      <c r="D12" s="218">
        <f>[1]计划!D8</f>
        <v>0</v>
      </c>
      <c r="E12" s="218">
        <f>[1]计划!E8</f>
        <v>0</v>
      </c>
      <c r="F12" s="218">
        <f>[1]计划!F8</f>
        <v>0</v>
      </c>
      <c r="G12" s="218">
        <f>[1]计划!G8</f>
        <v>0</v>
      </c>
      <c r="H12" s="218">
        <f>[1]计划!H8</f>
        <v>0</v>
      </c>
      <c r="I12" s="218">
        <f>[1]计划!I8</f>
        <v>0</v>
      </c>
      <c r="J12" s="218">
        <f>[1]计划!J8</f>
        <v>0</v>
      </c>
      <c r="K12" s="218">
        <f>[1]计划!K8</f>
        <v>0</v>
      </c>
      <c r="L12" s="218">
        <f>[1]计划!L8</f>
        <v>0</v>
      </c>
      <c r="M12" s="220">
        <f t="shared" si="2"/>
        <v>0</v>
      </c>
    </row>
    <row r="13" ht="15" customHeight="1" spans="1:13">
      <c r="A13" s="214">
        <v>2.3</v>
      </c>
      <c r="B13" s="217" t="s">
        <v>36</v>
      </c>
      <c r="C13" s="218">
        <f>[1]总成本!C22</f>
        <v>0</v>
      </c>
      <c r="D13" s="218">
        <f>[1]总成本!D22</f>
        <v>0</v>
      </c>
      <c r="E13" s="218">
        <f>[1]总成本!E22</f>
        <v>0</v>
      </c>
      <c r="F13" s="218">
        <f>[1]总成本!F22</f>
        <v>0</v>
      </c>
      <c r="G13" s="218">
        <f>[1]总成本!G22</f>
        <v>0</v>
      </c>
      <c r="H13" s="218">
        <f>[1]总成本!H22</f>
        <v>0</v>
      </c>
      <c r="I13" s="218">
        <f>[1]总成本!I22</f>
        <v>0</v>
      </c>
      <c r="J13" s="218">
        <f>[1]总成本!J22</f>
        <v>0</v>
      </c>
      <c r="K13" s="218">
        <f>[1]总成本!K22</f>
        <v>0</v>
      </c>
      <c r="L13" s="218">
        <f>[1]总成本!L22</f>
        <v>0</v>
      </c>
      <c r="M13" s="220">
        <f t="shared" si="2"/>
        <v>0</v>
      </c>
    </row>
    <row r="14" ht="15" customHeight="1" spans="1:13">
      <c r="A14" s="214">
        <v>2.4</v>
      </c>
      <c r="B14" s="217" t="s">
        <v>37</v>
      </c>
      <c r="C14" s="218">
        <f>[1]价格!D15</f>
        <v>0</v>
      </c>
      <c r="D14" s="218">
        <f>[1]价格!E15</f>
        <v>0</v>
      </c>
      <c r="E14" s="218">
        <f>[1]价格!F15</f>
        <v>0</v>
      </c>
      <c r="F14" s="218">
        <f>[1]价格!G15</f>
        <v>0</v>
      </c>
      <c r="G14" s="218">
        <f>[1]价格!H15</f>
        <v>0</v>
      </c>
      <c r="H14" s="218">
        <f>[1]价格!I15</f>
        <v>0</v>
      </c>
      <c r="I14" s="218">
        <f>[1]价格!J15</f>
        <v>0</v>
      </c>
      <c r="J14" s="218">
        <f>[1]价格!K15</f>
        <v>0</v>
      </c>
      <c r="K14" s="218">
        <f>[1]价格!L15</f>
        <v>0</v>
      </c>
      <c r="L14" s="218">
        <f>[1]价格!M15</f>
        <v>0</v>
      </c>
      <c r="M14" s="220">
        <f t="shared" si="2"/>
        <v>0</v>
      </c>
    </row>
    <row r="15" ht="15" customHeight="1" spans="1:13">
      <c r="A15" s="214">
        <v>2.5</v>
      </c>
      <c r="B15" s="217" t="s">
        <v>38</v>
      </c>
      <c r="C15" s="218">
        <f>[1]利润!C13</f>
        <v>0</v>
      </c>
      <c r="D15" s="218">
        <f>[1]利润!D13</f>
        <v>0</v>
      </c>
      <c r="E15" s="218">
        <f>[1]利润!E13</f>
        <v>0</v>
      </c>
      <c r="F15" s="218">
        <f>[1]利润!F13</f>
        <v>0</v>
      </c>
      <c r="G15" s="218">
        <f>[1]利润!G13</f>
        <v>0</v>
      </c>
      <c r="H15" s="218">
        <f>[1]利润!H13</f>
        <v>0</v>
      </c>
      <c r="I15" s="218">
        <f>[1]利润!I13</f>
        <v>0</v>
      </c>
      <c r="J15" s="218">
        <f>[1]利润!J13</f>
        <v>0</v>
      </c>
      <c r="K15" s="218">
        <f>[1]利润!K13</f>
        <v>0</v>
      </c>
      <c r="L15" s="218">
        <f>[1]利润!L13</f>
        <v>0</v>
      </c>
      <c r="M15" s="220">
        <f t="shared" si="2"/>
        <v>0</v>
      </c>
    </row>
    <row r="16" ht="15" customHeight="1" spans="1:13">
      <c r="A16" s="214">
        <v>2.6</v>
      </c>
      <c r="B16" s="217" t="s">
        <v>39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20">
        <f t="shared" si="2"/>
        <v>0</v>
      </c>
    </row>
    <row r="17" ht="14" spans="1:13">
      <c r="A17" s="214">
        <v>3</v>
      </c>
      <c r="B17" s="215" t="s">
        <v>40</v>
      </c>
      <c r="C17" s="216">
        <f t="shared" ref="C17:L17" si="4">C5-C10</f>
        <v>0</v>
      </c>
      <c r="D17" s="216">
        <f t="shared" si="4"/>
        <v>0</v>
      </c>
      <c r="E17" s="216" t="e">
        <f t="shared" si="4"/>
        <v>#REF!</v>
      </c>
      <c r="F17" s="216" t="e">
        <f t="shared" si="4"/>
        <v>#REF!</v>
      </c>
      <c r="G17" s="216" t="e">
        <f t="shared" si="4"/>
        <v>#REF!</v>
      </c>
      <c r="H17" s="216" t="e">
        <f t="shared" si="4"/>
        <v>#REF!</v>
      </c>
      <c r="I17" s="216" t="e">
        <f t="shared" si="4"/>
        <v>#REF!</v>
      </c>
      <c r="J17" s="216" t="e">
        <f t="shared" si="4"/>
        <v>#REF!</v>
      </c>
      <c r="K17" s="216" t="e">
        <f t="shared" si="4"/>
        <v>#REF!</v>
      </c>
      <c r="L17" s="216" t="e">
        <f t="shared" si="4"/>
        <v>#REF!</v>
      </c>
      <c r="M17" s="220" t="e">
        <f t="shared" si="2"/>
        <v>#REF!</v>
      </c>
    </row>
    <row r="18" ht="14" spans="1:13">
      <c r="A18" s="221">
        <v>4</v>
      </c>
      <c r="B18" s="217" t="s">
        <v>41</v>
      </c>
      <c r="C18" s="218">
        <f>C17</f>
        <v>0</v>
      </c>
      <c r="D18" s="218">
        <f t="shared" ref="D18:L18" si="5">C18+D17</f>
        <v>0</v>
      </c>
      <c r="E18" s="218" t="e">
        <f t="shared" si="5"/>
        <v>#REF!</v>
      </c>
      <c r="F18" s="218" t="e">
        <f t="shared" si="5"/>
        <v>#REF!</v>
      </c>
      <c r="G18" s="218" t="e">
        <f t="shared" si="5"/>
        <v>#REF!</v>
      </c>
      <c r="H18" s="218" t="e">
        <f t="shared" si="5"/>
        <v>#REF!</v>
      </c>
      <c r="I18" s="218" t="e">
        <f t="shared" si="5"/>
        <v>#REF!</v>
      </c>
      <c r="J18" s="218" t="e">
        <f t="shared" si="5"/>
        <v>#REF!</v>
      </c>
      <c r="K18" s="218" t="e">
        <f t="shared" si="5"/>
        <v>#REF!</v>
      </c>
      <c r="L18" s="218" t="e">
        <f t="shared" si="5"/>
        <v>#REF!</v>
      </c>
      <c r="M18" s="217" t="s">
        <v>31</v>
      </c>
    </row>
    <row r="19" s="201" customFormat="1" ht="13" spans="1:13">
      <c r="A19" s="221">
        <v>5</v>
      </c>
      <c r="B19" s="217" t="s">
        <v>42</v>
      </c>
      <c r="C19" s="218">
        <f t="shared" ref="C19:L19" si="6">C17+C15</f>
        <v>0</v>
      </c>
      <c r="D19" s="218">
        <f t="shared" si="6"/>
        <v>0</v>
      </c>
      <c r="E19" s="218" t="e">
        <f t="shared" si="6"/>
        <v>#REF!</v>
      </c>
      <c r="F19" s="218" t="e">
        <f t="shared" si="6"/>
        <v>#REF!</v>
      </c>
      <c r="G19" s="218" t="e">
        <f t="shared" si="6"/>
        <v>#REF!</v>
      </c>
      <c r="H19" s="218" t="e">
        <f t="shared" si="6"/>
        <v>#REF!</v>
      </c>
      <c r="I19" s="218" t="e">
        <f t="shared" si="6"/>
        <v>#REF!</v>
      </c>
      <c r="J19" s="218" t="e">
        <f t="shared" si="6"/>
        <v>#REF!</v>
      </c>
      <c r="K19" s="218" t="e">
        <f t="shared" si="6"/>
        <v>#REF!</v>
      </c>
      <c r="L19" s="218" t="e">
        <f t="shared" si="6"/>
        <v>#REF!</v>
      </c>
      <c r="M19" s="220" t="e">
        <f>SUM(C19:L19)</f>
        <v>#REF!</v>
      </c>
    </row>
    <row r="20" s="201" customFormat="1" ht="13" spans="1:13">
      <c r="A20" s="214">
        <v>6</v>
      </c>
      <c r="B20" s="217" t="s">
        <v>43</v>
      </c>
      <c r="C20" s="218">
        <f>C19</f>
        <v>0</v>
      </c>
      <c r="D20" s="218">
        <f t="shared" ref="D20:L20" si="7">C20+D19</f>
        <v>0</v>
      </c>
      <c r="E20" s="218" t="e">
        <f t="shared" si="7"/>
        <v>#REF!</v>
      </c>
      <c r="F20" s="218" t="e">
        <f t="shared" si="7"/>
        <v>#REF!</v>
      </c>
      <c r="G20" s="218" t="e">
        <f t="shared" si="7"/>
        <v>#REF!</v>
      </c>
      <c r="H20" s="218" t="e">
        <f t="shared" si="7"/>
        <v>#REF!</v>
      </c>
      <c r="I20" s="218" t="e">
        <f t="shared" si="7"/>
        <v>#REF!</v>
      </c>
      <c r="J20" s="218" t="e">
        <f t="shared" si="7"/>
        <v>#REF!</v>
      </c>
      <c r="K20" s="218" t="e">
        <f t="shared" si="7"/>
        <v>#REF!</v>
      </c>
      <c r="L20" s="218" t="e">
        <f t="shared" si="7"/>
        <v>#REF!</v>
      </c>
      <c r="M20" s="217" t="s">
        <v>31</v>
      </c>
    </row>
    <row r="21" ht="14" spans="1:13">
      <c r="A21" s="222"/>
      <c r="B21" s="223" t="s">
        <v>44</v>
      </c>
      <c r="C21" s="223"/>
      <c r="D21" s="223"/>
      <c r="E21" s="223" t="s">
        <v>45</v>
      </c>
      <c r="F21" s="223"/>
      <c r="G21" s="223"/>
      <c r="H21" s="223"/>
      <c r="I21" s="223" t="s">
        <v>46</v>
      </c>
      <c r="J21" s="223"/>
      <c r="K21" s="223"/>
      <c r="L21" s="223"/>
      <c r="M21" s="234"/>
    </row>
    <row r="22" ht="14" spans="1:13">
      <c r="A22" s="224"/>
      <c r="B22" s="225" t="s">
        <v>47</v>
      </c>
      <c r="C22" s="225"/>
      <c r="D22" s="226" t="s">
        <v>48</v>
      </c>
      <c r="E22" s="227" t="e">
        <f>IRR(C17:L17,0.15)</f>
        <v>#VALUE!</v>
      </c>
      <c r="F22" s="225"/>
      <c r="G22" s="225"/>
      <c r="H22" s="225"/>
      <c r="I22" s="227" t="e">
        <f>IRR(C19:L19,0.15)</f>
        <v>#VALUE!</v>
      </c>
      <c r="J22" s="225"/>
      <c r="K22" s="225"/>
      <c r="L22" s="225"/>
      <c r="M22" s="235"/>
    </row>
    <row r="23" ht="14" spans="1:18">
      <c r="A23" s="224"/>
      <c r="B23" s="225" t="s">
        <v>49</v>
      </c>
      <c r="C23" s="225"/>
      <c r="D23" s="225"/>
      <c r="E23" s="228" t="e">
        <f>NPV(0.12,C17:L17)</f>
        <v>#REF!</v>
      </c>
      <c r="F23" s="225"/>
      <c r="G23" s="225"/>
      <c r="H23" s="225"/>
      <c r="I23" s="228" t="e">
        <f>NPV(0.12,C19:L19)</f>
        <v>#REF!</v>
      </c>
      <c r="J23" s="225"/>
      <c r="K23" s="225"/>
      <c r="L23" s="225"/>
      <c r="M23" s="235"/>
      <c r="R23" s="202">
        <f>30.9-29.82</f>
        <v>1.08</v>
      </c>
    </row>
    <row r="24" ht="14" spans="1:13">
      <c r="A24" s="229"/>
      <c r="B24" s="230" t="s">
        <v>50</v>
      </c>
      <c r="C24" s="230"/>
      <c r="D24" s="230"/>
      <c r="E24" s="231" t="e">
        <f>6-H18/I17</f>
        <v>#REF!</v>
      </c>
      <c r="F24" s="230"/>
      <c r="G24" s="230"/>
      <c r="H24" s="230"/>
      <c r="I24" s="231" t="e">
        <f>6-H20/I19</f>
        <v>#REF!</v>
      </c>
      <c r="J24" s="230"/>
      <c r="K24" s="230"/>
      <c r="L24" s="230"/>
      <c r="M24" s="236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3"/>
  <sheetViews>
    <sheetView tabSelected="1" workbookViewId="0">
      <pane xSplit="2" ySplit="4" topLeftCell="C14" activePane="bottomRight" state="frozen"/>
      <selection/>
      <selection pane="topRight"/>
      <selection pane="bottomLeft"/>
      <selection pane="bottomRight" activeCell="D24" sqref="D24"/>
    </sheetView>
  </sheetViews>
  <sheetFormatPr defaultColWidth="9" defaultRowHeight="14.5"/>
  <cols>
    <col min="1" max="1" width="5.12727272727273" style="170" customWidth="1"/>
    <col min="2" max="2" width="32.6272727272727" style="170" customWidth="1"/>
    <col min="3" max="3" width="14.5" style="171" customWidth="1"/>
    <col min="4" max="7" width="14.7545454545455" style="171" customWidth="1"/>
    <col min="8" max="8" width="16.5" style="171" customWidth="1"/>
    <col min="9" max="9" width="15.5" style="170" customWidth="1"/>
    <col min="10" max="35" width="9" style="170"/>
    <col min="36" max="36" width="4.37272727272727" style="170" customWidth="1"/>
    <col min="37" max="37" width="13.8727272727273" style="170" customWidth="1"/>
    <col min="38" max="16384" width="9" style="170"/>
  </cols>
  <sheetData>
    <row r="1" ht="27" customHeight="1" spans="1:9">
      <c r="A1" s="172" t="s">
        <v>51</v>
      </c>
      <c r="B1" s="172"/>
      <c r="C1" s="172"/>
      <c r="D1" s="172"/>
      <c r="E1" s="172"/>
      <c r="F1" s="172"/>
      <c r="G1" s="172"/>
      <c r="H1" s="172"/>
      <c r="I1" s="86" t="s">
        <v>52</v>
      </c>
    </row>
    <row r="2" ht="15.75" customHeight="1" spans="1:38">
      <c r="A2" s="173" t="s">
        <v>21</v>
      </c>
      <c r="B2" s="174" t="s">
        <v>1</v>
      </c>
      <c r="C2" s="174" t="s">
        <v>53</v>
      </c>
      <c r="D2" s="174" t="s">
        <v>54</v>
      </c>
      <c r="E2" s="174" t="s">
        <v>55</v>
      </c>
      <c r="F2" s="174" t="s">
        <v>56</v>
      </c>
      <c r="G2" s="174" t="s">
        <v>57</v>
      </c>
      <c r="H2" s="175" t="s">
        <v>58</v>
      </c>
      <c r="AL2" s="170" t="s">
        <v>59</v>
      </c>
    </row>
    <row r="3" s="131" customFormat="1" ht="15.75" customHeight="1" spans="1:38">
      <c r="A3" s="176"/>
      <c r="B3" s="147" t="s">
        <v>3</v>
      </c>
      <c r="C3" s="177">
        <f>'2025年'!H6</f>
        <v>1750</v>
      </c>
      <c r="D3" s="177">
        <f>'2026年'!H6</f>
        <v>3500</v>
      </c>
      <c r="E3" s="177">
        <f>'2027年'!H6</f>
        <v>4000</v>
      </c>
      <c r="F3" s="177">
        <f>'2028年'!H6</f>
        <v>4250</v>
      </c>
      <c r="G3" s="177">
        <f>'2029年'!H6</f>
        <v>4450</v>
      </c>
      <c r="H3" s="177">
        <f t="shared" ref="H3:H10" si="0">SUM(C3:G3)</f>
        <v>17950</v>
      </c>
      <c r="I3" s="163"/>
      <c r="AJ3" s="146" t="s">
        <v>21</v>
      </c>
      <c r="AK3" s="147" t="s">
        <v>3</v>
      </c>
      <c r="AL3" s="131" t="s">
        <v>60</v>
      </c>
    </row>
    <row r="4" s="131" customFormat="1" ht="15.75" customHeight="1" spans="1:38">
      <c r="A4" s="135">
        <v>1</v>
      </c>
      <c r="B4" s="147" t="s">
        <v>61</v>
      </c>
      <c r="C4" s="177">
        <f>'2025年'!H7</f>
        <v>1211059.5</v>
      </c>
      <c r="D4" s="177">
        <f>'2026年'!H7</f>
        <v>2422119</v>
      </c>
      <c r="E4" s="177">
        <f>'2027年'!H7</f>
        <v>2768136</v>
      </c>
      <c r="F4" s="177">
        <f>'2028年'!H7</f>
        <v>2941144.5</v>
      </c>
      <c r="G4" s="177">
        <f>'2029年'!H7</f>
        <v>3079551.3</v>
      </c>
      <c r="H4" s="177">
        <f t="shared" si="0"/>
        <v>12422010.3</v>
      </c>
      <c r="I4" s="163"/>
      <c r="AJ4" s="146" t="s">
        <v>62</v>
      </c>
      <c r="AK4" s="147" t="s">
        <v>61</v>
      </c>
      <c r="AL4" s="131" t="s">
        <v>60</v>
      </c>
    </row>
    <row r="5" s="131" customFormat="1" ht="15.75" customHeight="1" spans="1:38">
      <c r="A5" s="135">
        <v>2</v>
      </c>
      <c r="B5" s="135" t="s">
        <v>63</v>
      </c>
      <c r="C5" s="177">
        <f>'2025年'!H8</f>
        <v>0</v>
      </c>
      <c r="D5" s="177">
        <f>'2026年'!H8</f>
        <v>0</v>
      </c>
      <c r="E5" s="177">
        <f>'2027年'!H8</f>
        <v>0</v>
      </c>
      <c r="F5" s="177">
        <f>'2028年'!H8</f>
        <v>0</v>
      </c>
      <c r="G5" s="177">
        <f>'2029年'!H8</f>
        <v>0</v>
      </c>
      <c r="H5" s="177">
        <f t="shared" si="0"/>
        <v>0</v>
      </c>
      <c r="I5" s="163"/>
      <c r="AJ5" s="146" t="s">
        <v>64</v>
      </c>
      <c r="AK5" s="135" t="s">
        <v>65</v>
      </c>
      <c r="AL5" s="131" t="s">
        <v>60</v>
      </c>
    </row>
    <row r="6" s="131" customFormat="1" ht="15.75" customHeight="1" spans="1:38">
      <c r="A6" s="135">
        <v>3</v>
      </c>
      <c r="B6" s="147" t="s">
        <v>66</v>
      </c>
      <c r="C6" s="178">
        <f>C4-C5</f>
        <v>1211059.5</v>
      </c>
      <c r="D6" s="178">
        <f>'2026年'!H9</f>
        <v>2422119</v>
      </c>
      <c r="E6" s="177">
        <f>'2027年'!H9</f>
        <v>2768136</v>
      </c>
      <c r="F6" s="177">
        <f>'2028年'!H9</f>
        <v>2941144.5</v>
      </c>
      <c r="G6" s="177">
        <f>'2029年'!H9</f>
        <v>3079551.3</v>
      </c>
      <c r="H6" s="177">
        <f t="shared" si="0"/>
        <v>12422010.3</v>
      </c>
      <c r="I6" s="163"/>
      <c r="AJ6" s="146" t="s">
        <v>67</v>
      </c>
      <c r="AK6" s="147" t="s">
        <v>66</v>
      </c>
      <c r="AL6" s="131" t="s">
        <v>68</v>
      </c>
    </row>
    <row r="7" s="131" customFormat="1" ht="15.75" customHeight="1" spans="1:38">
      <c r="A7" s="135">
        <v>4</v>
      </c>
      <c r="B7" s="146" t="s">
        <v>69</v>
      </c>
      <c r="C7" s="177">
        <f>'2025年'!H10</f>
        <v>438159.099908635</v>
      </c>
      <c r="D7" s="178">
        <f>'2026年'!H10</f>
        <v>876318.19981727</v>
      </c>
      <c r="E7" s="177">
        <f>'2027年'!H10</f>
        <v>1001506.51407688</v>
      </c>
      <c r="F7" s="177">
        <f>'2028年'!H10</f>
        <v>1064100.67120669</v>
      </c>
      <c r="G7" s="177">
        <f>'2029年'!H10</f>
        <v>1114175.99691053</v>
      </c>
      <c r="H7" s="177">
        <f t="shared" si="0"/>
        <v>4494260.48192</v>
      </c>
      <c r="I7" s="163"/>
      <c r="AJ7" s="146" t="s">
        <v>70</v>
      </c>
      <c r="AK7" s="146" t="s">
        <v>71</v>
      </c>
      <c r="AL7" s="131" t="s">
        <v>72</v>
      </c>
    </row>
    <row r="8" s="131" customFormat="1" ht="15.75" customHeight="1" spans="1:37">
      <c r="A8" s="135">
        <v>5</v>
      </c>
      <c r="B8" s="146" t="s">
        <v>73</v>
      </c>
      <c r="C8" s="177">
        <f>'2025年'!H11</f>
        <v>18884.6572060622</v>
      </c>
      <c r="D8" s="178">
        <f>'2026年'!H11</f>
        <v>37769.3144121243</v>
      </c>
      <c r="E8" s="177">
        <f>'2027年'!H11</f>
        <v>43164.9307567135</v>
      </c>
      <c r="F8" s="177">
        <f>'2028年'!H11</f>
        <v>45862.7389290081</v>
      </c>
      <c r="G8" s="177">
        <f>'2029年'!H11</f>
        <v>48020.9854668438</v>
      </c>
      <c r="H8" s="177">
        <f t="shared" si="0"/>
        <v>193702.626770752</v>
      </c>
      <c r="I8" s="163"/>
      <c r="AJ8" s="146" t="s">
        <v>74</v>
      </c>
      <c r="AK8" s="146" t="s">
        <v>73</v>
      </c>
    </row>
    <row r="9" s="131" customFormat="1" ht="15.75" customHeight="1" spans="1:37">
      <c r="A9" s="135">
        <v>6</v>
      </c>
      <c r="B9" s="146" t="s">
        <v>75</v>
      </c>
      <c r="C9" s="177">
        <f>'2025年'!H12</f>
        <v>9328.62927562138</v>
      </c>
      <c r="D9" s="178">
        <f>'2026年'!H12</f>
        <v>18657.2585512428</v>
      </c>
      <c r="E9" s="177">
        <f>'2027年'!H12</f>
        <v>21322.5812014203</v>
      </c>
      <c r="F9" s="177">
        <f>'2028年'!H12</f>
        <v>22655.2425265091</v>
      </c>
      <c r="G9" s="177">
        <f>'2029年'!H12</f>
        <v>23721.3715865801</v>
      </c>
      <c r="H9" s="177">
        <f t="shared" si="0"/>
        <v>95685.0831413736</v>
      </c>
      <c r="I9" s="163"/>
      <c r="AJ9" s="146" t="s">
        <v>76</v>
      </c>
      <c r="AK9" s="146" t="s">
        <v>75</v>
      </c>
    </row>
    <row r="10" s="131" customFormat="1" ht="15.75" customHeight="1" spans="1:38">
      <c r="A10" s="135">
        <v>7</v>
      </c>
      <c r="B10" s="146" t="s">
        <v>77</v>
      </c>
      <c r="C10" s="177">
        <f>'2025年'!H13</f>
        <v>18915.1930012599</v>
      </c>
      <c r="D10" s="178">
        <f>'2026年'!H13</f>
        <v>37830.3860025199</v>
      </c>
      <c r="E10" s="177">
        <f>'2027年'!H13</f>
        <v>43234.7268600227</v>
      </c>
      <c r="F10" s="177">
        <f>'2028年'!H13</f>
        <v>45936.8972887741</v>
      </c>
      <c r="G10" s="177">
        <f>'2029年'!H13</f>
        <v>48098.6336317753</v>
      </c>
      <c r="H10" s="177">
        <f t="shared" si="0"/>
        <v>194015.836784352</v>
      </c>
      <c r="I10" s="163"/>
      <c r="AJ10" s="146" t="s">
        <v>78</v>
      </c>
      <c r="AK10" s="146" t="s">
        <v>77</v>
      </c>
      <c r="AL10" s="131" t="s">
        <v>60</v>
      </c>
    </row>
    <row r="11" s="131" customFormat="1" ht="15.75" customHeight="1" spans="1:37">
      <c r="A11" s="135">
        <v>8</v>
      </c>
      <c r="B11" s="179" t="s">
        <v>79</v>
      </c>
      <c r="C11" s="180">
        <f t="shared" ref="C11:G11" si="1">SUM(C8:C10)</f>
        <v>47128.4794829435</v>
      </c>
      <c r="D11" s="180">
        <f t="shared" si="1"/>
        <v>94256.958965887</v>
      </c>
      <c r="E11" s="180">
        <f t="shared" si="1"/>
        <v>107722.238818157</v>
      </c>
      <c r="F11" s="180">
        <f t="shared" si="1"/>
        <v>114454.878744291</v>
      </c>
      <c r="G11" s="180">
        <f t="shared" si="1"/>
        <v>119840.990685199</v>
      </c>
      <c r="H11" s="180">
        <f>SUM(H8:H10)</f>
        <v>483403.546696477</v>
      </c>
      <c r="I11" s="163"/>
      <c r="AJ11" s="146" t="s">
        <v>80</v>
      </c>
      <c r="AK11" s="150" t="s">
        <v>79</v>
      </c>
    </row>
    <row r="12" s="131" customFormat="1" ht="15.75" customHeight="1" spans="1:37">
      <c r="A12" s="135">
        <v>9</v>
      </c>
      <c r="B12" s="181" t="s">
        <v>81</v>
      </c>
      <c r="C12" s="177">
        <f>'2025年'!H15</f>
        <v>725771.920608422</v>
      </c>
      <c r="D12" s="178">
        <f>'2026年'!H15</f>
        <v>1451543.84121684</v>
      </c>
      <c r="E12" s="177">
        <f>'2027年'!H15</f>
        <v>1658907.24710496</v>
      </c>
      <c r="F12" s="177">
        <f>'2028年'!H15</f>
        <v>1762588.95004902</v>
      </c>
      <c r="G12" s="177">
        <f>'2029年'!H15</f>
        <v>1845534.31240427</v>
      </c>
      <c r="H12" s="177">
        <f t="shared" ref="H12:H19" si="2">SUM(C12:G12)</f>
        <v>7444346.27138352</v>
      </c>
      <c r="I12" s="163"/>
      <c r="K12" s="170"/>
      <c r="L12" s="170"/>
      <c r="M12" s="170"/>
      <c r="N12" s="170"/>
      <c r="O12" s="170"/>
      <c r="P12" s="170"/>
      <c r="AJ12" s="146" t="s">
        <v>82</v>
      </c>
      <c r="AK12" s="150" t="s">
        <v>81</v>
      </c>
    </row>
    <row r="13" ht="15.75" customHeight="1" spans="1:37">
      <c r="A13" s="135">
        <v>10</v>
      </c>
      <c r="B13" s="182" t="s">
        <v>83</v>
      </c>
      <c r="C13" s="183">
        <f t="shared" ref="C13:G13" si="3">+C12/C6</f>
        <v>0.599286757263719</v>
      </c>
      <c r="D13" s="183">
        <f t="shared" si="3"/>
        <v>0.599286757263719</v>
      </c>
      <c r="E13" s="183">
        <f t="shared" si="3"/>
        <v>0.599286757263719</v>
      </c>
      <c r="F13" s="183">
        <f t="shared" si="3"/>
        <v>0.59928675726372</v>
      </c>
      <c r="G13" s="183">
        <f t="shared" si="3"/>
        <v>0.59928675726372</v>
      </c>
      <c r="H13" s="183">
        <f>+H12/H6</f>
        <v>0.599286757263719</v>
      </c>
      <c r="I13" s="163"/>
      <c r="AJ13" s="182" t="s">
        <v>84</v>
      </c>
      <c r="AK13" s="182" t="s">
        <v>83</v>
      </c>
    </row>
    <row r="14" ht="15.75" customHeight="1" spans="1:37">
      <c r="A14" s="135">
        <v>11</v>
      </c>
      <c r="B14" s="182" t="s">
        <v>85</v>
      </c>
      <c r="C14" s="177">
        <f>'2025年'!H17</f>
        <v>65695.520751174</v>
      </c>
      <c r="D14" s="178">
        <f>'2026年'!H17</f>
        <v>83321.0415023481</v>
      </c>
      <c r="E14" s="177">
        <f>'2027年'!H17</f>
        <v>88356.9045741121</v>
      </c>
      <c r="F14" s="177">
        <f>'2028年'!H17</f>
        <v>90874.8361099941</v>
      </c>
      <c r="G14" s="177">
        <f>'2029年'!H17</f>
        <v>92889.1813386997</v>
      </c>
      <c r="H14" s="177">
        <f t="shared" si="2"/>
        <v>421137.484276328</v>
      </c>
      <c r="I14" s="163"/>
      <c r="AJ14" s="182" t="s">
        <v>86</v>
      </c>
      <c r="AK14" s="182" t="s">
        <v>85</v>
      </c>
    </row>
    <row r="15" ht="15.75" customHeight="1" spans="1:37">
      <c r="A15" s="135"/>
      <c r="B15" s="182"/>
      <c r="C15" s="177"/>
      <c r="D15" s="177"/>
      <c r="E15" s="177"/>
      <c r="F15" s="177"/>
      <c r="G15" s="177"/>
      <c r="H15" s="177">
        <f>SUM(C15:E15)</f>
        <v>0</v>
      </c>
      <c r="I15" s="163"/>
      <c r="AJ15" s="182"/>
      <c r="AK15" s="182"/>
    </row>
    <row r="16" ht="15.75" customHeight="1" spans="1:38">
      <c r="A16" s="135">
        <v>12</v>
      </c>
      <c r="B16" s="182" t="s">
        <v>87</v>
      </c>
      <c r="C16" s="184">
        <f>'2025年'!H19</f>
        <v>3009.23525020045</v>
      </c>
      <c r="D16" s="184">
        <f>'2026年'!H19</f>
        <v>6018.47050040089</v>
      </c>
      <c r="E16" s="177">
        <f>'2027年'!H19</f>
        <v>6878.25200045816</v>
      </c>
      <c r="F16" s="177">
        <f>'2028年'!H19</f>
        <v>7308.1427504868</v>
      </c>
      <c r="G16" s="177">
        <f>'2029年'!H19</f>
        <v>7652.0553505097</v>
      </c>
      <c r="H16" s="177">
        <f t="shared" si="2"/>
        <v>30866.155852056</v>
      </c>
      <c r="I16" s="163"/>
      <c r="Q16" s="163"/>
      <c r="AJ16" s="182" t="s">
        <v>88</v>
      </c>
      <c r="AK16" s="182" t="s">
        <v>87</v>
      </c>
      <c r="AL16" s="170" t="s">
        <v>60</v>
      </c>
    </row>
    <row r="17" ht="15.75" customHeight="1" spans="1:37">
      <c r="A17" s="135">
        <v>13</v>
      </c>
      <c r="B17" s="182" t="s">
        <v>89</v>
      </c>
      <c r="C17" s="184">
        <f>'2025年'!H20</f>
        <v>14616.2855009736</v>
      </c>
      <c r="D17" s="184">
        <f>'2026年'!H20</f>
        <v>29232.5710019472</v>
      </c>
      <c r="E17" s="177">
        <f>'2027年'!H20</f>
        <v>33408.6525736539</v>
      </c>
      <c r="F17" s="177">
        <f>'2028年'!H20</f>
        <v>35496.6933595073</v>
      </c>
      <c r="G17" s="177">
        <f>'2029年'!H20</f>
        <v>37167.12598819</v>
      </c>
      <c r="H17" s="177">
        <f t="shared" si="2"/>
        <v>149921.328424272</v>
      </c>
      <c r="I17" s="163"/>
      <c r="AJ17" s="182" t="s">
        <v>90</v>
      </c>
      <c r="AK17" s="182" t="s">
        <v>89</v>
      </c>
    </row>
    <row r="18" s="133" customFormat="1" ht="15.75" customHeight="1" spans="1:37">
      <c r="A18" s="135">
        <v>14</v>
      </c>
      <c r="B18" s="155" t="s">
        <v>91</v>
      </c>
      <c r="C18" s="185">
        <f>'2025年'!H21</f>
        <v>16500</v>
      </c>
      <c r="D18" s="185">
        <f>'2026年'!H21</f>
        <v>16500</v>
      </c>
      <c r="E18" s="185">
        <f>'2027年'!H21</f>
        <v>16500</v>
      </c>
      <c r="F18" s="177">
        <f>'2028年'!H21</f>
        <v>16500</v>
      </c>
      <c r="G18" s="177">
        <f>'2029年'!H21</f>
        <v>16500</v>
      </c>
      <c r="H18" s="177">
        <f t="shared" si="2"/>
        <v>82500</v>
      </c>
      <c r="I18" s="163"/>
      <c r="AJ18" s="155"/>
      <c r="AK18" s="155"/>
    </row>
    <row r="19" s="131" customFormat="1" ht="15.75" customHeight="1" spans="1:37">
      <c r="A19" s="135">
        <v>15</v>
      </c>
      <c r="B19" s="146" t="s">
        <v>92</v>
      </c>
      <c r="C19" s="184">
        <f>'2025年'!H22</f>
        <v>12896.722500859</v>
      </c>
      <c r="D19" s="184">
        <f>'2026年'!H22</f>
        <v>25793.4450017181</v>
      </c>
      <c r="E19" s="177">
        <f>'2027年'!H22</f>
        <v>29478.2228591064</v>
      </c>
      <c r="F19" s="177">
        <f>'2028年'!H22</f>
        <v>31320.6117878005</v>
      </c>
      <c r="G19" s="177">
        <f>'2029年'!H22</f>
        <v>32794.5229307559</v>
      </c>
      <c r="H19" s="177">
        <f t="shared" si="2"/>
        <v>132283.52508024</v>
      </c>
      <c r="I19" s="163"/>
      <c r="AJ19" s="146" t="s">
        <v>93</v>
      </c>
      <c r="AK19" s="146" t="s">
        <v>92</v>
      </c>
    </row>
    <row r="20" s="168" customFormat="1" ht="15.75" customHeight="1" spans="1:37">
      <c r="A20" s="135">
        <v>16</v>
      </c>
      <c r="B20" s="186" t="s">
        <v>94</v>
      </c>
      <c r="C20" s="180">
        <f t="shared" ref="C20:G20" si="4">+C19+C18+C17+C16+C14</f>
        <v>112717.764003207</v>
      </c>
      <c r="D20" s="180">
        <f t="shared" si="4"/>
        <v>160865.528006414</v>
      </c>
      <c r="E20" s="180">
        <f t="shared" si="4"/>
        <v>174622.032007331</v>
      </c>
      <c r="F20" s="180">
        <f t="shared" si="4"/>
        <v>181500.284007789</v>
      </c>
      <c r="G20" s="180">
        <f t="shared" si="4"/>
        <v>187002.885608155</v>
      </c>
      <c r="H20" s="180">
        <f>+H19+H18+H17+H16+H14</f>
        <v>816708.493632896</v>
      </c>
      <c r="I20" s="163"/>
      <c r="AJ20" s="198" t="s">
        <v>95</v>
      </c>
      <c r="AK20" s="199" t="s">
        <v>94</v>
      </c>
    </row>
    <row r="21" ht="15.75" customHeight="1" spans="1:37">
      <c r="A21" s="135">
        <v>17</v>
      </c>
      <c r="B21" s="182" t="s">
        <v>96</v>
      </c>
      <c r="C21" s="187">
        <f>'2025年'!H24</f>
        <v>613054.156605214</v>
      </c>
      <c r="D21" s="187">
        <f>'2026年'!H24</f>
        <v>1290678.31321043</v>
      </c>
      <c r="E21" s="177">
        <f>'2027年'!H24</f>
        <v>1484285.21509763</v>
      </c>
      <c r="F21" s="177">
        <f>'2028年'!H24</f>
        <v>1581088.66604124</v>
      </c>
      <c r="G21" s="177">
        <f>'2029年'!H24</f>
        <v>1658531.42679612</v>
      </c>
      <c r="H21" s="177">
        <f>SUM(C21:G21)</f>
        <v>6627637.77775063</v>
      </c>
      <c r="I21" s="196" t="s">
        <v>52</v>
      </c>
      <c r="AJ21" s="182" t="s">
        <v>97</v>
      </c>
      <c r="AK21" s="182" t="s">
        <v>96</v>
      </c>
    </row>
    <row r="22" ht="15.75" customHeight="1" spans="1:37">
      <c r="A22" s="135">
        <v>18</v>
      </c>
      <c r="B22" s="182" t="s">
        <v>38</v>
      </c>
      <c r="C22" s="187">
        <f>'2025年'!H25</f>
        <v>153263.539151304</v>
      </c>
      <c r="D22" s="187">
        <f>'2026年'!H25</f>
        <v>322669.578302607</v>
      </c>
      <c r="E22" s="177">
        <f>'2027年'!H25</f>
        <v>371071.303774408</v>
      </c>
      <c r="F22" s="177">
        <f>'2028年'!H25</f>
        <v>395272.166510309</v>
      </c>
      <c r="G22" s="177">
        <f>'2029年'!H25</f>
        <v>414632.856699029</v>
      </c>
      <c r="H22" s="177">
        <f t="shared" ref="H21:H23" si="5">SUM(C22:G22)</f>
        <v>1656909.44443766</v>
      </c>
      <c r="I22" s="163"/>
      <c r="AJ22" s="182" t="s">
        <v>98</v>
      </c>
      <c r="AK22" s="182" t="s">
        <v>38</v>
      </c>
    </row>
    <row r="23" ht="15.75" customHeight="1" spans="1:37">
      <c r="A23" s="135">
        <v>19</v>
      </c>
      <c r="B23" s="182" t="s">
        <v>99</v>
      </c>
      <c r="C23" s="187">
        <f>'2025年'!H26</f>
        <v>459790.617453911</v>
      </c>
      <c r="D23" s="187">
        <f>'2026年'!H26</f>
        <v>1237757.56863254</v>
      </c>
      <c r="E23" s="177">
        <f>'2027年'!H26</f>
        <v>1423343.14986576</v>
      </c>
      <c r="F23" s="177">
        <f>'2028年'!H26</f>
        <v>1516135.94048237</v>
      </c>
      <c r="G23" s="177">
        <f>'2029年'!H26</f>
        <v>1590370.17297566</v>
      </c>
      <c r="H23" s="177">
        <f>SUM(C23:G23)</f>
        <v>6227397.44941024</v>
      </c>
      <c r="I23" s="196" t="s">
        <v>52</v>
      </c>
      <c r="AJ23" s="182" t="s">
        <v>100</v>
      </c>
      <c r="AK23" s="182" t="s">
        <v>99</v>
      </c>
    </row>
    <row r="24" ht="15.75" customHeight="1" spans="1:37">
      <c r="A24" s="135">
        <v>20</v>
      </c>
      <c r="B24" s="182" t="s">
        <v>101</v>
      </c>
      <c r="C24" s="188">
        <f t="shared" ref="C24:G24" si="6">C23/C4</f>
        <v>0.379659808171201</v>
      </c>
      <c r="D24" s="188">
        <f t="shared" si="6"/>
        <v>0.511022608151185</v>
      </c>
      <c r="E24" s="188">
        <f t="shared" si="6"/>
        <v>0.51418830211585</v>
      </c>
      <c r="F24" s="188">
        <f t="shared" si="6"/>
        <v>0.515491823160124</v>
      </c>
      <c r="G24" s="188">
        <f>G23/G4</f>
        <v>0.516429186607692</v>
      </c>
      <c r="H24" s="188">
        <f>H23/H4</f>
        <v>0.501319617277265</v>
      </c>
      <c r="I24" s="196" t="s">
        <v>52</v>
      </c>
      <c r="AJ24" s="200" t="s">
        <v>102</v>
      </c>
      <c r="AK24" s="200" t="s">
        <v>103</v>
      </c>
    </row>
    <row r="25" s="169" customFormat="1" ht="15.75" customHeight="1" spans="3:9">
      <c r="C25" s="189"/>
      <c r="D25" s="189"/>
      <c r="E25" s="189"/>
      <c r="F25" s="189"/>
      <c r="G25" s="189"/>
      <c r="H25" s="189"/>
      <c r="I25" s="197"/>
    </row>
    <row r="26" s="169" customFormat="1" ht="15.75" customHeight="1" spans="1:36">
      <c r="A26" s="169" t="s">
        <v>104</v>
      </c>
      <c r="C26" s="190"/>
      <c r="D26" s="190"/>
      <c r="E26" s="190"/>
      <c r="F26" s="190"/>
      <c r="G26" s="190"/>
      <c r="H26" s="190"/>
      <c r="I26" s="197"/>
      <c r="AJ26" s="169" t="s">
        <v>104</v>
      </c>
    </row>
    <row r="27" ht="15.75" customHeight="1" spans="1:38">
      <c r="A27" s="182" t="s">
        <v>21</v>
      </c>
      <c r="B27" s="191" t="s">
        <v>1</v>
      </c>
      <c r="C27" s="174" t="s">
        <v>53</v>
      </c>
      <c r="D27" s="174" t="s">
        <v>54</v>
      </c>
      <c r="E27" s="174" t="s">
        <v>55</v>
      </c>
      <c r="F27" s="174" t="s">
        <v>56</v>
      </c>
      <c r="G27" s="174" t="s">
        <v>57</v>
      </c>
      <c r="H27" s="175" t="s">
        <v>58</v>
      </c>
      <c r="AL27" s="170" t="s">
        <v>59</v>
      </c>
    </row>
    <row r="28" s="131" customFormat="1" ht="15.75" customHeight="1" spans="1:37">
      <c r="A28" s="146" t="s">
        <v>105</v>
      </c>
      <c r="B28" s="150" t="s">
        <v>106</v>
      </c>
      <c r="C28" s="154"/>
      <c r="D28" s="154"/>
      <c r="E28" s="154"/>
      <c r="F28" s="154"/>
      <c r="G28" s="154"/>
      <c r="H28" s="154"/>
      <c r="I28" s="163"/>
      <c r="AJ28" s="146" t="s">
        <v>107</v>
      </c>
      <c r="AK28" s="150" t="s">
        <v>106</v>
      </c>
    </row>
    <row r="29" s="131" customFormat="1" ht="15.75" customHeight="1" spans="1:37">
      <c r="A29" s="146" t="s">
        <v>62</v>
      </c>
      <c r="B29" s="146" t="s">
        <v>108</v>
      </c>
      <c r="C29" s="149">
        <f t="shared" ref="C29:G29" si="7">+C6/C3</f>
        <v>692.034</v>
      </c>
      <c r="D29" s="149">
        <f>+D6/D3</f>
        <v>692.034</v>
      </c>
      <c r="E29" s="149">
        <f t="shared" si="7"/>
        <v>692.034</v>
      </c>
      <c r="F29" s="149">
        <f>+F6/F3</f>
        <v>692.034</v>
      </c>
      <c r="G29" s="149">
        <f>+G6/G3</f>
        <v>692.034</v>
      </c>
      <c r="H29" s="149">
        <f>+H6/H3</f>
        <v>692.034</v>
      </c>
      <c r="I29" s="163"/>
      <c r="AJ29" s="146" t="s">
        <v>62</v>
      </c>
      <c r="AK29" s="146" t="s">
        <v>108</v>
      </c>
    </row>
    <row r="30" s="131" customFormat="1" ht="15.75" customHeight="1" spans="1:37">
      <c r="A30" s="146" t="s">
        <v>64</v>
      </c>
      <c r="B30" s="146" t="s">
        <v>109</v>
      </c>
      <c r="C30" s="149">
        <f t="shared" ref="C30:G30" si="8">+C7/C3</f>
        <v>250.37662851922</v>
      </c>
      <c r="D30" s="149">
        <f t="shared" si="8"/>
        <v>250.37662851922</v>
      </c>
      <c r="E30" s="149">
        <f t="shared" si="8"/>
        <v>250.37662851922</v>
      </c>
      <c r="F30" s="149">
        <f>+F7/F3</f>
        <v>250.37662851922</v>
      </c>
      <c r="G30" s="149">
        <f t="shared" si="8"/>
        <v>250.37662851922</v>
      </c>
      <c r="H30" s="149">
        <f>+H7/H3</f>
        <v>250.37662851922</v>
      </c>
      <c r="I30" s="163"/>
      <c r="AJ30" s="146" t="s">
        <v>64</v>
      </c>
      <c r="AK30" s="146" t="s">
        <v>109</v>
      </c>
    </row>
    <row r="31" s="131" customFormat="1" ht="15.75" customHeight="1" spans="1:37">
      <c r="A31" s="146" t="s">
        <v>110</v>
      </c>
      <c r="B31" s="146" t="s">
        <v>111</v>
      </c>
      <c r="C31" s="154">
        <f t="shared" ref="C31:G31" si="9">C29-C30</f>
        <v>441.65737148078</v>
      </c>
      <c r="D31" s="154">
        <f t="shared" si="9"/>
        <v>441.65737148078</v>
      </c>
      <c r="E31" s="154">
        <f t="shared" si="9"/>
        <v>441.65737148078</v>
      </c>
      <c r="F31" s="154">
        <f t="shared" si="9"/>
        <v>441.65737148078</v>
      </c>
      <c r="G31" s="154">
        <f t="shared" si="9"/>
        <v>441.65737148078</v>
      </c>
      <c r="H31" s="154">
        <f>H29-H30</f>
        <v>441.65737148078</v>
      </c>
      <c r="I31" s="163"/>
      <c r="AJ31" s="146" t="s">
        <v>110</v>
      </c>
      <c r="AK31" s="146" t="s">
        <v>111</v>
      </c>
    </row>
    <row r="32" s="131" customFormat="1" ht="15.75" customHeight="1" spans="1:37">
      <c r="A32" s="146">
        <v>3.1</v>
      </c>
      <c r="B32" s="146" t="s">
        <v>112</v>
      </c>
      <c r="C32" s="151">
        <f t="shared" ref="C32:G32" si="10">C31/C29</f>
        <v>0.638201839043717</v>
      </c>
      <c r="D32" s="151">
        <f t="shared" si="10"/>
        <v>0.638201839043717</v>
      </c>
      <c r="E32" s="151">
        <f t="shared" si="10"/>
        <v>0.638201839043718</v>
      </c>
      <c r="F32" s="151">
        <f t="shared" si="10"/>
        <v>0.638201839043718</v>
      </c>
      <c r="G32" s="151">
        <f t="shared" si="10"/>
        <v>0.638201839043718</v>
      </c>
      <c r="H32" s="151">
        <f>H31/H29</f>
        <v>0.638201839043717</v>
      </c>
      <c r="I32" s="163"/>
      <c r="AJ32" s="146"/>
      <c r="AK32" s="146"/>
    </row>
    <row r="33" s="131" customFormat="1" ht="15.75" customHeight="1" spans="1:37">
      <c r="A33" s="146" t="s">
        <v>107</v>
      </c>
      <c r="B33" s="150" t="s">
        <v>10</v>
      </c>
      <c r="C33" s="154"/>
      <c r="D33" s="154"/>
      <c r="E33" s="154"/>
      <c r="F33" s="154"/>
      <c r="G33" s="154"/>
      <c r="H33" s="154"/>
      <c r="I33" s="163"/>
      <c r="AJ33" s="146" t="s">
        <v>113</v>
      </c>
      <c r="AK33" s="150" t="s">
        <v>10</v>
      </c>
    </row>
    <row r="34" s="131" customFormat="1" ht="15.75" customHeight="1" spans="1:37">
      <c r="A34" s="146" t="s">
        <v>62</v>
      </c>
      <c r="B34" s="155" t="s">
        <v>114</v>
      </c>
      <c r="C34" s="149">
        <f t="shared" ref="C34:G34" si="11">+C8/C3</f>
        <v>10.7912326891784</v>
      </c>
      <c r="D34" s="149">
        <f t="shared" si="11"/>
        <v>10.7912326891784</v>
      </c>
      <c r="E34" s="149">
        <f t="shared" si="11"/>
        <v>10.7912326891784</v>
      </c>
      <c r="F34" s="149">
        <f t="shared" si="11"/>
        <v>10.7912326891784</v>
      </c>
      <c r="G34" s="149">
        <f t="shared" si="11"/>
        <v>10.7912326891784</v>
      </c>
      <c r="H34" s="149">
        <f>+H8/H3</f>
        <v>10.7912326891784</v>
      </c>
      <c r="I34" s="163"/>
      <c r="AJ34" s="146" t="s">
        <v>110</v>
      </c>
      <c r="AK34" s="146" t="s">
        <v>114</v>
      </c>
    </row>
    <row r="35" s="131" customFormat="1" ht="15.75" customHeight="1" spans="1:37">
      <c r="A35" s="146" t="s">
        <v>64</v>
      </c>
      <c r="B35" s="155" t="s">
        <v>115</v>
      </c>
      <c r="C35" s="149">
        <f t="shared" ref="C35:G35" si="12">+C9/C3</f>
        <v>5.33064530035507</v>
      </c>
      <c r="D35" s="149">
        <f t="shared" si="12"/>
        <v>5.33064530035507</v>
      </c>
      <c r="E35" s="149">
        <f t="shared" si="12"/>
        <v>5.33064530035507</v>
      </c>
      <c r="F35" s="149">
        <f t="shared" si="12"/>
        <v>5.33064530035507</v>
      </c>
      <c r="G35" s="149">
        <f t="shared" si="12"/>
        <v>5.33064530035507</v>
      </c>
      <c r="H35" s="149">
        <f>+H9/H3</f>
        <v>5.33064530035507</v>
      </c>
      <c r="I35" s="163"/>
      <c r="AJ35" s="146" t="s">
        <v>67</v>
      </c>
      <c r="AK35" s="146" t="s">
        <v>115</v>
      </c>
    </row>
    <row r="36" s="131" customFormat="1" ht="15.75" customHeight="1" spans="1:37">
      <c r="A36" s="146" t="s">
        <v>110</v>
      </c>
      <c r="B36" s="155" t="s">
        <v>116</v>
      </c>
      <c r="C36" s="149">
        <f t="shared" ref="C36:G36" si="13">+C10/C3</f>
        <v>10.8086817150057</v>
      </c>
      <c r="D36" s="149">
        <f t="shared" si="13"/>
        <v>10.8086817150057</v>
      </c>
      <c r="E36" s="149">
        <f t="shared" si="13"/>
        <v>10.8086817150057</v>
      </c>
      <c r="F36" s="149">
        <f t="shared" si="13"/>
        <v>10.8086817150057</v>
      </c>
      <c r="G36" s="149">
        <f t="shared" si="13"/>
        <v>10.8086817150057</v>
      </c>
      <c r="H36" s="149">
        <f>+H10/H3</f>
        <v>10.8086817150057</v>
      </c>
      <c r="I36" s="163"/>
      <c r="AJ36" s="146" t="s">
        <v>74</v>
      </c>
      <c r="AK36" s="146" t="s">
        <v>116</v>
      </c>
    </row>
    <row r="37" s="131" customFormat="1" ht="15.75" customHeight="1" spans="1:37">
      <c r="A37" s="146" t="s">
        <v>117</v>
      </c>
      <c r="B37" s="181" t="s">
        <v>118</v>
      </c>
      <c r="C37" s="149"/>
      <c r="D37" s="149"/>
      <c r="E37" s="149"/>
      <c r="F37" s="149"/>
      <c r="G37" s="149"/>
      <c r="H37" s="149"/>
      <c r="I37" s="163"/>
      <c r="AJ37" s="146" t="s">
        <v>117</v>
      </c>
      <c r="AK37" s="150" t="s">
        <v>118</v>
      </c>
    </row>
    <row r="38" s="131" customFormat="1" spans="1:37">
      <c r="A38" s="146" t="s">
        <v>62</v>
      </c>
      <c r="B38" s="155" t="s">
        <v>119</v>
      </c>
      <c r="C38" s="149">
        <f t="shared" ref="C38:G38" si="14">+C12/C3</f>
        <v>414.726811776241</v>
      </c>
      <c r="D38" s="149">
        <f t="shared" si="14"/>
        <v>414.726811776241</v>
      </c>
      <c r="E38" s="149">
        <f t="shared" si="14"/>
        <v>414.726811776241</v>
      </c>
      <c r="F38" s="149">
        <f t="shared" si="14"/>
        <v>414.726811776241</v>
      </c>
      <c r="G38" s="149">
        <f t="shared" si="14"/>
        <v>414.726811776241</v>
      </c>
      <c r="H38" s="149">
        <f>+H12/H3</f>
        <v>414.726811776241</v>
      </c>
      <c r="I38" s="163"/>
      <c r="AJ38" s="146" t="s">
        <v>62</v>
      </c>
      <c r="AK38" s="146" t="s">
        <v>120</v>
      </c>
    </row>
    <row r="39" s="131" customFormat="1" ht="15.75" customHeight="1" spans="1:37">
      <c r="A39" s="146" t="s">
        <v>64</v>
      </c>
      <c r="B39" s="155" t="s">
        <v>121</v>
      </c>
      <c r="C39" s="177">
        <f t="shared" ref="C39:G39" si="15">+C20/C38</f>
        <v>271.787983806608</v>
      </c>
      <c r="D39" s="177">
        <f t="shared" si="15"/>
        <v>387.883115917778</v>
      </c>
      <c r="E39" s="177">
        <f t="shared" si="15"/>
        <v>421.053153663827</v>
      </c>
      <c r="F39" s="177">
        <f t="shared" si="15"/>
        <v>437.638172536851</v>
      </c>
      <c r="G39" s="177">
        <f t="shared" si="15"/>
        <v>450.906187635271</v>
      </c>
      <c r="H39" s="177">
        <f>+H20/H38</f>
        <v>1969.26861356033</v>
      </c>
      <c r="I39" s="163"/>
      <c r="AJ39" s="146" t="s">
        <v>64</v>
      </c>
      <c r="AK39" s="146" t="s">
        <v>121</v>
      </c>
    </row>
    <row r="40" s="131" customFormat="1" ht="15.75" customHeight="1" spans="1:37">
      <c r="A40" s="146" t="s">
        <v>122</v>
      </c>
      <c r="B40" s="150" t="s">
        <v>123</v>
      </c>
      <c r="C40" s="154"/>
      <c r="D40" s="154"/>
      <c r="E40" s="154"/>
      <c r="F40" s="154"/>
      <c r="G40" s="154"/>
      <c r="H40" s="154"/>
      <c r="I40" s="163"/>
      <c r="AJ40" s="146" t="s">
        <v>122</v>
      </c>
      <c r="AK40" s="150" t="s">
        <v>123</v>
      </c>
    </row>
    <row r="41" s="131" customFormat="1" ht="15.75" customHeight="1" spans="1:37">
      <c r="A41" s="146" t="s">
        <v>62</v>
      </c>
      <c r="B41" s="146" t="s">
        <v>124</v>
      </c>
      <c r="C41" s="154">
        <f t="shared" ref="C41:G41" si="16">+C14/C3</f>
        <v>37.5402975720994</v>
      </c>
      <c r="D41" s="154">
        <f t="shared" si="16"/>
        <v>23.8060118578137</v>
      </c>
      <c r="E41" s="154">
        <f t="shared" si="16"/>
        <v>22.089226143528</v>
      </c>
      <c r="F41" s="154">
        <f t="shared" si="16"/>
        <v>21.3823143788221</v>
      </c>
      <c r="G41" s="154">
        <f t="shared" si="16"/>
        <v>20.8739733345393</v>
      </c>
      <c r="H41" s="154">
        <f>+H14/H3</f>
        <v>23.4616982883748</v>
      </c>
      <c r="I41" s="163"/>
      <c r="AJ41" s="146" t="s">
        <v>62</v>
      </c>
      <c r="AK41" s="146" t="s">
        <v>124</v>
      </c>
    </row>
    <row r="42" s="131" customFormat="1" ht="15.75" customHeight="1" spans="1:37">
      <c r="A42" s="146" t="s">
        <v>64</v>
      </c>
      <c r="B42" s="146" t="s">
        <v>125</v>
      </c>
      <c r="C42" s="154">
        <f t="shared" ref="C42:G42" si="17">+C16/C3</f>
        <v>1.71956300011454</v>
      </c>
      <c r="D42" s="154">
        <f t="shared" si="17"/>
        <v>1.71956300011454</v>
      </c>
      <c r="E42" s="154">
        <f t="shared" si="17"/>
        <v>1.71956300011454</v>
      </c>
      <c r="F42" s="154">
        <f t="shared" si="17"/>
        <v>1.71956300011454</v>
      </c>
      <c r="G42" s="154">
        <f t="shared" si="17"/>
        <v>1.71956300011454</v>
      </c>
      <c r="H42" s="154">
        <f>+H16/H3</f>
        <v>1.71956300011454</v>
      </c>
      <c r="I42" s="163"/>
      <c r="AJ42" s="146" t="s">
        <v>64</v>
      </c>
      <c r="AK42" s="146" t="s">
        <v>125</v>
      </c>
    </row>
    <row r="43" s="131" customFormat="1" ht="15.75" customHeight="1" spans="1:37">
      <c r="A43" s="146" t="s">
        <v>110</v>
      </c>
      <c r="B43" s="146" t="s">
        <v>126</v>
      </c>
      <c r="C43" s="154">
        <f t="shared" ref="C43:G43" si="18">+C17/C3</f>
        <v>8.35216314341348</v>
      </c>
      <c r="D43" s="154">
        <f t="shared" si="18"/>
        <v>8.35216314341348</v>
      </c>
      <c r="E43" s="154">
        <f t="shared" si="18"/>
        <v>8.35216314341348</v>
      </c>
      <c r="F43" s="154">
        <f t="shared" si="18"/>
        <v>8.35216314341348</v>
      </c>
      <c r="G43" s="154">
        <f t="shared" si="18"/>
        <v>8.35216314341348</v>
      </c>
      <c r="H43" s="154">
        <f>+H17/H3</f>
        <v>8.35216314341348</v>
      </c>
      <c r="I43" s="163"/>
      <c r="AJ43" s="146" t="s">
        <v>110</v>
      </c>
      <c r="AK43" s="146" t="s">
        <v>126</v>
      </c>
    </row>
    <row r="44" s="131" customFormat="1" ht="15.75" customHeight="1" spans="1:37">
      <c r="A44" s="146" t="s">
        <v>67</v>
      </c>
      <c r="B44" s="146" t="s">
        <v>127</v>
      </c>
      <c r="C44" s="154">
        <f t="shared" ref="C44:G44" si="19">C18/C3</f>
        <v>9.42857142857143</v>
      </c>
      <c r="D44" s="154">
        <f t="shared" si="19"/>
        <v>4.71428571428571</v>
      </c>
      <c r="E44" s="154">
        <f t="shared" si="19"/>
        <v>4.125</v>
      </c>
      <c r="F44" s="154">
        <f t="shared" si="19"/>
        <v>3.88235294117647</v>
      </c>
      <c r="G44" s="154">
        <f t="shared" si="19"/>
        <v>3.70786516853933</v>
      </c>
      <c r="H44" s="154">
        <f>H18/H3</f>
        <v>4.59610027855153</v>
      </c>
      <c r="I44" s="163"/>
      <c r="AJ44" s="146" t="s">
        <v>67</v>
      </c>
      <c r="AK44" s="146" t="s">
        <v>128</v>
      </c>
    </row>
    <row r="45" s="131" customFormat="1" ht="15.75" customHeight="1" spans="1:37">
      <c r="A45" s="146" t="s">
        <v>70</v>
      </c>
      <c r="B45" s="146" t="s">
        <v>129</v>
      </c>
      <c r="C45" s="154">
        <f t="shared" ref="C45:G45" si="20">C19/C3</f>
        <v>7.3695557147766</v>
      </c>
      <c r="D45" s="154">
        <f t="shared" si="20"/>
        <v>7.3695557147766</v>
      </c>
      <c r="E45" s="154">
        <f t="shared" si="20"/>
        <v>7.3695557147766</v>
      </c>
      <c r="F45" s="154">
        <f t="shared" si="20"/>
        <v>7.3695557147766</v>
      </c>
      <c r="G45" s="154">
        <f t="shared" si="20"/>
        <v>7.3695557147766</v>
      </c>
      <c r="H45" s="154">
        <f>H19/H3</f>
        <v>7.3695557147766</v>
      </c>
      <c r="I45" s="163"/>
      <c r="AJ45" s="146" t="s">
        <v>70</v>
      </c>
      <c r="AK45" s="146" t="s">
        <v>129</v>
      </c>
    </row>
    <row r="46" s="131" customFormat="1" ht="15.75" customHeight="1" spans="1:37">
      <c r="A46" s="146" t="s">
        <v>130</v>
      </c>
      <c r="B46" s="150" t="s">
        <v>131</v>
      </c>
      <c r="C46" s="154"/>
      <c r="D46" s="154"/>
      <c r="E46" s="154"/>
      <c r="F46" s="154"/>
      <c r="G46" s="154"/>
      <c r="H46" s="154"/>
      <c r="I46" s="163"/>
      <c r="AJ46" s="146" t="s">
        <v>130</v>
      </c>
      <c r="AK46" s="150" t="s">
        <v>131</v>
      </c>
    </row>
    <row r="47" s="131" customFormat="1" ht="15.75" customHeight="1" spans="1:37">
      <c r="A47" s="146" t="s">
        <v>62</v>
      </c>
      <c r="B47" s="146" t="s">
        <v>132</v>
      </c>
      <c r="C47" s="157">
        <f t="shared" ref="C47:G47" si="21">+(C10+C16)/C6</f>
        <v>0.0181035103985067</v>
      </c>
      <c r="D47" s="157">
        <f t="shared" si="21"/>
        <v>0.0181035103985067</v>
      </c>
      <c r="E47" s="157">
        <f t="shared" si="21"/>
        <v>0.0181035103985067</v>
      </c>
      <c r="F47" s="157">
        <f t="shared" si="21"/>
        <v>0.0181035103985067</v>
      </c>
      <c r="G47" s="157">
        <f t="shared" si="21"/>
        <v>0.0181035103985068</v>
      </c>
      <c r="H47" s="157">
        <f>+(H10+H16)/H6</f>
        <v>0.0181035103985067</v>
      </c>
      <c r="I47" s="163"/>
      <c r="AJ47" s="146" t="s">
        <v>62</v>
      </c>
      <c r="AK47" s="146" t="s">
        <v>132</v>
      </c>
    </row>
    <row r="48" s="131" customFormat="1" ht="15.75" customHeight="1" spans="1:37">
      <c r="A48" s="146" t="s">
        <v>64</v>
      </c>
      <c r="B48" s="146" t="s">
        <v>133</v>
      </c>
      <c r="C48" s="157">
        <f t="shared" ref="C48:G48" si="22">+(C8+C9+C14)/C6</f>
        <v>0.0775426865755626</v>
      </c>
      <c r="D48" s="157">
        <f t="shared" si="22"/>
        <v>0.0576964279895889</v>
      </c>
      <c r="E48" s="157">
        <f t="shared" si="22"/>
        <v>0.0552156456663422</v>
      </c>
      <c r="F48" s="157">
        <f t="shared" si="22"/>
        <v>0.0541941470626524</v>
      </c>
      <c r="G48" s="157">
        <f t="shared" si="22"/>
        <v>0.0534595862689878</v>
      </c>
      <c r="H48" s="157">
        <f>+(H8+H9+H14)/H6</f>
        <v>0.057198889473506</v>
      </c>
      <c r="I48" s="163"/>
      <c r="AJ48" s="146" t="s">
        <v>64</v>
      </c>
      <c r="AK48" s="146" t="s">
        <v>133</v>
      </c>
    </row>
    <row r="49" s="131" customFormat="1" ht="15.75" customHeight="1" spans="1:37">
      <c r="A49" s="146" t="s">
        <v>110</v>
      </c>
      <c r="B49" s="146" t="s">
        <v>134</v>
      </c>
      <c r="C49" s="157">
        <f t="shared" ref="C49:G49" si="23">+C17/C6</f>
        <v>0.0120690069323378</v>
      </c>
      <c r="D49" s="157">
        <f t="shared" si="23"/>
        <v>0.0120690069323378</v>
      </c>
      <c r="E49" s="157">
        <f t="shared" si="23"/>
        <v>0.0120690069323378</v>
      </c>
      <c r="F49" s="157">
        <f t="shared" si="23"/>
        <v>0.0120690069323378</v>
      </c>
      <c r="G49" s="157">
        <f t="shared" si="23"/>
        <v>0.0120690069323378</v>
      </c>
      <c r="H49" s="157">
        <f>+H17/H6</f>
        <v>0.0120690069323378</v>
      </c>
      <c r="I49" s="163"/>
      <c r="AJ49" s="146" t="s">
        <v>110</v>
      </c>
      <c r="AK49" s="146" t="s">
        <v>134</v>
      </c>
    </row>
    <row r="50" s="131" customFormat="1" ht="15.75" customHeight="1" spans="1:37">
      <c r="A50" s="146" t="s">
        <v>67</v>
      </c>
      <c r="B50" s="146" t="s">
        <v>135</v>
      </c>
      <c r="C50" s="157">
        <f t="shared" ref="C50:G50" si="24">+C18/C6</f>
        <v>0.0136244338118812</v>
      </c>
      <c r="D50" s="157">
        <f t="shared" si="24"/>
        <v>0.00681221690594062</v>
      </c>
      <c r="E50" s="157">
        <f t="shared" si="24"/>
        <v>0.00596068979269805</v>
      </c>
      <c r="F50" s="157">
        <f t="shared" si="24"/>
        <v>0.00561006098136287</v>
      </c>
      <c r="G50" s="157">
        <f t="shared" si="24"/>
        <v>0.00535792340916678</v>
      </c>
      <c r="H50" s="157">
        <f>+H18/H6</f>
        <v>0.00664143709492819</v>
      </c>
      <c r="I50" s="163"/>
      <c r="AJ50" s="146" t="s">
        <v>67</v>
      </c>
      <c r="AK50" s="146" t="s">
        <v>135</v>
      </c>
    </row>
    <row r="51" s="131" customFormat="1" ht="15.75" customHeight="1" spans="1:37">
      <c r="A51" s="146" t="s">
        <v>70</v>
      </c>
      <c r="B51" s="146" t="s">
        <v>136</v>
      </c>
      <c r="C51" s="157">
        <f t="shared" ref="C51:G51" si="25">+C19/C6</f>
        <v>0.0106491237638275</v>
      </c>
      <c r="D51" s="157">
        <f t="shared" si="25"/>
        <v>0.0106491237638275</v>
      </c>
      <c r="E51" s="157">
        <f t="shared" si="25"/>
        <v>0.0106491237638275</v>
      </c>
      <c r="F51" s="157">
        <f t="shared" si="25"/>
        <v>0.0106491237638275</v>
      </c>
      <c r="G51" s="157">
        <f t="shared" si="25"/>
        <v>0.0106491237638275</v>
      </c>
      <c r="H51" s="157">
        <f>+H19/H6</f>
        <v>0.0106491237638275</v>
      </c>
      <c r="I51" s="163"/>
      <c r="AJ51" s="146" t="s">
        <v>70</v>
      </c>
      <c r="AK51" s="146" t="s">
        <v>136</v>
      </c>
    </row>
    <row r="52" s="131" customFormat="1" ht="15.75" customHeight="1" spans="1:37">
      <c r="A52" s="146" t="s">
        <v>74</v>
      </c>
      <c r="B52" s="146" t="s">
        <v>137</v>
      </c>
      <c r="C52" s="157">
        <f t="shared" ref="C52:G52" si="26">+C23/C6</f>
        <v>0.379659808171201</v>
      </c>
      <c r="D52" s="157">
        <f t="shared" si="26"/>
        <v>0.511022608151185</v>
      </c>
      <c r="E52" s="157">
        <f t="shared" si="26"/>
        <v>0.51418830211585</v>
      </c>
      <c r="F52" s="157">
        <f t="shared" si="26"/>
        <v>0.515491823160124</v>
      </c>
      <c r="G52" s="157">
        <f t="shared" si="26"/>
        <v>0.516429186607692</v>
      </c>
      <c r="H52" s="157">
        <f>+H23/H6</f>
        <v>0.501319617277265</v>
      </c>
      <c r="I52" s="163"/>
      <c r="AJ52" s="146" t="s">
        <v>74</v>
      </c>
      <c r="AK52" s="146" t="s">
        <v>138</v>
      </c>
    </row>
    <row r="53" s="131" customFormat="1" ht="15.75" customHeight="1" spans="1:37">
      <c r="A53" s="146" t="s">
        <v>139</v>
      </c>
      <c r="B53" s="150" t="s">
        <v>140</v>
      </c>
      <c r="C53" s="154">
        <f t="shared" ref="C53:G53" si="27">+C21/C3</f>
        <v>350.316660917265</v>
      </c>
      <c r="D53" s="154">
        <f t="shared" si="27"/>
        <v>368.765232345837</v>
      </c>
      <c r="E53" s="154">
        <f t="shared" si="27"/>
        <v>371.071303774408</v>
      </c>
      <c r="F53" s="154">
        <f t="shared" si="27"/>
        <v>372.020862597938</v>
      </c>
      <c r="G53" s="154">
        <f t="shared" si="27"/>
        <v>372.703691414858</v>
      </c>
      <c r="H53" s="154">
        <f>+H21/H3</f>
        <v>369.22773135101</v>
      </c>
      <c r="I53" s="163"/>
      <c r="AJ53" s="146" t="s">
        <v>139</v>
      </c>
      <c r="AK53" s="150" t="s">
        <v>140</v>
      </c>
    </row>
    <row r="54" s="131" customFormat="1" ht="15.75" customHeight="1" spans="1:37">
      <c r="A54" s="146" t="s">
        <v>141</v>
      </c>
      <c r="B54" s="192" t="s">
        <v>142</v>
      </c>
      <c r="C54" s="154"/>
      <c r="D54" s="154"/>
      <c r="E54" s="154"/>
      <c r="F54" s="154"/>
      <c r="G54" s="154"/>
      <c r="H54" s="154"/>
      <c r="I54" s="163"/>
      <c r="AJ54" s="146"/>
      <c r="AK54" s="150"/>
    </row>
    <row r="55" s="131" customFormat="1" ht="15.75" customHeight="1" spans="1:9">
      <c r="A55" s="146" t="s">
        <v>62</v>
      </c>
      <c r="B55" s="146" t="s">
        <v>143</v>
      </c>
      <c r="C55" s="154">
        <f>C56+C57</f>
        <v>302500</v>
      </c>
      <c r="D55" s="154"/>
      <c r="E55" s="154"/>
      <c r="F55" s="154"/>
      <c r="G55" s="154"/>
      <c r="H55" s="154"/>
      <c r="I55" s="163"/>
    </row>
    <row r="56" s="131" customFormat="1" ht="15.75" customHeight="1" spans="1:9">
      <c r="A56" s="146">
        <v>1.1</v>
      </c>
      <c r="B56" s="193" t="s">
        <v>144</v>
      </c>
      <c r="C56" s="154">
        <f>项目投资!B27</f>
        <v>49500</v>
      </c>
      <c r="D56" s="154"/>
      <c r="E56" s="154"/>
      <c r="F56" s="154"/>
      <c r="G56" s="154"/>
      <c r="H56" s="154"/>
      <c r="I56" s="163"/>
    </row>
    <row r="57" s="131" customFormat="1" ht="15.75" customHeight="1" spans="1:9">
      <c r="A57" s="146">
        <v>1.2</v>
      </c>
      <c r="B57" s="146" t="s">
        <v>145</v>
      </c>
      <c r="C57" s="154">
        <f>项目投资!B26</f>
        <v>253000</v>
      </c>
      <c r="D57" s="154"/>
      <c r="E57" s="154"/>
      <c r="F57" s="154"/>
      <c r="G57" s="154"/>
      <c r="H57" s="154"/>
      <c r="I57" s="163"/>
    </row>
    <row r="58" ht="15.75" customHeight="1" spans="1:9">
      <c r="A58" s="182" t="s">
        <v>64</v>
      </c>
      <c r="B58" s="182" t="s">
        <v>146</v>
      </c>
      <c r="C58" s="194">
        <f t="shared" ref="C58:G58" si="28">C59+C60</f>
        <v>459790.617453911</v>
      </c>
      <c r="D58" s="194">
        <f t="shared" si="28"/>
        <v>1237757.56863254</v>
      </c>
      <c r="E58" s="194">
        <f t="shared" si="28"/>
        <v>1423343.14986576</v>
      </c>
      <c r="F58" s="194">
        <f t="shared" si="28"/>
        <v>1516135.94048237</v>
      </c>
      <c r="G58" s="194">
        <f t="shared" si="28"/>
        <v>1590370.17297566</v>
      </c>
      <c r="H58" s="194">
        <f>H59+H60</f>
        <v>6227397.44941024</v>
      </c>
      <c r="I58" s="163"/>
    </row>
    <row r="59" ht="15.75" customHeight="1" spans="1:9">
      <c r="A59" s="182" t="s">
        <v>110</v>
      </c>
      <c r="B59" s="182" t="s">
        <v>147</v>
      </c>
      <c r="C59" s="194">
        <f t="shared" ref="C59:G59" si="29">C23</f>
        <v>459790.617453911</v>
      </c>
      <c r="D59" s="194">
        <f t="shared" si="29"/>
        <v>1237757.56863254</v>
      </c>
      <c r="E59" s="194">
        <f t="shared" si="29"/>
        <v>1423343.14986576</v>
      </c>
      <c r="F59" s="194">
        <f t="shared" si="29"/>
        <v>1516135.94048237</v>
      </c>
      <c r="G59" s="194">
        <f t="shared" si="29"/>
        <v>1590370.17297566</v>
      </c>
      <c r="H59" s="194">
        <f>H23</f>
        <v>6227397.44941024</v>
      </c>
      <c r="I59" s="163"/>
    </row>
    <row r="60" ht="15.75" customHeight="1" spans="1:9">
      <c r="A60" s="182" t="s">
        <v>67</v>
      </c>
      <c r="B60" s="182" t="s">
        <v>148</v>
      </c>
      <c r="C60" s="194">
        <f>'[2]2023年'!I18</f>
        <v>0</v>
      </c>
      <c r="D60" s="194"/>
      <c r="E60" s="194"/>
      <c r="F60" s="194"/>
      <c r="G60" s="194"/>
      <c r="H60" s="194">
        <f>[2]项目投资!G26</f>
        <v>0</v>
      </c>
      <c r="I60" s="163"/>
    </row>
    <row r="61" ht="15.75" customHeight="1" spans="1:9">
      <c r="A61" s="182" t="s">
        <v>70</v>
      </c>
      <c r="B61" s="182" t="s">
        <v>149</v>
      </c>
      <c r="C61" s="195"/>
      <c r="D61" s="195"/>
      <c r="E61" s="195"/>
      <c r="F61" s="195"/>
      <c r="G61" s="195"/>
      <c r="H61" s="194"/>
      <c r="I61" s="163"/>
    </row>
    <row r="63" spans="2:2">
      <c r="B63"/>
    </row>
  </sheetData>
  <mergeCells count="2">
    <mergeCell ref="A1:H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zoomScale="85" zoomScaleNormal="85" workbookViewId="0">
      <pane xSplit="2" ySplit="7" topLeftCell="C29" activePane="bottomRight" state="frozen"/>
      <selection/>
      <selection pane="topRight"/>
      <selection pane="bottomLeft"/>
      <selection pane="bottomRight" activeCell="E36" sqref="E36"/>
    </sheetView>
  </sheetViews>
  <sheetFormatPr defaultColWidth="9" defaultRowHeight="14.5"/>
  <cols>
    <col min="1" max="1" width="5.12727272727273" style="131" customWidth="1"/>
    <col min="2" max="2" width="17.5" style="131" customWidth="1"/>
    <col min="3" max="7" width="12" style="134" customWidth="1"/>
    <col min="8" max="8" width="18.7545454545455" style="134" customWidth="1"/>
    <col min="9" max="9" width="12.3727272727273" style="131" customWidth="1"/>
    <col min="10" max="10" width="10.1272727272727" style="131" customWidth="1"/>
    <col min="11" max="17" width="9" style="131" customWidth="1"/>
    <col min="18" max="34" width="9" style="131"/>
    <col min="35" max="35" width="4.37272727272727" style="131" customWidth="1"/>
    <col min="36" max="36" width="13.8727272727273" style="131" customWidth="1"/>
    <col min="37" max="16384" width="9" style="131"/>
  </cols>
  <sheetData>
    <row r="1" spans="1:8">
      <c r="A1" s="135" t="s">
        <v>150</v>
      </c>
      <c r="B1" s="135"/>
      <c r="C1" s="136" t="s">
        <v>151</v>
      </c>
      <c r="D1" s="137"/>
      <c r="E1" s="137"/>
      <c r="F1" s="137"/>
      <c r="G1" s="137"/>
      <c r="H1" s="138"/>
    </row>
    <row r="2" spans="1:8">
      <c r="A2" s="135" t="s">
        <v>152</v>
      </c>
      <c r="B2" s="135"/>
      <c r="C2" s="139" t="s">
        <v>153</v>
      </c>
      <c r="D2" s="139"/>
      <c r="E2" s="139"/>
      <c r="F2" s="139"/>
      <c r="G2" s="139"/>
      <c r="H2" s="139"/>
    </row>
    <row r="3" ht="43.5" spans="1:8">
      <c r="A3" s="135" t="s">
        <v>154</v>
      </c>
      <c r="B3" s="135"/>
      <c r="C3" s="140" t="s">
        <v>155</v>
      </c>
      <c r="D3" s="140" t="s">
        <v>156</v>
      </c>
      <c r="E3" s="140" t="s">
        <v>157</v>
      </c>
      <c r="F3" s="140" t="s">
        <v>158</v>
      </c>
      <c r="G3" s="140" t="s">
        <v>159</v>
      </c>
      <c r="H3" s="141" t="s">
        <v>58</v>
      </c>
    </row>
    <row r="4" ht="29" spans="1:8">
      <c r="A4" s="135" t="s">
        <v>160</v>
      </c>
      <c r="B4" s="135"/>
      <c r="C4" s="140" t="s">
        <v>161</v>
      </c>
      <c r="D4" s="142" t="s">
        <v>162</v>
      </c>
      <c r="E4" s="142" t="s">
        <v>163</v>
      </c>
      <c r="F4" s="142" t="s">
        <v>164</v>
      </c>
      <c r="G4" s="142" t="s">
        <v>165</v>
      </c>
      <c r="H4" s="143"/>
    </row>
    <row r="5" ht="16.5" spans="1:37">
      <c r="A5" s="135" t="s">
        <v>166</v>
      </c>
      <c r="B5" s="135"/>
      <c r="C5" s="78"/>
      <c r="D5" s="78"/>
      <c r="E5" s="23"/>
      <c r="F5" s="23"/>
      <c r="G5" s="78"/>
      <c r="H5" s="145"/>
      <c r="AK5" s="131" t="s">
        <v>59</v>
      </c>
    </row>
    <row r="6" ht="16.5" spans="1:37">
      <c r="A6" s="146" t="s">
        <v>21</v>
      </c>
      <c r="B6" s="147" t="s">
        <v>167</v>
      </c>
      <c r="C6" s="167">
        <f>销量!C9</f>
        <v>350</v>
      </c>
      <c r="D6" s="167">
        <f>销量!D9</f>
        <v>350</v>
      </c>
      <c r="E6" s="167">
        <f>销量!E9</f>
        <v>350</v>
      </c>
      <c r="F6" s="167">
        <f>销量!F9</f>
        <v>350</v>
      </c>
      <c r="G6" s="167">
        <f>销量!G9</f>
        <v>350</v>
      </c>
      <c r="H6" s="149">
        <f>+SUM(C6:G6)</f>
        <v>1750</v>
      </c>
      <c r="S6" s="147" t="s">
        <v>3</v>
      </c>
      <c r="AI6" s="146" t="s">
        <v>21</v>
      </c>
      <c r="AJ6" s="147" t="s">
        <v>3</v>
      </c>
      <c r="AK6" s="131" t="s">
        <v>60</v>
      </c>
    </row>
    <row r="7" spans="1:37">
      <c r="A7" s="135">
        <v>1</v>
      </c>
      <c r="B7" s="147" t="s">
        <v>61</v>
      </c>
      <c r="C7" s="149">
        <f>C6*销量!C8</f>
        <v>346902.5</v>
      </c>
      <c r="D7" s="149">
        <f>D6*销量!D8</f>
        <v>255531.5</v>
      </c>
      <c r="E7" s="149">
        <f>E6*销量!E8</f>
        <v>122965.5</v>
      </c>
      <c r="F7" s="149">
        <f>F6*销量!F8</f>
        <v>242830</v>
      </c>
      <c r="G7" s="149">
        <f>G6*销量!G8</f>
        <v>242830</v>
      </c>
      <c r="H7" s="149">
        <f t="shared" ref="H7:H15" si="0">+SUM(C7:G7)</f>
        <v>1211059.5</v>
      </c>
      <c r="I7" s="134"/>
      <c r="S7" s="147" t="s">
        <v>61</v>
      </c>
      <c r="AI7" s="146" t="s">
        <v>62</v>
      </c>
      <c r="AJ7" s="147" t="s">
        <v>61</v>
      </c>
      <c r="AK7" s="131" t="s">
        <v>60</v>
      </c>
    </row>
    <row r="8" spans="1:37">
      <c r="A8" s="135">
        <v>2</v>
      </c>
      <c r="B8" s="135" t="s">
        <v>63</v>
      </c>
      <c r="C8" s="149"/>
      <c r="D8" s="149"/>
      <c r="E8" s="149"/>
      <c r="F8" s="149"/>
      <c r="G8" s="149"/>
      <c r="H8" s="149">
        <f t="shared" si="0"/>
        <v>0</v>
      </c>
      <c r="I8" s="163"/>
      <c r="S8" s="135" t="s">
        <v>65</v>
      </c>
      <c r="AI8" s="146" t="s">
        <v>64</v>
      </c>
      <c r="AJ8" s="135" t="s">
        <v>65</v>
      </c>
      <c r="AK8" s="131" t="s">
        <v>60</v>
      </c>
    </row>
    <row r="9" spans="1:37">
      <c r="A9" s="135">
        <v>3</v>
      </c>
      <c r="B9" s="147" t="s">
        <v>66</v>
      </c>
      <c r="C9" s="149">
        <f>+C7-C8</f>
        <v>346902.5</v>
      </c>
      <c r="D9" s="149">
        <f t="shared" ref="D9:E9" si="1">+D7-D8</f>
        <v>255531.5</v>
      </c>
      <c r="E9" s="149">
        <f t="shared" si="1"/>
        <v>122965.5</v>
      </c>
      <c r="F9" s="149">
        <f>+F7-F8</f>
        <v>242830</v>
      </c>
      <c r="G9" s="149">
        <f>+G7-G8</f>
        <v>242830</v>
      </c>
      <c r="H9" s="149">
        <f t="shared" si="0"/>
        <v>1211059.5</v>
      </c>
      <c r="S9" s="147" t="s">
        <v>66</v>
      </c>
      <c r="AI9" s="146" t="s">
        <v>67</v>
      </c>
      <c r="AJ9" s="147" t="s">
        <v>66</v>
      </c>
      <c r="AK9" s="131" t="s">
        <v>68</v>
      </c>
    </row>
    <row r="10" spans="1:37">
      <c r="A10" s="135">
        <v>4</v>
      </c>
      <c r="B10" s="146" t="s">
        <v>71</v>
      </c>
      <c r="C10" s="149">
        <f>C6*C33</f>
        <v>117883.592748635</v>
      </c>
      <c r="D10" s="149">
        <f>D6*D33</f>
        <v>92249.829</v>
      </c>
      <c r="E10" s="149">
        <f>E6*E33</f>
        <v>56417.2</v>
      </c>
      <c r="F10" s="149">
        <f>F6*F33</f>
        <v>64685.54988</v>
      </c>
      <c r="G10" s="149">
        <f>G6*G33</f>
        <v>106922.92828</v>
      </c>
      <c r="H10" s="149">
        <f t="shared" si="0"/>
        <v>438159.099908635</v>
      </c>
      <c r="S10" s="146" t="s">
        <v>71</v>
      </c>
      <c r="AI10" s="146" t="s">
        <v>70</v>
      </c>
      <c r="AJ10" s="146" t="s">
        <v>71</v>
      </c>
      <c r="AK10" s="131" t="s">
        <v>72</v>
      </c>
    </row>
    <row r="11" spans="1:36">
      <c r="A11" s="135">
        <v>5</v>
      </c>
      <c r="B11" s="146" t="s">
        <v>73</v>
      </c>
      <c r="C11" s="149">
        <f>+C6*C36</f>
        <v>5080.78284746617</v>
      </c>
      <c r="D11" s="149">
        <f>+D6*D36</f>
        <v>3975.9676299</v>
      </c>
      <c r="E11" s="149">
        <f>+E6*E36</f>
        <v>2431.58132</v>
      </c>
      <c r="F11" s="149">
        <f>+F6*F36</f>
        <v>2787.947199828</v>
      </c>
      <c r="G11" s="149">
        <f>+G6*G36</f>
        <v>4608.378208868</v>
      </c>
      <c r="H11" s="149">
        <f t="shared" si="0"/>
        <v>18884.6572060622</v>
      </c>
      <c r="S11" s="146" t="s">
        <v>73</v>
      </c>
      <c r="AI11" s="146" t="s">
        <v>74</v>
      </c>
      <c r="AJ11" s="146" t="s">
        <v>73</v>
      </c>
    </row>
    <row r="12" spans="1:36">
      <c r="A12" s="135">
        <v>6</v>
      </c>
      <c r="B12" s="146" t="s">
        <v>75</v>
      </c>
      <c r="C12" s="149">
        <f>+C6*C37</f>
        <v>2558.07396264538</v>
      </c>
      <c r="D12" s="149">
        <f>+D6*D37</f>
        <v>2001.8212893</v>
      </c>
      <c r="E12" s="149">
        <f>+E6*E37</f>
        <v>1224.25324</v>
      </c>
      <c r="F12" s="149">
        <f>+F6*F37</f>
        <v>1224.25324</v>
      </c>
      <c r="G12" s="149">
        <f>+G6*G37</f>
        <v>2320.227543676</v>
      </c>
      <c r="H12" s="149">
        <f t="shared" si="0"/>
        <v>9328.62927562138</v>
      </c>
      <c r="S12" s="146" t="s">
        <v>75</v>
      </c>
      <c r="AI12" s="146" t="s">
        <v>76</v>
      </c>
      <c r="AJ12" s="146" t="s">
        <v>75</v>
      </c>
    </row>
    <row r="13" spans="1:37">
      <c r="A13" s="135">
        <v>7</v>
      </c>
      <c r="B13" s="146" t="s">
        <v>77</v>
      </c>
      <c r="C13" s="149">
        <f>+C6*C38</f>
        <v>5186.87808093994</v>
      </c>
      <c r="D13" s="149">
        <f>+D6*D38</f>
        <v>4058.992476</v>
      </c>
      <c r="E13" s="149">
        <f>+E6*E38</f>
        <v>2482.3568</v>
      </c>
      <c r="F13" s="149">
        <f>+F6*F38</f>
        <v>2482.3568</v>
      </c>
      <c r="G13" s="149">
        <f>+G6*G38</f>
        <v>4704.60884432</v>
      </c>
      <c r="H13" s="149">
        <f t="shared" si="0"/>
        <v>18915.1930012599</v>
      </c>
      <c r="S13" s="146" t="s">
        <v>77</v>
      </c>
      <c r="AI13" s="146" t="s">
        <v>78</v>
      </c>
      <c r="AJ13" s="146" t="s">
        <v>77</v>
      </c>
      <c r="AK13" s="131" t="s">
        <v>60</v>
      </c>
    </row>
    <row r="14" spans="1:36">
      <c r="A14" s="135">
        <v>8</v>
      </c>
      <c r="B14" s="150" t="s">
        <v>79</v>
      </c>
      <c r="C14" s="149">
        <f>SUM(C11:C13)</f>
        <v>12825.7348910515</v>
      </c>
      <c r="D14" s="149">
        <f>SUM(D11:D13)</f>
        <v>10036.7813952</v>
      </c>
      <c r="E14" s="149">
        <f>SUM(E11:E13)</f>
        <v>6138.19136</v>
      </c>
      <c r="F14" s="149">
        <f>SUM(F11:F13)</f>
        <v>6494.557239828</v>
      </c>
      <c r="G14" s="149">
        <f>SUM(G11:G13)</f>
        <v>11633.214596864</v>
      </c>
      <c r="H14" s="149">
        <f t="shared" si="0"/>
        <v>47128.4794829435</v>
      </c>
      <c r="S14" s="150" t="s">
        <v>79</v>
      </c>
      <c r="AI14" s="146" t="s">
        <v>80</v>
      </c>
      <c r="AJ14" s="150" t="s">
        <v>79</v>
      </c>
    </row>
    <row r="15" spans="1:36">
      <c r="A15" s="135">
        <v>9</v>
      </c>
      <c r="B15" s="150" t="s">
        <v>81</v>
      </c>
      <c r="C15" s="149">
        <f>+C9-C10-C14</f>
        <v>216193.172360314</v>
      </c>
      <c r="D15" s="149">
        <f>+D9-D10-D14</f>
        <v>153244.8896048</v>
      </c>
      <c r="E15" s="149">
        <f>+E9-E10-E14</f>
        <v>60410.10864</v>
      </c>
      <c r="F15" s="149">
        <f>+F9-F10-F14</f>
        <v>171649.892880172</v>
      </c>
      <c r="G15" s="149">
        <f>+G9-G10-G14</f>
        <v>124273.857123136</v>
      </c>
      <c r="H15" s="149">
        <f t="shared" si="0"/>
        <v>725771.920608422</v>
      </c>
      <c r="S15" s="150" t="s">
        <v>81</v>
      </c>
      <c r="AI15" s="146" t="s">
        <v>82</v>
      </c>
      <c r="AJ15" s="150" t="s">
        <v>81</v>
      </c>
    </row>
    <row r="16" spans="1:36">
      <c r="A16" s="135">
        <v>10</v>
      </c>
      <c r="B16" s="146" t="s">
        <v>83</v>
      </c>
      <c r="C16" s="151">
        <f>+C15/C9</f>
        <v>0.623210188339126</v>
      </c>
      <c r="D16" s="151">
        <f>+D15/D9</f>
        <v>0.599710366842444</v>
      </c>
      <c r="E16" s="151">
        <f>+E15/E9</f>
        <v>0.491276891811118</v>
      </c>
      <c r="F16" s="151">
        <f>+F15/F9</f>
        <v>0.706872679982589</v>
      </c>
      <c r="G16" s="151">
        <f>+G15/G9</f>
        <v>0.51177308043955</v>
      </c>
      <c r="H16" s="151">
        <f>+H15/H9</f>
        <v>0.599286757263719</v>
      </c>
      <c r="S16" s="146" t="s">
        <v>83</v>
      </c>
      <c r="AI16" s="146" t="s">
        <v>84</v>
      </c>
      <c r="AJ16" s="146" t="s">
        <v>83</v>
      </c>
    </row>
    <row r="17" spans="1:36">
      <c r="A17" s="135">
        <v>11</v>
      </c>
      <c r="B17" s="146" t="s">
        <v>85</v>
      </c>
      <c r="C17" s="149">
        <f>C6*C43+C18</f>
        <v>14447.227302694</v>
      </c>
      <c r="D17" s="149">
        <f>D6*D43+D18</f>
        <v>13396.242989</v>
      </c>
      <c r="E17" s="149">
        <f>E6*E43+E18</f>
        <v>11927.1052</v>
      </c>
      <c r="F17" s="149">
        <f>F6*F43+F18</f>
        <v>11927.1052</v>
      </c>
      <c r="G17" s="149">
        <f>G6*G43+G18</f>
        <v>13997.84005948</v>
      </c>
      <c r="H17" s="149">
        <f>+SUM(C17:G17)</f>
        <v>65695.520751174</v>
      </c>
      <c r="I17" s="163"/>
      <c r="S17" s="146" t="s">
        <v>85</v>
      </c>
      <c r="AI17" s="146" t="s">
        <v>86</v>
      </c>
      <c r="AJ17" s="146" t="s">
        <v>85</v>
      </c>
    </row>
    <row r="18" s="132" customFormat="1" spans="1:11">
      <c r="A18" s="135">
        <v>12</v>
      </c>
      <c r="B18" s="152" t="s">
        <v>168</v>
      </c>
      <c r="C18" s="153">
        <f>$H$18/$H$6*C6</f>
        <v>9614</v>
      </c>
      <c r="D18" s="153">
        <f>$H$18/$H$6*D6</f>
        <v>9614</v>
      </c>
      <c r="E18" s="153">
        <f>$H$18/$H$6*E6</f>
        <v>9614</v>
      </c>
      <c r="F18" s="153">
        <f>$H$18/$H$6*F6</f>
        <v>9614</v>
      </c>
      <c r="G18" s="153">
        <f>$H$18/$H$6*G6</f>
        <v>9614</v>
      </c>
      <c r="H18" s="149">
        <f>项目投资!D26</f>
        <v>48070</v>
      </c>
      <c r="I18" s="165" t="s">
        <v>169</v>
      </c>
      <c r="J18" s="165"/>
      <c r="K18" s="165"/>
    </row>
    <row r="19" spans="1:37">
      <c r="A19" s="135">
        <v>13</v>
      </c>
      <c r="B19" s="146" t="s">
        <v>87</v>
      </c>
      <c r="C19" s="149">
        <f>C6*C44</f>
        <v>825.185149240445</v>
      </c>
      <c r="D19" s="149">
        <f>D6*D44</f>
        <v>645.748803</v>
      </c>
      <c r="E19" s="149">
        <f>E6*E44</f>
        <v>394.9204</v>
      </c>
      <c r="F19" s="149">
        <f>F6*F44</f>
        <v>394.9204</v>
      </c>
      <c r="G19" s="149">
        <f>G6*G44</f>
        <v>748.46049796</v>
      </c>
      <c r="H19" s="149">
        <f>+SUM(C19:G19)</f>
        <v>3009.23525020045</v>
      </c>
      <c r="I19" s="132"/>
      <c r="S19" s="146" t="s">
        <v>87</v>
      </c>
      <c r="AI19" s="146" t="s">
        <v>88</v>
      </c>
      <c r="AJ19" s="146" t="s">
        <v>87</v>
      </c>
      <c r="AK19" s="131" t="s">
        <v>60</v>
      </c>
    </row>
    <row r="20" spans="1:36">
      <c r="A20" s="135">
        <v>14</v>
      </c>
      <c r="B20" s="146" t="s">
        <v>89</v>
      </c>
      <c r="C20" s="149">
        <f>C6*C45</f>
        <v>4008.04215345359</v>
      </c>
      <c r="D20" s="149">
        <f>D6*D45</f>
        <v>3136.494186</v>
      </c>
      <c r="E20" s="149">
        <f>E6*E45</f>
        <v>1918.1848</v>
      </c>
      <c r="F20" s="149">
        <f>F6*F45</f>
        <v>1918.1848</v>
      </c>
      <c r="G20" s="149">
        <f>G6*G45</f>
        <v>3635.37956152</v>
      </c>
      <c r="H20" s="149">
        <f>+SUM(C20:G20)</f>
        <v>14616.2855009736</v>
      </c>
      <c r="S20" s="146" t="s">
        <v>89</v>
      </c>
      <c r="AI20" s="146" t="s">
        <v>90</v>
      </c>
      <c r="AJ20" s="146" t="s">
        <v>89</v>
      </c>
    </row>
    <row r="21" spans="1:36">
      <c r="A21" s="135">
        <v>15</v>
      </c>
      <c r="B21" s="146" t="s">
        <v>91</v>
      </c>
      <c r="C21" s="154">
        <f>$H$21/$H$6*C6</f>
        <v>3300</v>
      </c>
      <c r="D21" s="154">
        <f>$H$21/$H$6*D6</f>
        <v>3300</v>
      </c>
      <c r="E21" s="154">
        <f>$H$21/$H$6*E6</f>
        <v>3300</v>
      </c>
      <c r="F21" s="154">
        <f>$H$21/$H$6*F6</f>
        <v>3300</v>
      </c>
      <c r="G21" s="154">
        <f>$H$21/$H$6*G6</f>
        <v>3300</v>
      </c>
      <c r="H21" s="149">
        <f>项目投资!D27</f>
        <v>16500</v>
      </c>
      <c r="S21" s="146" t="s">
        <v>91</v>
      </c>
      <c r="AI21" s="146"/>
      <c r="AJ21" s="146"/>
    </row>
    <row r="22" spans="1:36">
      <c r="A22" s="135">
        <v>16</v>
      </c>
      <c r="B22" s="146" t="s">
        <v>92</v>
      </c>
      <c r="C22" s="149">
        <f>C6*C47</f>
        <v>3536.50778245905</v>
      </c>
      <c r="D22" s="149">
        <f>D6*D47</f>
        <v>2767.49487</v>
      </c>
      <c r="E22" s="149">
        <f>E6*E47</f>
        <v>1692.516</v>
      </c>
      <c r="F22" s="149">
        <f>F6*F47</f>
        <v>1692.516</v>
      </c>
      <c r="G22" s="149">
        <f>G6*G47</f>
        <v>3207.6878484</v>
      </c>
      <c r="H22" s="149">
        <f>+SUM(C22:G22)</f>
        <v>12896.722500859</v>
      </c>
      <c r="S22" s="146" t="s">
        <v>92</v>
      </c>
      <c r="AI22" s="146" t="s">
        <v>93</v>
      </c>
      <c r="AJ22" s="146" t="s">
        <v>92</v>
      </c>
    </row>
    <row r="23" spans="1:36">
      <c r="A23" s="135">
        <v>17</v>
      </c>
      <c r="B23" s="150" t="s">
        <v>94</v>
      </c>
      <c r="C23" s="154">
        <f>+C22+C21+C20+C19+C17</f>
        <v>26116.9623878471</v>
      </c>
      <c r="D23" s="154">
        <f>+D22+D21+D20+D19+D17</f>
        <v>23245.980848</v>
      </c>
      <c r="E23" s="154">
        <f>+E22+E21+E20+E19+E17</f>
        <v>19232.7264</v>
      </c>
      <c r="F23" s="154">
        <f>+F22+F21+F20+F19+F17</f>
        <v>19232.7264</v>
      </c>
      <c r="G23" s="154">
        <f>+G22+G21+G20+G19+G17</f>
        <v>24889.36796736</v>
      </c>
      <c r="H23" s="154">
        <f>+H22+H21+H20+H19+H17</f>
        <v>112717.764003207</v>
      </c>
      <c r="S23" s="150" t="s">
        <v>94</v>
      </c>
      <c r="AI23" s="146" t="s">
        <v>95</v>
      </c>
      <c r="AJ23" s="150" t="s">
        <v>94</v>
      </c>
    </row>
    <row r="24" spans="1:36">
      <c r="A24" s="135">
        <v>18</v>
      </c>
      <c r="B24" s="155" t="s">
        <v>96</v>
      </c>
      <c r="C24" s="154">
        <f>+C15-C23</f>
        <v>190076.209972466</v>
      </c>
      <c r="D24" s="154">
        <f>+D15-D23</f>
        <v>129998.9087568</v>
      </c>
      <c r="E24" s="154">
        <f>+E15-E23</f>
        <v>41177.38224</v>
      </c>
      <c r="F24" s="154">
        <f>+F15-F23</f>
        <v>152417.166480172</v>
      </c>
      <c r="G24" s="154">
        <f>+G15-G23</f>
        <v>99384.489155776</v>
      </c>
      <c r="H24" s="154">
        <f>+H15-H23</f>
        <v>613054.156605214</v>
      </c>
      <c r="J24" s="166"/>
      <c r="S24" s="146" t="s">
        <v>96</v>
      </c>
      <c r="AI24" s="146" t="s">
        <v>97</v>
      </c>
      <c r="AJ24" s="146" t="s">
        <v>96</v>
      </c>
    </row>
    <row r="25" spans="1:36">
      <c r="A25" s="135">
        <v>19</v>
      </c>
      <c r="B25" s="146" t="s">
        <v>170</v>
      </c>
      <c r="C25" s="154">
        <f>IF(C24&lt;0,0,C24*0.25)</f>
        <v>47519.0524931166</v>
      </c>
      <c r="D25" s="154">
        <f>IF(D24&lt;0,0,D24*0.25)</f>
        <v>32499.7271892</v>
      </c>
      <c r="E25" s="154">
        <f>IF(E24&lt;0,0,E24*0.25)</f>
        <v>10294.34556</v>
      </c>
      <c r="F25" s="154">
        <f>IF(F24&lt;0,0,F24*0.25)</f>
        <v>38104.291620043</v>
      </c>
      <c r="G25" s="154">
        <f>IF(G24&lt;0,0,G24*0.25)</f>
        <v>24846.122288944</v>
      </c>
      <c r="H25" s="154">
        <f>IF(H24&lt;0,0,H24*0.25)</f>
        <v>153263.539151304</v>
      </c>
      <c r="I25" s="2"/>
      <c r="J25" s="2"/>
      <c r="K25" s="2"/>
      <c r="S25" s="146" t="s">
        <v>38</v>
      </c>
      <c r="AI25" s="146" t="s">
        <v>98</v>
      </c>
      <c r="AJ25" s="146" t="s">
        <v>38</v>
      </c>
    </row>
    <row r="26" spans="1:36">
      <c r="A26" s="135">
        <v>20</v>
      </c>
      <c r="B26" s="146" t="s">
        <v>99</v>
      </c>
      <c r="C26" s="154">
        <f>C24-C25</f>
        <v>142557.15747935</v>
      </c>
      <c r="D26" s="154">
        <f>D24-D25</f>
        <v>97499.1815676</v>
      </c>
      <c r="E26" s="154">
        <f>E24-E25</f>
        <v>30883.03668</v>
      </c>
      <c r="F26" s="154">
        <f>F24-F25</f>
        <v>114312.874860129</v>
      </c>
      <c r="G26" s="154">
        <f>G24-G25</f>
        <v>74538.366866832</v>
      </c>
      <c r="H26" s="149">
        <f>+SUM(C26:G26)</f>
        <v>459790.617453911</v>
      </c>
      <c r="I26" s="2"/>
      <c r="J26" s="2"/>
      <c r="K26" s="2"/>
      <c r="S26" s="146" t="s">
        <v>99</v>
      </c>
      <c r="AI26" s="146" t="s">
        <v>100</v>
      </c>
      <c r="AJ26" s="146" t="s">
        <v>99</v>
      </c>
    </row>
    <row r="27" spans="1:36">
      <c r="A27" s="135">
        <v>21</v>
      </c>
      <c r="B27" s="146" t="s">
        <v>103</v>
      </c>
      <c r="C27" s="156">
        <f>C26/C7</f>
        <v>0.41094300986401</v>
      </c>
      <c r="D27" s="156">
        <f>D26/D7</f>
        <v>0.381554452455372</v>
      </c>
      <c r="E27" s="156">
        <f>E26/E7</f>
        <v>0.251152044109933</v>
      </c>
      <c r="F27" s="156">
        <f>F26/F7</f>
        <v>0.470752686489021</v>
      </c>
      <c r="G27" s="156">
        <f>G26/G7</f>
        <v>0.306956994056879</v>
      </c>
      <c r="H27" s="156">
        <f>H26/H7</f>
        <v>0.379659808171201</v>
      </c>
      <c r="I27" s="2"/>
      <c r="J27" s="2"/>
      <c r="K27" s="2"/>
      <c r="S27" s="146" t="s">
        <v>103</v>
      </c>
      <c r="AI27" s="146" t="s">
        <v>102</v>
      </c>
      <c r="AJ27" s="146" t="s">
        <v>103</v>
      </c>
    </row>
    <row r="28" spans="9:19">
      <c r="I28" s="2"/>
      <c r="J28" s="2"/>
      <c r="K28" s="2"/>
      <c r="S28" s="146"/>
    </row>
    <row r="29" spans="1:35">
      <c r="A29" s="131" t="s">
        <v>104</v>
      </c>
      <c r="H29" s="134" t="s">
        <v>171</v>
      </c>
      <c r="I29" s="2"/>
      <c r="J29" s="2"/>
      <c r="K29" s="2"/>
      <c r="S29" s="146"/>
      <c r="AI29" s="131" t="s">
        <v>104</v>
      </c>
    </row>
    <row r="30" spans="1:36">
      <c r="A30" s="146" t="s">
        <v>105</v>
      </c>
      <c r="B30" s="150" t="s">
        <v>106</v>
      </c>
      <c r="C30" s="154"/>
      <c r="D30" s="154"/>
      <c r="E30" s="154"/>
      <c r="F30" s="154"/>
      <c r="G30" s="154"/>
      <c r="H30" s="154"/>
      <c r="I30" s="2"/>
      <c r="J30" s="2"/>
      <c r="K30" s="2"/>
      <c r="M30" s="2"/>
      <c r="S30" s="150" t="s">
        <v>106</v>
      </c>
      <c r="AI30" s="146" t="s">
        <v>107</v>
      </c>
      <c r="AJ30" s="150" t="s">
        <v>106</v>
      </c>
    </row>
    <row r="31" spans="1:36">
      <c r="A31" s="135">
        <v>1</v>
      </c>
      <c r="B31" s="152" t="s">
        <v>108</v>
      </c>
      <c r="C31" s="158">
        <f>销量!C8</f>
        <v>991.15</v>
      </c>
      <c r="D31" s="158">
        <f>销量!D8</f>
        <v>730.09</v>
      </c>
      <c r="E31" s="158">
        <f>销量!E8</f>
        <v>351.33</v>
      </c>
      <c r="F31" s="158">
        <f>销量!F8</f>
        <v>693.8</v>
      </c>
      <c r="G31" s="158">
        <f>销量!G8</f>
        <v>693.8</v>
      </c>
      <c r="H31" s="154"/>
      <c r="I31" s="2"/>
      <c r="J31" s="2"/>
      <c r="K31" s="2"/>
      <c r="M31" s="2"/>
      <c r="S31" s="146" t="s">
        <v>108</v>
      </c>
      <c r="AI31" s="146" t="s">
        <v>62</v>
      </c>
      <c r="AJ31" s="146" t="s">
        <v>108</v>
      </c>
    </row>
    <row r="32" spans="1:36">
      <c r="A32" s="135">
        <v>2</v>
      </c>
      <c r="B32" s="146" t="s">
        <v>172</v>
      </c>
      <c r="C32" s="149">
        <f>C31*1</f>
        <v>991.15</v>
      </c>
      <c r="D32" s="149">
        <f t="shared" ref="D32:F32" si="2">D31*1</f>
        <v>730.09</v>
      </c>
      <c r="E32" s="149">
        <f t="shared" si="2"/>
        <v>351.33</v>
      </c>
      <c r="F32" s="149">
        <f t="shared" si="2"/>
        <v>693.8</v>
      </c>
      <c r="G32" s="149">
        <f>G31*1</f>
        <v>693.8</v>
      </c>
      <c r="H32" s="154"/>
      <c r="I32" s="2"/>
      <c r="J32" s="2"/>
      <c r="K32" s="2"/>
      <c r="L32" s="2"/>
      <c r="M32" s="2"/>
      <c r="N32" s="2"/>
      <c r="O32" s="2"/>
      <c r="AI32" s="146"/>
      <c r="AJ32" s="146"/>
    </row>
    <row r="33" spans="1:36">
      <c r="A33" s="135">
        <v>3</v>
      </c>
      <c r="B33" s="152" t="s">
        <v>109</v>
      </c>
      <c r="C33" s="149">
        <f>材料成本!D24</f>
        <v>336.8102649961</v>
      </c>
      <c r="D33" s="149">
        <f>材料成本!E24</f>
        <v>263.57094</v>
      </c>
      <c r="E33" s="149">
        <f>材料成本!F24</f>
        <v>161.192</v>
      </c>
      <c r="F33" s="149">
        <f>材料成本!G24</f>
        <v>184.8158568</v>
      </c>
      <c r="G33" s="149">
        <f>材料成本!H24</f>
        <v>305.4940808</v>
      </c>
      <c r="H33" s="154"/>
      <c r="J33" s="2"/>
      <c r="K33" s="2"/>
      <c r="L33" s="2"/>
      <c r="M33" s="2"/>
      <c r="N33" s="2"/>
      <c r="O33" s="2"/>
      <c r="S33" s="146" t="s">
        <v>109</v>
      </c>
      <c r="AI33" s="146" t="s">
        <v>64</v>
      </c>
      <c r="AJ33" s="146" t="s">
        <v>109</v>
      </c>
    </row>
    <row r="34" ht="17.25" customHeight="1" spans="1:36">
      <c r="A34" s="135">
        <v>4</v>
      </c>
      <c r="B34" s="146" t="s">
        <v>111</v>
      </c>
      <c r="C34" s="159">
        <f>C32-C33</f>
        <v>654.3397350039</v>
      </c>
      <c r="D34" s="159">
        <f>D32-D33</f>
        <v>466.51906</v>
      </c>
      <c r="E34" s="159">
        <f>E32-E33</f>
        <v>190.138</v>
      </c>
      <c r="F34" s="159">
        <f>F32-F33</f>
        <v>508.9841432</v>
      </c>
      <c r="G34" s="159">
        <f>G32-G33</f>
        <v>388.3059192</v>
      </c>
      <c r="H34" s="154"/>
      <c r="J34" s="2"/>
      <c r="K34" s="2"/>
      <c r="L34" s="2"/>
      <c r="M34" s="2"/>
      <c r="N34" s="2"/>
      <c r="O34" s="2"/>
      <c r="S34" s="146" t="s">
        <v>111</v>
      </c>
      <c r="AI34" s="146" t="s">
        <v>110</v>
      </c>
      <c r="AJ34" s="146" t="s">
        <v>111</v>
      </c>
    </row>
    <row r="35" spans="1:36">
      <c r="A35" s="146" t="s">
        <v>107</v>
      </c>
      <c r="B35" s="150" t="s">
        <v>10</v>
      </c>
      <c r="C35" s="154"/>
      <c r="D35" s="154"/>
      <c r="E35" s="154"/>
      <c r="F35" s="154"/>
      <c r="G35" s="154"/>
      <c r="H35" s="154"/>
      <c r="I35" s="2"/>
      <c r="J35" s="2"/>
      <c r="K35" s="2"/>
      <c r="L35" s="2"/>
      <c r="M35" s="2"/>
      <c r="N35" s="2"/>
      <c r="O35" s="2"/>
      <c r="P35" s="2"/>
      <c r="Q35" s="2"/>
      <c r="R35" s="2"/>
      <c r="S35" s="150" t="s">
        <v>10</v>
      </c>
      <c r="AI35" s="146" t="s">
        <v>113</v>
      </c>
      <c r="AJ35" s="150" t="s">
        <v>10</v>
      </c>
    </row>
    <row r="36" spans="1:36">
      <c r="A36" s="135">
        <v>1</v>
      </c>
      <c r="B36" s="146" t="s">
        <v>114</v>
      </c>
      <c r="C36" s="153">
        <f>标准成本!E4</f>
        <v>14.5165224213319</v>
      </c>
      <c r="D36" s="153">
        <f>标准成本!E16</f>
        <v>11.359907514</v>
      </c>
      <c r="E36" s="153">
        <f>标准成本!E29</f>
        <v>6.9473752</v>
      </c>
      <c r="F36" s="153">
        <f>标准成本!E42</f>
        <v>7.96556342808</v>
      </c>
      <c r="G36" s="153">
        <f>标准成本!E55</f>
        <v>13.16679488248</v>
      </c>
      <c r="H36" s="158"/>
      <c r="I36" s="2"/>
      <c r="J36" s="2"/>
      <c r="K36" s="2"/>
      <c r="L36" s="2"/>
      <c r="M36" s="2"/>
      <c r="N36" s="2"/>
      <c r="O36" s="2"/>
      <c r="P36" s="2"/>
      <c r="Q36" s="2"/>
      <c r="R36" s="2"/>
      <c r="S36" s="146" t="s">
        <v>114</v>
      </c>
      <c r="AI36" s="146" t="s">
        <v>110</v>
      </c>
      <c r="AJ36" s="146" t="s">
        <v>114</v>
      </c>
    </row>
    <row r="37" spans="1:36">
      <c r="A37" s="135">
        <v>2</v>
      </c>
      <c r="B37" s="146" t="s">
        <v>115</v>
      </c>
      <c r="C37" s="153">
        <f>标准成本!E6</f>
        <v>7.30878275041537</v>
      </c>
      <c r="D37" s="153">
        <f>标准成本!E18</f>
        <v>5.719489398</v>
      </c>
      <c r="E37" s="153">
        <f>标准成本!E31</f>
        <v>3.4978664</v>
      </c>
      <c r="F37" s="153">
        <f>标准成本!E44</f>
        <v>3.4978664</v>
      </c>
      <c r="G37" s="153">
        <f>标准成本!E57</f>
        <v>6.62922155336</v>
      </c>
      <c r="H37" s="158"/>
      <c r="I37" s="2"/>
      <c r="J37" s="2"/>
      <c r="K37" s="2"/>
      <c r="L37" s="2"/>
      <c r="M37" s="2"/>
      <c r="N37" s="2"/>
      <c r="O37" s="2"/>
      <c r="P37" s="2"/>
      <c r="Q37" s="2"/>
      <c r="R37" s="2"/>
      <c r="S37" s="146" t="s">
        <v>115</v>
      </c>
      <c r="AI37" s="146" t="s">
        <v>67</v>
      </c>
      <c r="AJ37" s="146" t="s">
        <v>115</v>
      </c>
    </row>
    <row r="38" spans="1:36">
      <c r="A38" s="135">
        <v>3</v>
      </c>
      <c r="B38" s="146" t="s">
        <v>116</v>
      </c>
      <c r="C38" s="153">
        <f>标准成本!E10</f>
        <v>14.8196516598284</v>
      </c>
      <c r="D38" s="153">
        <f>标准成本!E22</f>
        <v>11.59712136</v>
      </c>
      <c r="E38" s="153">
        <f>标准成本!E35</f>
        <v>7.092448</v>
      </c>
      <c r="F38" s="153">
        <f>标准成本!E48</f>
        <v>7.092448</v>
      </c>
      <c r="G38" s="153">
        <f>标准成本!E61</f>
        <v>13.4417395552</v>
      </c>
      <c r="H38" s="158"/>
      <c r="I38" s="2"/>
      <c r="J38" s="2"/>
      <c r="K38" s="2"/>
      <c r="L38" s="2"/>
      <c r="M38" s="2"/>
      <c r="N38" s="2"/>
      <c r="O38" s="2"/>
      <c r="P38" s="2"/>
      <c r="Q38" s="2"/>
      <c r="R38" s="2"/>
      <c r="S38" s="146" t="s">
        <v>116</v>
      </c>
      <c r="AI38" s="146" t="s">
        <v>74</v>
      </c>
      <c r="AJ38" s="146" t="s">
        <v>116</v>
      </c>
    </row>
    <row r="39" spans="1:36">
      <c r="A39" s="146" t="s">
        <v>113</v>
      </c>
      <c r="B39" s="150" t="s">
        <v>118</v>
      </c>
      <c r="C39" s="154"/>
      <c r="D39" s="154"/>
      <c r="E39" s="154"/>
      <c r="F39" s="154"/>
      <c r="G39" s="154"/>
      <c r="H39" s="154"/>
      <c r="S39" s="150" t="s">
        <v>118</v>
      </c>
      <c r="AI39" s="146" t="s">
        <v>117</v>
      </c>
      <c r="AJ39" s="150" t="s">
        <v>118</v>
      </c>
    </row>
    <row r="40" spans="1:36">
      <c r="A40" s="135">
        <v>1</v>
      </c>
      <c r="B40" s="146" t="s">
        <v>120</v>
      </c>
      <c r="C40" s="154">
        <f>C34-C36-C37-C38</f>
        <v>617.694778172324</v>
      </c>
      <c r="D40" s="154">
        <f t="shared" ref="D40:G40" si="3">D34-D36-D37-D38</f>
        <v>437.842541728</v>
      </c>
      <c r="E40" s="154">
        <f t="shared" si="3"/>
        <v>172.6003104</v>
      </c>
      <c r="F40" s="154">
        <f t="shared" si="3"/>
        <v>490.42826537192</v>
      </c>
      <c r="G40" s="154">
        <f t="shared" si="3"/>
        <v>355.06816320896</v>
      </c>
      <c r="H40" s="154"/>
      <c r="S40" s="146" t="s">
        <v>120</v>
      </c>
      <c r="AI40" s="146" t="s">
        <v>62</v>
      </c>
      <c r="AJ40" s="146" t="s">
        <v>120</v>
      </c>
    </row>
    <row r="41" spans="1:36">
      <c r="A41" s="135">
        <v>2</v>
      </c>
      <c r="B41" s="146" t="s">
        <v>121</v>
      </c>
      <c r="C41" s="154"/>
      <c r="D41" s="154"/>
      <c r="E41" s="154"/>
      <c r="F41" s="154"/>
      <c r="G41" s="154"/>
      <c r="H41" s="154"/>
      <c r="S41" s="146" t="s">
        <v>121</v>
      </c>
      <c r="AI41" s="146" t="s">
        <v>64</v>
      </c>
      <c r="AJ41" s="146" t="s">
        <v>121</v>
      </c>
    </row>
    <row r="42" spans="1:36">
      <c r="A42" s="146" t="s">
        <v>117</v>
      </c>
      <c r="B42" s="150" t="s">
        <v>123</v>
      </c>
      <c r="C42" s="154"/>
      <c r="D42" s="154"/>
      <c r="E42" s="154"/>
      <c r="F42" s="154"/>
      <c r="G42" s="154"/>
      <c r="H42" s="154"/>
      <c r="S42" s="150" t="s">
        <v>123</v>
      </c>
      <c r="AI42" s="146" t="s">
        <v>122</v>
      </c>
      <c r="AJ42" s="150" t="s">
        <v>123</v>
      </c>
    </row>
    <row r="43" spans="1:36">
      <c r="A43" s="135">
        <v>1</v>
      </c>
      <c r="B43" s="155" t="s">
        <v>124</v>
      </c>
      <c r="C43" s="153">
        <f>标准成本!E5</f>
        <v>13.8092208648401</v>
      </c>
      <c r="D43" s="153">
        <f>标准成本!E17</f>
        <v>10.80640854</v>
      </c>
      <c r="E43" s="153">
        <f>标准成本!E30</f>
        <v>6.608872</v>
      </c>
      <c r="F43" s="153">
        <f>标准成本!E43</f>
        <v>6.608872</v>
      </c>
      <c r="G43" s="153">
        <f>标准成本!E56</f>
        <v>12.5252573128</v>
      </c>
      <c r="H43" s="154"/>
      <c r="S43" s="146" t="s">
        <v>124</v>
      </c>
      <c r="AI43" s="146" t="s">
        <v>62</v>
      </c>
      <c r="AJ43" s="146" t="s">
        <v>124</v>
      </c>
    </row>
    <row r="44" spans="1:36">
      <c r="A44" s="135">
        <v>2</v>
      </c>
      <c r="B44" s="155" t="s">
        <v>125</v>
      </c>
      <c r="C44" s="153">
        <f>标准成本!E9</f>
        <v>2.3576718549727</v>
      </c>
      <c r="D44" s="153">
        <f>标准成本!E21</f>
        <v>1.84499658</v>
      </c>
      <c r="E44" s="153">
        <f>标准成本!E34</f>
        <v>1.128344</v>
      </c>
      <c r="F44" s="153">
        <f>标准成本!E47</f>
        <v>1.128344</v>
      </c>
      <c r="G44" s="153">
        <f>标准成本!E60</f>
        <v>2.1384585656</v>
      </c>
      <c r="H44" s="154"/>
      <c r="S44" s="146" t="s">
        <v>125</v>
      </c>
      <c r="AI44" s="146" t="s">
        <v>64</v>
      </c>
      <c r="AJ44" s="146" t="s">
        <v>125</v>
      </c>
    </row>
    <row r="45" spans="1:36">
      <c r="A45" s="135">
        <v>3</v>
      </c>
      <c r="B45" s="155" t="s">
        <v>126</v>
      </c>
      <c r="C45" s="153">
        <f>标准成本!E8</f>
        <v>11.4515490098674</v>
      </c>
      <c r="D45" s="153">
        <f>标准成本!E20</f>
        <v>8.96141196</v>
      </c>
      <c r="E45" s="153">
        <f>标准成本!E33</f>
        <v>5.480528</v>
      </c>
      <c r="F45" s="153">
        <f>标准成本!E46</f>
        <v>5.480528</v>
      </c>
      <c r="G45" s="153">
        <f>标准成本!E59</f>
        <v>10.3867987472</v>
      </c>
      <c r="H45" s="154"/>
      <c r="S45" s="146" t="s">
        <v>126</v>
      </c>
      <c r="AI45" s="146" t="s">
        <v>110</v>
      </c>
      <c r="AJ45" s="146" t="s">
        <v>126</v>
      </c>
    </row>
    <row r="46" s="133" customFormat="1" spans="1:36">
      <c r="A46" s="135">
        <v>4</v>
      </c>
      <c r="B46" s="155" t="s">
        <v>127</v>
      </c>
      <c r="C46" s="160">
        <f>C21/C6</f>
        <v>9.42857142857143</v>
      </c>
      <c r="D46" s="160">
        <f>D21/D6</f>
        <v>9.42857142857143</v>
      </c>
      <c r="E46" s="160">
        <f>E21/E6</f>
        <v>9.42857142857143</v>
      </c>
      <c r="F46" s="160">
        <f>F21/F6</f>
        <v>9.42857142857143</v>
      </c>
      <c r="G46" s="160">
        <f>G21/G6</f>
        <v>9.42857142857143</v>
      </c>
      <c r="H46" s="160"/>
      <c r="S46" s="155" t="s">
        <v>129</v>
      </c>
      <c r="AI46" s="155" t="s">
        <v>70</v>
      </c>
      <c r="AJ46" s="155" t="s">
        <v>129</v>
      </c>
    </row>
    <row r="47" s="133" customFormat="1" spans="1:36">
      <c r="A47" s="135">
        <v>5</v>
      </c>
      <c r="B47" s="155" t="s">
        <v>129</v>
      </c>
      <c r="C47" s="160">
        <f>标准成本!E11</f>
        <v>10.104307949883</v>
      </c>
      <c r="D47" s="160">
        <f>标准成本!E23</f>
        <v>7.9071282</v>
      </c>
      <c r="E47" s="160">
        <f>标准成本!E36</f>
        <v>4.83576</v>
      </c>
      <c r="F47" s="160">
        <f>标准成本!E49</f>
        <v>4.83576</v>
      </c>
      <c r="G47" s="160">
        <f>标准成本!E62</f>
        <v>9.164822424</v>
      </c>
      <c r="H47" s="160"/>
      <c r="S47" s="155" t="s">
        <v>129</v>
      </c>
      <c r="AI47" s="155" t="s">
        <v>70</v>
      </c>
      <c r="AJ47" s="155" t="s">
        <v>129</v>
      </c>
    </row>
    <row r="48" spans="1:36">
      <c r="A48" s="146" t="s">
        <v>122</v>
      </c>
      <c r="B48" s="150" t="s">
        <v>140</v>
      </c>
      <c r="C48" s="154">
        <f>C40-C43-C44-C45-C47-C46</f>
        <v>570.543457064189</v>
      </c>
      <c r="D48" s="154">
        <f>D40-D43-D44-D45-D47-D46</f>
        <v>398.894025019429</v>
      </c>
      <c r="E48" s="154">
        <f>E40-E43-E44-E45-E47-E46</f>
        <v>145.118234971429</v>
      </c>
      <c r="F48" s="154">
        <f>F40-F43-F44-F45-F47-F46</f>
        <v>462.946189943348</v>
      </c>
      <c r="G48" s="154">
        <f>G40-G43-G44-G45-G47-G46</f>
        <v>311.424254730789</v>
      </c>
      <c r="H48" s="154"/>
      <c r="S48" s="150" t="s">
        <v>140</v>
      </c>
      <c r="AI48" s="146" t="s">
        <v>139</v>
      </c>
      <c r="AJ48" s="150" t="s">
        <v>140</v>
      </c>
    </row>
    <row r="51" spans="3:7">
      <c r="C51" s="161"/>
      <c r="D51" s="161"/>
      <c r="E51" s="161"/>
      <c r="F51" s="161"/>
      <c r="G51" s="161"/>
    </row>
    <row r="54" spans="2:13">
      <c r="B54" s="2"/>
      <c r="C54" s="162"/>
      <c r="D54" s="162"/>
      <c r="E54" s="162"/>
      <c r="F54" s="162"/>
      <c r="G54" s="162"/>
      <c r="H54" s="162"/>
      <c r="I54" s="2"/>
      <c r="J54" s="2"/>
      <c r="K54" s="2"/>
      <c r="L54" s="2"/>
      <c r="M54" s="2"/>
    </row>
    <row r="55" spans="2:13">
      <c r="B55" s="2"/>
      <c r="C55" s="162"/>
      <c r="D55" s="162"/>
      <c r="E55" s="162"/>
      <c r="F55" s="162"/>
      <c r="G55" s="162"/>
      <c r="H55" s="162"/>
      <c r="I55" s="2"/>
      <c r="J55" s="2"/>
      <c r="K55" s="2"/>
      <c r="L55" s="2"/>
      <c r="M55" s="2"/>
    </row>
    <row r="56" spans="2:13">
      <c r="B56" s="2"/>
      <c r="C56" s="162"/>
      <c r="D56" s="162"/>
      <c r="E56" s="162"/>
      <c r="F56" s="162"/>
      <c r="G56" s="162"/>
      <c r="H56" s="162"/>
      <c r="I56" s="2"/>
      <c r="J56" s="2"/>
      <c r="K56" s="2"/>
      <c r="L56" s="2"/>
      <c r="M56" s="2"/>
    </row>
    <row r="57" spans="2:13">
      <c r="B57" s="2"/>
      <c r="C57" s="162"/>
      <c r="D57" s="162"/>
      <c r="E57" s="162"/>
      <c r="F57" s="162"/>
      <c r="G57" s="162"/>
      <c r="H57" s="162"/>
      <c r="I57" s="2"/>
      <c r="J57" s="2"/>
      <c r="K57" s="2"/>
      <c r="L57" s="2"/>
      <c r="M57" s="2"/>
    </row>
    <row r="58" spans="2:13">
      <c r="B58" s="2"/>
      <c r="C58" s="162"/>
      <c r="D58" s="162"/>
      <c r="E58" s="162"/>
      <c r="F58" s="162"/>
      <c r="G58" s="162"/>
      <c r="H58" s="162"/>
      <c r="I58" s="2"/>
      <c r="J58" s="2"/>
      <c r="K58" s="2"/>
      <c r="L58" s="2"/>
      <c r="M58" s="2"/>
    </row>
    <row r="59" spans="2:13">
      <c r="B59" s="2"/>
      <c r="C59" s="162"/>
      <c r="D59" s="162"/>
      <c r="E59" s="162"/>
      <c r="F59" s="162"/>
      <c r="G59" s="162"/>
      <c r="H59" s="162"/>
      <c r="I59" s="2"/>
      <c r="J59" s="2"/>
      <c r="K59" s="2"/>
      <c r="L59" s="2"/>
      <c r="M59" s="2"/>
    </row>
    <row r="60" spans="2:13">
      <c r="B60" s="2"/>
      <c r="C60" s="162"/>
      <c r="D60" s="162"/>
      <c r="E60" s="162"/>
      <c r="F60" s="162"/>
      <c r="G60" s="162"/>
      <c r="H60" s="162"/>
      <c r="I60" s="2"/>
      <c r="J60" s="2"/>
      <c r="K60" s="2"/>
      <c r="L60" s="2"/>
      <c r="M60" s="2"/>
    </row>
    <row r="61" spans="2:13">
      <c r="B61" s="2"/>
      <c r="C61" s="162"/>
      <c r="D61" s="162"/>
      <c r="E61" s="162"/>
      <c r="F61" s="162"/>
      <c r="G61" s="162"/>
      <c r="H61" s="162"/>
      <c r="I61" s="2"/>
      <c r="J61" s="2"/>
      <c r="K61" s="2"/>
      <c r="L61" s="2"/>
      <c r="M61" s="2"/>
    </row>
    <row r="62" spans="2:13">
      <c r="B62" s="2"/>
      <c r="C62" s="162"/>
      <c r="D62" s="162"/>
      <c r="E62" s="162"/>
      <c r="F62" s="162"/>
      <c r="G62" s="162"/>
      <c r="H62" s="162"/>
      <c r="I62" s="2"/>
      <c r="J62" s="2"/>
      <c r="K62" s="2"/>
      <c r="L62" s="2"/>
      <c r="M62" s="2"/>
    </row>
    <row r="63" spans="2:13">
      <c r="B63" s="2"/>
      <c r="C63" s="162"/>
      <c r="D63" s="162"/>
      <c r="E63" s="162"/>
      <c r="F63" s="162"/>
      <c r="G63" s="162"/>
      <c r="H63" s="162"/>
      <c r="I63" s="2"/>
      <c r="J63" s="2"/>
      <c r="K63" s="2"/>
      <c r="L63" s="2"/>
      <c r="M63" s="2"/>
    </row>
    <row r="64" spans="2:13">
      <c r="B64" s="2"/>
      <c r="C64" s="162"/>
      <c r="D64" s="162"/>
      <c r="E64" s="162"/>
      <c r="F64" s="162"/>
      <c r="G64" s="162"/>
      <c r="H64" s="162"/>
      <c r="I64" s="2"/>
      <c r="J64" s="2"/>
      <c r="K64" s="2"/>
      <c r="L64" s="2"/>
      <c r="M64" s="2"/>
    </row>
    <row r="65" spans="2:13">
      <c r="B65" s="2"/>
      <c r="C65" s="162"/>
      <c r="D65" s="162"/>
      <c r="E65" s="162"/>
      <c r="F65" s="162"/>
      <c r="G65" s="162"/>
      <c r="H65" s="162"/>
      <c r="I65" s="2"/>
      <c r="J65" s="2"/>
      <c r="K65" s="2"/>
      <c r="L65" s="2"/>
      <c r="M65" s="2"/>
    </row>
    <row r="66" spans="2:13">
      <c r="B66" s="2"/>
      <c r="C66" s="162"/>
      <c r="D66" s="162"/>
      <c r="E66" s="162"/>
      <c r="F66" s="162"/>
      <c r="G66" s="162"/>
      <c r="H66" s="162"/>
      <c r="I66" s="2"/>
      <c r="J66" s="2"/>
      <c r="K66" s="2"/>
      <c r="L66" s="2"/>
      <c r="M66" s="2"/>
    </row>
    <row r="67" spans="2:9">
      <c r="B67" s="2"/>
      <c r="C67" s="162"/>
      <c r="D67" s="162"/>
      <c r="E67" s="162"/>
      <c r="F67" s="162"/>
      <c r="G67" s="162"/>
      <c r="H67" s="162"/>
      <c r="I67" s="2"/>
    </row>
    <row r="68" spans="2:9">
      <c r="B68" s="2"/>
      <c r="C68" s="162"/>
      <c r="D68" s="162"/>
      <c r="E68" s="162"/>
      <c r="F68" s="162"/>
      <c r="G68" s="162"/>
      <c r="H68" s="162"/>
      <c r="I68" s="2"/>
    </row>
    <row r="69" spans="2:9">
      <c r="B69" s="2"/>
      <c r="C69" s="162"/>
      <c r="D69" s="162"/>
      <c r="E69" s="162"/>
      <c r="F69" s="162"/>
      <c r="G69" s="162"/>
      <c r="H69" s="162"/>
      <c r="I69" s="2"/>
    </row>
    <row r="70" spans="2:9">
      <c r="B70" s="2"/>
      <c r="C70" s="162"/>
      <c r="D70" s="162"/>
      <c r="E70" s="162"/>
      <c r="F70" s="162"/>
      <c r="G70" s="162"/>
      <c r="H70" s="162"/>
      <c r="I70" s="2"/>
    </row>
    <row r="71" spans="2:9">
      <c r="B71" s="2"/>
      <c r="C71" s="162"/>
      <c r="D71" s="162"/>
      <c r="E71" s="162"/>
      <c r="F71" s="162"/>
      <c r="G71" s="162"/>
      <c r="H71" s="162"/>
      <c r="I71" s="2"/>
    </row>
    <row r="72" spans="2:9">
      <c r="B72" s="2"/>
      <c r="C72" s="162"/>
      <c r="D72" s="162"/>
      <c r="E72" s="162"/>
      <c r="F72" s="162"/>
      <c r="G72" s="162"/>
      <c r="H72" s="162"/>
      <c r="I72" s="2"/>
    </row>
    <row r="73" spans="2:9">
      <c r="B73" s="2"/>
      <c r="C73" s="162"/>
      <c r="D73" s="162"/>
      <c r="E73" s="162"/>
      <c r="F73" s="162"/>
      <c r="G73" s="162"/>
      <c r="H73" s="162"/>
      <c r="I73" s="2"/>
    </row>
    <row r="74" spans="2:9">
      <c r="B74" s="2"/>
      <c r="C74" s="162"/>
      <c r="D74" s="162"/>
      <c r="E74" s="162"/>
      <c r="F74" s="162"/>
      <c r="G74" s="162"/>
      <c r="H74" s="162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  <ignoredErrors>
    <ignoredError sqref="H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zoomScale="85" zoomScaleNormal="85" workbookViewId="0">
      <pane xSplit="2" ySplit="7" topLeftCell="C23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5"/>
  <cols>
    <col min="1" max="1" width="5.12727272727273" style="131" customWidth="1"/>
    <col min="2" max="2" width="17.5" style="131" customWidth="1"/>
    <col min="3" max="3" width="15.5" style="134" customWidth="1"/>
    <col min="4" max="7" width="12" style="134" customWidth="1"/>
    <col min="8" max="8" width="18.7545454545455" style="134" customWidth="1"/>
    <col min="9" max="9" width="12.3727272727273" style="131" customWidth="1"/>
    <col min="10" max="10" width="10.1272727272727" style="131" customWidth="1"/>
    <col min="11" max="17" width="9" style="131" customWidth="1"/>
    <col min="18" max="34" width="9" style="131"/>
    <col min="35" max="35" width="4.37272727272727" style="131" customWidth="1"/>
    <col min="36" max="36" width="13.8727272727273" style="131" customWidth="1"/>
    <col min="37" max="16384" width="9" style="131"/>
  </cols>
  <sheetData>
    <row r="1" spans="1:8">
      <c r="A1" s="135" t="s">
        <v>150</v>
      </c>
      <c r="B1" s="135"/>
      <c r="C1" s="136" t="s">
        <v>173</v>
      </c>
      <c r="D1" s="137"/>
      <c r="E1" s="137"/>
      <c r="F1" s="137"/>
      <c r="G1" s="137"/>
      <c r="H1" s="138"/>
    </row>
    <row r="2" spans="1:8">
      <c r="A2" s="135" t="s">
        <v>152</v>
      </c>
      <c r="B2" s="135"/>
      <c r="C2" s="139" t="s">
        <v>153</v>
      </c>
      <c r="D2" s="139"/>
      <c r="E2" s="139"/>
      <c r="F2" s="139"/>
      <c r="G2" s="139"/>
      <c r="H2" s="139"/>
    </row>
    <row r="3" ht="43.5" spans="1:8">
      <c r="A3" s="135" t="s">
        <v>154</v>
      </c>
      <c r="B3" s="135"/>
      <c r="C3" s="140" t="s">
        <v>155</v>
      </c>
      <c r="D3" s="140" t="s">
        <v>156</v>
      </c>
      <c r="E3" s="140" t="s">
        <v>157</v>
      </c>
      <c r="F3" s="140" t="s">
        <v>158</v>
      </c>
      <c r="G3" s="140" t="s">
        <v>159</v>
      </c>
      <c r="H3" s="141" t="s">
        <v>58</v>
      </c>
    </row>
    <row r="4" ht="29" spans="1:8">
      <c r="A4" s="135" t="s">
        <v>160</v>
      </c>
      <c r="B4" s="135"/>
      <c r="C4" s="140" t="s">
        <v>161</v>
      </c>
      <c r="D4" s="142" t="s">
        <v>162</v>
      </c>
      <c r="E4" s="142" t="s">
        <v>163</v>
      </c>
      <c r="F4" s="142" t="s">
        <v>164</v>
      </c>
      <c r="G4" s="142" t="s">
        <v>165</v>
      </c>
      <c r="H4" s="143"/>
    </row>
    <row r="5" spans="1:37">
      <c r="A5" s="135" t="s">
        <v>166</v>
      </c>
      <c r="B5" s="135"/>
      <c r="C5" s="144"/>
      <c r="D5" s="144"/>
      <c r="E5" s="142"/>
      <c r="F5" s="142"/>
      <c r="G5" s="144"/>
      <c r="H5" s="145"/>
      <c r="AK5" s="131" t="s">
        <v>59</v>
      </c>
    </row>
    <row r="6" spans="1:37">
      <c r="A6" s="146" t="s">
        <v>21</v>
      </c>
      <c r="B6" s="147" t="s">
        <v>167</v>
      </c>
      <c r="C6" s="148">
        <f>销量!C10</f>
        <v>700</v>
      </c>
      <c r="D6" s="148">
        <f>销量!D10</f>
        <v>700</v>
      </c>
      <c r="E6" s="148">
        <f>销量!E10</f>
        <v>700</v>
      </c>
      <c r="F6" s="148">
        <f>销量!F10</f>
        <v>700</v>
      </c>
      <c r="G6" s="148">
        <f>销量!G10</f>
        <v>700</v>
      </c>
      <c r="H6" s="149">
        <f t="shared" ref="H6:H15" si="0">+SUM(C6:G6)</f>
        <v>3500</v>
      </c>
      <c r="S6" s="147" t="s">
        <v>3</v>
      </c>
      <c r="AI6" s="146" t="s">
        <v>21</v>
      </c>
      <c r="AJ6" s="147" t="s">
        <v>3</v>
      </c>
      <c r="AK6" s="131" t="s">
        <v>60</v>
      </c>
    </row>
    <row r="7" spans="1:37">
      <c r="A7" s="135">
        <v>1</v>
      </c>
      <c r="B7" s="147" t="s">
        <v>61</v>
      </c>
      <c r="C7" s="149">
        <f>C6*销量!C8</f>
        <v>693805</v>
      </c>
      <c r="D7" s="149">
        <f>D6*销量!D8</f>
        <v>511063</v>
      </c>
      <c r="E7" s="149">
        <f>E6*销量!E8</f>
        <v>245931</v>
      </c>
      <c r="F7" s="149">
        <f>F6*销量!F8</f>
        <v>485660</v>
      </c>
      <c r="G7" s="149">
        <f>G6*销量!G8</f>
        <v>485660</v>
      </c>
      <c r="H7" s="149">
        <f t="shared" si="0"/>
        <v>2422119</v>
      </c>
      <c r="I7" s="134"/>
      <c r="S7" s="147" t="s">
        <v>61</v>
      </c>
      <c r="AI7" s="146" t="s">
        <v>62</v>
      </c>
      <c r="AJ7" s="147" t="s">
        <v>61</v>
      </c>
      <c r="AK7" s="131" t="s">
        <v>60</v>
      </c>
    </row>
    <row r="8" spans="1:37">
      <c r="A8" s="135">
        <v>2</v>
      </c>
      <c r="B8" s="135" t="s">
        <v>63</v>
      </c>
      <c r="C8" s="149">
        <f>C7*(1-销量!$K$7)</f>
        <v>0</v>
      </c>
      <c r="D8" s="149">
        <f>D7*(1-销量!$K$7)</f>
        <v>0</v>
      </c>
      <c r="E8" s="149">
        <f>E7*(1-销量!$K$7)</f>
        <v>0</v>
      </c>
      <c r="F8" s="149">
        <f>F7*(1-销量!$K$7)</f>
        <v>0</v>
      </c>
      <c r="G8" s="149">
        <f>G7*(1-销量!$K$7)</f>
        <v>0</v>
      </c>
      <c r="H8" s="149">
        <f t="shared" si="0"/>
        <v>0</v>
      </c>
      <c r="I8" s="163"/>
      <c r="S8" s="135" t="s">
        <v>65</v>
      </c>
      <c r="AI8" s="146" t="s">
        <v>64</v>
      </c>
      <c r="AJ8" s="135" t="s">
        <v>65</v>
      </c>
      <c r="AK8" s="131" t="s">
        <v>60</v>
      </c>
    </row>
    <row r="9" spans="1:37">
      <c r="A9" s="135">
        <v>3</v>
      </c>
      <c r="B9" s="147" t="s">
        <v>66</v>
      </c>
      <c r="C9" s="149">
        <f>+C7-C8</f>
        <v>693805</v>
      </c>
      <c r="D9" s="149">
        <f>+D7-D8</f>
        <v>511063</v>
      </c>
      <c r="E9" s="149">
        <f>+E7-E8</f>
        <v>245931</v>
      </c>
      <c r="F9" s="149">
        <f>+F7-F8</f>
        <v>485660</v>
      </c>
      <c r="G9" s="149">
        <f>+G7-G8</f>
        <v>485660</v>
      </c>
      <c r="H9" s="149">
        <f t="shared" si="0"/>
        <v>2422119</v>
      </c>
      <c r="S9" s="147" t="s">
        <v>66</v>
      </c>
      <c r="AI9" s="146" t="s">
        <v>67</v>
      </c>
      <c r="AJ9" s="147" t="s">
        <v>66</v>
      </c>
      <c r="AK9" s="131" t="s">
        <v>68</v>
      </c>
    </row>
    <row r="10" spans="1:37">
      <c r="A10" s="135">
        <v>4</v>
      </c>
      <c r="B10" s="146" t="s">
        <v>71</v>
      </c>
      <c r="C10" s="149">
        <f>C6*C33</f>
        <v>235767.18549727</v>
      </c>
      <c r="D10" s="149">
        <f>D6*D33</f>
        <v>184499.658</v>
      </c>
      <c r="E10" s="149">
        <f>E6*E33</f>
        <v>112834.4</v>
      </c>
      <c r="F10" s="149">
        <f>F6*F33</f>
        <v>129371.09976</v>
      </c>
      <c r="G10" s="149">
        <f>G6*G33</f>
        <v>213845.85656</v>
      </c>
      <c r="H10" s="149">
        <f t="shared" si="0"/>
        <v>876318.19981727</v>
      </c>
      <c r="S10" s="146" t="s">
        <v>71</v>
      </c>
      <c r="AI10" s="146" t="s">
        <v>70</v>
      </c>
      <c r="AJ10" s="146" t="s">
        <v>71</v>
      </c>
      <c r="AK10" s="131" t="s">
        <v>72</v>
      </c>
    </row>
    <row r="11" spans="1:36">
      <c r="A11" s="135">
        <v>5</v>
      </c>
      <c r="B11" s="146" t="s">
        <v>73</v>
      </c>
      <c r="C11" s="149">
        <f>+C6*C36</f>
        <v>10161.5656949323</v>
      </c>
      <c r="D11" s="149">
        <f>+D6*D36</f>
        <v>7951.9352598</v>
      </c>
      <c r="E11" s="149">
        <f>+E6*E36</f>
        <v>4863.16264</v>
      </c>
      <c r="F11" s="149">
        <f>+F6*F36</f>
        <v>5575.894399656</v>
      </c>
      <c r="G11" s="149">
        <f>+G6*G36</f>
        <v>9216.756417736</v>
      </c>
      <c r="H11" s="149">
        <f t="shared" si="0"/>
        <v>37769.3144121243</v>
      </c>
      <c r="S11" s="146" t="s">
        <v>73</v>
      </c>
      <c r="AI11" s="146" t="s">
        <v>74</v>
      </c>
      <c r="AJ11" s="146" t="s">
        <v>73</v>
      </c>
    </row>
    <row r="12" spans="1:36">
      <c r="A12" s="135">
        <v>6</v>
      </c>
      <c r="B12" s="146" t="s">
        <v>75</v>
      </c>
      <c r="C12" s="149">
        <f>+C6*C37</f>
        <v>5116.14792529076</v>
      </c>
      <c r="D12" s="149">
        <f>+D6*D37</f>
        <v>4003.6425786</v>
      </c>
      <c r="E12" s="149">
        <f>+E6*E37</f>
        <v>2448.50648</v>
      </c>
      <c r="F12" s="149">
        <f>+F6*F37</f>
        <v>2448.50648</v>
      </c>
      <c r="G12" s="149">
        <f>+G6*G37</f>
        <v>4640.455087352</v>
      </c>
      <c r="H12" s="149">
        <f t="shared" si="0"/>
        <v>18657.2585512428</v>
      </c>
      <c r="S12" s="146" t="s">
        <v>75</v>
      </c>
      <c r="AI12" s="146" t="s">
        <v>76</v>
      </c>
      <c r="AJ12" s="146" t="s">
        <v>75</v>
      </c>
    </row>
    <row r="13" spans="1:37">
      <c r="A13" s="135">
        <v>7</v>
      </c>
      <c r="B13" s="146" t="s">
        <v>77</v>
      </c>
      <c r="C13" s="149">
        <f>+C6*C38</f>
        <v>10373.7561618799</v>
      </c>
      <c r="D13" s="149">
        <f>+D6*D38</f>
        <v>8117.984952</v>
      </c>
      <c r="E13" s="149">
        <f>+E6*E38</f>
        <v>4964.7136</v>
      </c>
      <c r="F13" s="149">
        <f>+F6*F38</f>
        <v>4964.7136</v>
      </c>
      <c r="G13" s="149">
        <f>+G6*G38</f>
        <v>9409.21768864</v>
      </c>
      <c r="H13" s="149">
        <f t="shared" si="0"/>
        <v>37830.3860025199</v>
      </c>
      <c r="S13" s="146" t="s">
        <v>77</v>
      </c>
      <c r="AI13" s="146" t="s">
        <v>78</v>
      </c>
      <c r="AJ13" s="146" t="s">
        <v>77</v>
      </c>
      <c r="AK13" s="131" t="s">
        <v>60</v>
      </c>
    </row>
    <row r="14" spans="1:36">
      <c r="A14" s="135">
        <v>8</v>
      </c>
      <c r="B14" s="150" t="s">
        <v>79</v>
      </c>
      <c r="C14" s="149">
        <f>SUM(C11:C13)</f>
        <v>25651.469782103</v>
      </c>
      <c r="D14" s="149">
        <f>SUM(D11:D13)</f>
        <v>20073.5627904</v>
      </c>
      <c r="E14" s="149">
        <f>SUM(E11:E13)</f>
        <v>12276.38272</v>
      </c>
      <c r="F14" s="149">
        <f>SUM(F11:F13)</f>
        <v>12989.114479656</v>
      </c>
      <c r="G14" s="149">
        <f>SUM(G11:G13)</f>
        <v>23266.429193728</v>
      </c>
      <c r="H14" s="149">
        <f t="shared" si="0"/>
        <v>94256.958965887</v>
      </c>
      <c r="S14" s="150" t="s">
        <v>79</v>
      </c>
      <c r="AI14" s="146" t="s">
        <v>80</v>
      </c>
      <c r="AJ14" s="150" t="s">
        <v>79</v>
      </c>
    </row>
    <row r="15" spans="1:36">
      <c r="A15" s="135">
        <v>9</v>
      </c>
      <c r="B15" s="150" t="s">
        <v>81</v>
      </c>
      <c r="C15" s="149">
        <f>+C9-C10-C14</f>
        <v>432386.344720627</v>
      </c>
      <c r="D15" s="149">
        <f>+D9-D10-D14</f>
        <v>306489.7792096</v>
      </c>
      <c r="E15" s="149">
        <f>+E9-E10-E14</f>
        <v>120820.21728</v>
      </c>
      <c r="F15" s="149">
        <f>+F9-F10-F14</f>
        <v>343299.785760344</v>
      </c>
      <c r="G15" s="149">
        <f>+G9-G10-G14</f>
        <v>248547.714246272</v>
      </c>
      <c r="H15" s="149">
        <f t="shared" si="0"/>
        <v>1451543.84121684</v>
      </c>
      <c r="S15" s="150" t="s">
        <v>81</v>
      </c>
      <c r="AI15" s="146" t="s">
        <v>82</v>
      </c>
      <c r="AJ15" s="150" t="s">
        <v>81</v>
      </c>
    </row>
    <row r="16" spans="1:36">
      <c r="A16" s="135">
        <v>10</v>
      </c>
      <c r="B16" s="146" t="s">
        <v>83</v>
      </c>
      <c r="C16" s="151">
        <f>+C15/C9</f>
        <v>0.623210188339126</v>
      </c>
      <c r="D16" s="151">
        <f>+D15/D9</f>
        <v>0.599710366842444</v>
      </c>
      <c r="E16" s="151">
        <f>+E15/E9</f>
        <v>0.491276891811118</v>
      </c>
      <c r="F16" s="151">
        <f>+F15/F9</f>
        <v>0.706872679982589</v>
      </c>
      <c r="G16" s="151">
        <f>+G15/G9</f>
        <v>0.51177308043955</v>
      </c>
      <c r="H16" s="151">
        <f>+H15/H9</f>
        <v>0.599286757263719</v>
      </c>
      <c r="S16" s="146" t="s">
        <v>83</v>
      </c>
      <c r="AI16" s="146" t="s">
        <v>84</v>
      </c>
      <c r="AJ16" s="146" t="s">
        <v>83</v>
      </c>
    </row>
    <row r="17" spans="1:36">
      <c r="A17" s="135">
        <v>11</v>
      </c>
      <c r="B17" s="146" t="s">
        <v>85</v>
      </c>
      <c r="C17" s="149">
        <f>C6*C43+C18</f>
        <v>19280.4546053881</v>
      </c>
      <c r="D17" s="149">
        <f>D6*D43+D18</f>
        <v>17178.485978</v>
      </c>
      <c r="E17" s="149">
        <f>E6*E43+E18</f>
        <v>14240.2104</v>
      </c>
      <c r="F17" s="149">
        <f>F6*F43+F18</f>
        <v>14240.2104</v>
      </c>
      <c r="G17" s="149">
        <f>G6*G43+G18</f>
        <v>18381.68011896</v>
      </c>
      <c r="H17" s="149">
        <f>+SUM(C17:G17)</f>
        <v>83321.0415023481</v>
      </c>
      <c r="I17" s="163"/>
      <c r="S17" s="146" t="s">
        <v>85</v>
      </c>
      <c r="AI17" s="146" t="s">
        <v>86</v>
      </c>
      <c r="AJ17" s="146" t="s">
        <v>85</v>
      </c>
    </row>
    <row r="18" s="132" customFormat="1" spans="1:11">
      <c r="A18" s="135">
        <v>12</v>
      </c>
      <c r="B18" s="152" t="s">
        <v>168</v>
      </c>
      <c r="C18" s="153">
        <f>$H$18/$H$6*C6</f>
        <v>9614</v>
      </c>
      <c r="D18" s="153">
        <f>$H$18/$H$6*D6</f>
        <v>9614</v>
      </c>
      <c r="E18" s="153">
        <f>$H$18/$H$6*E6</f>
        <v>9614</v>
      </c>
      <c r="F18" s="153">
        <f>$H$18/$H$6*F6</f>
        <v>9614</v>
      </c>
      <c r="G18" s="153">
        <f>$H$18/$H$6*G6</f>
        <v>9614</v>
      </c>
      <c r="H18" s="149">
        <f>项目投资!E26</f>
        <v>48070</v>
      </c>
      <c r="I18" s="165" t="s">
        <v>169</v>
      </c>
      <c r="J18" s="165"/>
      <c r="K18" s="165"/>
    </row>
    <row r="19" spans="1:37">
      <c r="A19" s="135">
        <v>13</v>
      </c>
      <c r="B19" s="146" t="s">
        <v>87</v>
      </c>
      <c r="C19" s="149">
        <f>C6*C44</f>
        <v>1650.37029848089</v>
      </c>
      <c r="D19" s="149">
        <f>D6*D44</f>
        <v>1291.497606</v>
      </c>
      <c r="E19" s="149">
        <f>E6*E44</f>
        <v>789.8408</v>
      </c>
      <c r="F19" s="149">
        <f>F6*F44</f>
        <v>789.8408</v>
      </c>
      <c r="G19" s="149">
        <f>G6*G44</f>
        <v>1496.92099592</v>
      </c>
      <c r="H19" s="149">
        <f>+SUM(C19:G19)</f>
        <v>6018.47050040089</v>
      </c>
      <c r="I19" s="132"/>
      <c r="S19" s="146" t="s">
        <v>87</v>
      </c>
      <c r="AI19" s="146" t="s">
        <v>88</v>
      </c>
      <c r="AJ19" s="146" t="s">
        <v>87</v>
      </c>
      <c r="AK19" s="131" t="s">
        <v>60</v>
      </c>
    </row>
    <row r="20" spans="1:36">
      <c r="A20" s="135">
        <v>14</v>
      </c>
      <c r="B20" s="146" t="s">
        <v>89</v>
      </c>
      <c r="C20" s="149">
        <f>C6*C45</f>
        <v>8016.08430690718</v>
      </c>
      <c r="D20" s="149">
        <f>D6*D45</f>
        <v>6272.988372</v>
      </c>
      <c r="E20" s="149">
        <f>E6*E45</f>
        <v>3836.3696</v>
      </c>
      <c r="F20" s="149">
        <f>F6*F45</f>
        <v>3836.3696</v>
      </c>
      <c r="G20" s="149">
        <f>G6*G45</f>
        <v>7270.75912304</v>
      </c>
      <c r="H20" s="149">
        <f>+SUM(C20:G20)</f>
        <v>29232.5710019472</v>
      </c>
      <c r="S20" s="146" t="s">
        <v>89</v>
      </c>
      <c r="AI20" s="146" t="s">
        <v>90</v>
      </c>
      <c r="AJ20" s="146" t="s">
        <v>89</v>
      </c>
    </row>
    <row r="21" spans="1:36">
      <c r="A21" s="135">
        <v>15</v>
      </c>
      <c r="B21" s="146" t="s">
        <v>91</v>
      </c>
      <c r="C21" s="154">
        <f>$H$21/$H$6*C6</f>
        <v>3300</v>
      </c>
      <c r="D21" s="154">
        <f>$H$21/$H$6*D6</f>
        <v>3300</v>
      </c>
      <c r="E21" s="154">
        <f>$H$21/$H$6*E6</f>
        <v>3300</v>
      </c>
      <c r="F21" s="154">
        <f>$H$21/$H$6*F6</f>
        <v>3300</v>
      </c>
      <c r="G21" s="154">
        <f>$H$21/$H$6*G6</f>
        <v>3300</v>
      </c>
      <c r="H21" s="149">
        <f>项目投资!E27</f>
        <v>16500</v>
      </c>
      <c r="S21" s="146" t="s">
        <v>91</v>
      </c>
      <c r="AI21" s="146"/>
      <c r="AJ21" s="146"/>
    </row>
    <row r="22" spans="1:36">
      <c r="A22" s="135">
        <v>16</v>
      </c>
      <c r="B22" s="146" t="s">
        <v>92</v>
      </c>
      <c r="C22" s="149">
        <f>C6*C47</f>
        <v>7073.0155649181</v>
      </c>
      <c r="D22" s="149">
        <f>D6*D47</f>
        <v>5534.98974</v>
      </c>
      <c r="E22" s="149">
        <f>E6*E47</f>
        <v>3385.032</v>
      </c>
      <c r="F22" s="149">
        <f>F6*F47</f>
        <v>3385.032</v>
      </c>
      <c r="G22" s="149">
        <f>G6*G47</f>
        <v>6415.3756968</v>
      </c>
      <c r="H22" s="149">
        <f>+SUM(C22:G22)</f>
        <v>25793.4450017181</v>
      </c>
      <c r="S22" s="146" t="s">
        <v>92</v>
      </c>
      <c r="AI22" s="146" t="s">
        <v>93</v>
      </c>
      <c r="AJ22" s="146" t="s">
        <v>92</v>
      </c>
    </row>
    <row r="23" spans="1:36">
      <c r="A23" s="135">
        <v>17</v>
      </c>
      <c r="B23" s="150" t="s">
        <v>94</v>
      </c>
      <c r="C23" s="154">
        <f>+C22+C21+C20+C19+C17</f>
        <v>39319.9247756942</v>
      </c>
      <c r="D23" s="154">
        <f>+D22+D21+D20+D19+D17</f>
        <v>33577.961696</v>
      </c>
      <c r="E23" s="154">
        <f>+E22+E21+E20+E19+E17</f>
        <v>25551.4528</v>
      </c>
      <c r="F23" s="154">
        <f>+F22+F21+F20+F19+F17</f>
        <v>25551.4528</v>
      </c>
      <c r="G23" s="154">
        <f>+G22+G21+G20+G19+G17</f>
        <v>36864.73593472</v>
      </c>
      <c r="H23" s="154">
        <f>+H22+H21+H20+H19+H17</f>
        <v>160865.528006414</v>
      </c>
      <c r="S23" s="150" t="s">
        <v>94</v>
      </c>
      <c r="AI23" s="146" t="s">
        <v>95</v>
      </c>
      <c r="AJ23" s="150" t="s">
        <v>94</v>
      </c>
    </row>
    <row r="24" spans="1:36">
      <c r="A24" s="135">
        <v>18</v>
      </c>
      <c r="B24" s="155" t="s">
        <v>96</v>
      </c>
      <c r="C24" s="154">
        <f>+C15-C23</f>
        <v>393066.419944933</v>
      </c>
      <c r="D24" s="154">
        <f>+D15-D23</f>
        <v>272911.8175136</v>
      </c>
      <c r="E24" s="154">
        <f>+E15-E23</f>
        <v>95268.76448</v>
      </c>
      <c r="F24" s="154">
        <f>+F15-F23</f>
        <v>317748.332960344</v>
      </c>
      <c r="G24" s="154">
        <f>+G15-G23</f>
        <v>211682.978311552</v>
      </c>
      <c r="H24" s="154">
        <f>+H15-H23</f>
        <v>1290678.31321043</v>
      </c>
      <c r="J24" s="166"/>
      <c r="S24" s="146" t="s">
        <v>96</v>
      </c>
      <c r="AI24" s="146" t="s">
        <v>97</v>
      </c>
      <c r="AJ24" s="146" t="s">
        <v>96</v>
      </c>
    </row>
    <row r="25" spans="1:36">
      <c r="A25" s="135">
        <v>19</v>
      </c>
      <c r="B25" s="146" t="s">
        <v>170</v>
      </c>
      <c r="C25" s="154"/>
      <c r="D25" s="154"/>
      <c r="E25" s="154"/>
      <c r="F25" s="154"/>
      <c r="G25" s="154">
        <f>IF(G24&lt;0,0,G24*0.25)</f>
        <v>52920.744577888</v>
      </c>
      <c r="H25" s="154">
        <f>IF(H24&lt;0,0,H24*0.25)</f>
        <v>322669.578302607</v>
      </c>
      <c r="I25" s="2"/>
      <c r="J25" s="2"/>
      <c r="K25" s="2"/>
      <c r="S25" s="146" t="s">
        <v>38</v>
      </c>
      <c r="AI25" s="146" t="s">
        <v>98</v>
      </c>
      <c r="AJ25" s="146" t="s">
        <v>38</v>
      </c>
    </row>
    <row r="26" spans="1:36">
      <c r="A26" s="135">
        <v>20</v>
      </c>
      <c r="B26" s="146" t="s">
        <v>99</v>
      </c>
      <c r="C26" s="154">
        <f>C24-C25</f>
        <v>393066.419944933</v>
      </c>
      <c r="D26" s="154">
        <f>D24-D25</f>
        <v>272911.8175136</v>
      </c>
      <c r="E26" s="154">
        <f>E24-E25</f>
        <v>95268.76448</v>
      </c>
      <c r="F26" s="154">
        <f>F24-F25</f>
        <v>317748.332960344</v>
      </c>
      <c r="G26" s="154">
        <f>G24-G25</f>
        <v>158762.233733664</v>
      </c>
      <c r="H26" s="149">
        <f>+SUM(C26:G26)</f>
        <v>1237757.56863254</v>
      </c>
      <c r="I26" s="2"/>
      <c r="J26" s="2"/>
      <c r="K26" s="2"/>
      <c r="S26" s="146" t="s">
        <v>99</v>
      </c>
      <c r="AI26" s="146" t="s">
        <v>100</v>
      </c>
      <c r="AJ26" s="146" t="s">
        <v>99</v>
      </c>
    </row>
    <row r="27" spans="1:36">
      <c r="A27" s="135">
        <v>21</v>
      </c>
      <c r="B27" s="146" t="s">
        <v>103</v>
      </c>
      <c r="C27" s="156">
        <f>C26/C7</f>
        <v>0.566537312277849</v>
      </c>
      <c r="D27" s="156">
        <f>D26/D7</f>
        <v>0.5340081702522</v>
      </c>
      <c r="E27" s="156">
        <f>E26/E7</f>
        <v>0.387380055706682</v>
      </c>
      <c r="F27" s="156">
        <f>F26/F7</f>
        <v>0.654260867603558</v>
      </c>
      <c r="G27" s="156">
        <f>G26/G7</f>
        <v>0.326899958270527</v>
      </c>
      <c r="H27" s="157">
        <f>H26/H7</f>
        <v>0.511022608151185</v>
      </c>
      <c r="I27" s="2"/>
      <c r="J27" s="2"/>
      <c r="K27" s="2"/>
      <c r="S27" s="146" t="s">
        <v>103</v>
      </c>
      <c r="AI27" s="146" t="s">
        <v>102</v>
      </c>
      <c r="AJ27" s="146" t="s">
        <v>103</v>
      </c>
    </row>
    <row r="28" spans="9:19">
      <c r="I28" s="2"/>
      <c r="J28" s="2"/>
      <c r="K28" s="2"/>
      <c r="S28" s="146"/>
    </row>
    <row r="29" spans="1:35">
      <c r="A29" s="131" t="s">
        <v>104</v>
      </c>
      <c r="H29" s="134" t="s">
        <v>171</v>
      </c>
      <c r="I29" s="2"/>
      <c r="J29" s="2"/>
      <c r="K29" s="2"/>
      <c r="S29" s="146"/>
      <c r="AI29" s="131" t="s">
        <v>104</v>
      </c>
    </row>
    <row r="30" spans="1:36">
      <c r="A30" s="146" t="s">
        <v>105</v>
      </c>
      <c r="B30" s="150" t="s">
        <v>106</v>
      </c>
      <c r="C30" s="154"/>
      <c r="D30" s="154"/>
      <c r="E30" s="154"/>
      <c r="F30" s="154"/>
      <c r="G30" s="154"/>
      <c r="H30" s="154"/>
      <c r="I30" s="2"/>
      <c r="J30" s="2"/>
      <c r="K30" s="2"/>
      <c r="M30" s="2"/>
      <c r="S30" s="150" t="s">
        <v>106</v>
      </c>
      <c r="AI30" s="146" t="s">
        <v>107</v>
      </c>
      <c r="AJ30" s="150" t="s">
        <v>106</v>
      </c>
    </row>
    <row r="31" spans="1:36">
      <c r="A31" s="135">
        <v>1</v>
      </c>
      <c r="B31" s="152" t="s">
        <v>108</v>
      </c>
      <c r="C31" s="158">
        <f>销量!C8</f>
        <v>991.15</v>
      </c>
      <c r="D31" s="158">
        <f>销量!D8</f>
        <v>730.09</v>
      </c>
      <c r="E31" s="158">
        <f>销量!E8</f>
        <v>351.33</v>
      </c>
      <c r="F31" s="158">
        <f>销量!F8</f>
        <v>693.8</v>
      </c>
      <c r="G31" s="158">
        <f>销量!G8</f>
        <v>693.8</v>
      </c>
      <c r="H31" s="154"/>
      <c r="I31" s="2"/>
      <c r="J31" s="2"/>
      <c r="K31" s="2"/>
      <c r="M31" s="2"/>
      <c r="S31" s="146" t="s">
        <v>108</v>
      </c>
      <c r="AI31" s="146" t="s">
        <v>62</v>
      </c>
      <c r="AJ31" s="146" t="s">
        <v>108</v>
      </c>
    </row>
    <row r="32" spans="1:36">
      <c r="A32" s="135">
        <v>2</v>
      </c>
      <c r="B32" s="146" t="s">
        <v>172</v>
      </c>
      <c r="C32" s="149">
        <f>C31*1</f>
        <v>991.15</v>
      </c>
      <c r="D32" s="149">
        <f>D31*1</f>
        <v>730.09</v>
      </c>
      <c r="E32" s="149">
        <f>E31*1</f>
        <v>351.33</v>
      </c>
      <c r="F32" s="149">
        <f>F31*1</f>
        <v>693.8</v>
      </c>
      <c r="G32" s="149">
        <f>G31*1</f>
        <v>693.8</v>
      </c>
      <c r="H32" s="154"/>
      <c r="I32" s="2"/>
      <c r="J32" s="2"/>
      <c r="K32" s="2"/>
      <c r="L32" s="2"/>
      <c r="M32" s="2"/>
      <c r="N32" s="2"/>
      <c r="O32" s="2"/>
      <c r="AI32" s="146"/>
      <c r="AJ32" s="146"/>
    </row>
    <row r="33" spans="1:36">
      <c r="A33" s="135">
        <v>3</v>
      </c>
      <c r="B33" s="152" t="s">
        <v>109</v>
      </c>
      <c r="C33" s="149">
        <f>材料成本!D26</f>
        <v>336.8102649961</v>
      </c>
      <c r="D33" s="149">
        <f>材料成本!E26</f>
        <v>263.57094</v>
      </c>
      <c r="E33" s="149">
        <f>材料成本!F26</f>
        <v>161.192</v>
      </c>
      <c r="F33" s="149">
        <f>材料成本!G26</f>
        <v>184.8158568</v>
      </c>
      <c r="G33" s="149">
        <f>材料成本!H26</f>
        <v>305.4940808</v>
      </c>
      <c r="H33" s="154"/>
      <c r="J33" s="2"/>
      <c r="K33" s="2"/>
      <c r="L33" s="2"/>
      <c r="M33" s="2"/>
      <c r="N33" s="2"/>
      <c r="O33" s="2"/>
      <c r="S33" s="146" t="s">
        <v>109</v>
      </c>
      <c r="AI33" s="146" t="s">
        <v>64</v>
      </c>
      <c r="AJ33" s="146" t="s">
        <v>109</v>
      </c>
    </row>
    <row r="34" ht="17.25" customHeight="1" spans="1:36">
      <c r="A34" s="135">
        <v>4</v>
      </c>
      <c r="B34" s="146" t="s">
        <v>111</v>
      </c>
      <c r="C34" s="159">
        <f>C32-C33</f>
        <v>654.3397350039</v>
      </c>
      <c r="D34" s="159">
        <f>D32-D33</f>
        <v>466.51906</v>
      </c>
      <c r="E34" s="159">
        <f>E32-E33</f>
        <v>190.138</v>
      </c>
      <c r="F34" s="159">
        <f>F32-F33</f>
        <v>508.9841432</v>
      </c>
      <c r="G34" s="159">
        <f>G32-G33</f>
        <v>388.3059192</v>
      </c>
      <c r="H34" s="154"/>
      <c r="J34" s="2"/>
      <c r="K34" s="2"/>
      <c r="L34" s="2"/>
      <c r="M34" s="2"/>
      <c r="N34" s="2"/>
      <c r="O34" s="2"/>
      <c r="S34" s="146" t="s">
        <v>111</v>
      </c>
      <c r="AI34" s="146" t="s">
        <v>110</v>
      </c>
      <c r="AJ34" s="146" t="s">
        <v>111</v>
      </c>
    </row>
    <row r="35" spans="1:36">
      <c r="A35" s="146" t="s">
        <v>107</v>
      </c>
      <c r="B35" s="150" t="s">
        <v>10</v>
      </c>
      <c r="C35" s="154"/>
      <c r="D35" s="154"/>
      <c r="E35" s="154"/>
      <c r="F35" s="154"/>
      <c r="G35" s="154"/>
      <c r="H35" s="154"/>
      <c r="I35" s="2"/>
      <c r="J35" s="2"/>
      <c r="K35" s="2"/>
      <c r="L35" s="2"/>
      <c r="M35" s="2"/>
      <c r="N35" s="2"/>
      <c r="O35" s="2"/>
      <c r="P35" s="2"/>
      <c r="Q35" s="2"/>
      <c r="R35" s="2"/>
      <c r="S35" s="150" t="s">
        <v>10</v>
      </c>
      <c r="AI35" s="146" t="s">
        <v>113</v>
      </c>
      <c r="AJ35" s="150" t="s">
        <v>10</v>
      </c>
    </row>
    <row r="36" spans="1:36">
      <c r="A36" s="135">
        <v>1</v>
      </c>
      <c r="B36" s="146" t="s">
        <v>114</v>
      </c>
      <c r="C36" s="153">
        <f>标准成本!E4</f>
        <v>14.5165224213319</v>
      </c>
      <c r="D36" s="153">
        <f>标准成本!E16</f>
        <v>11.359907514</v>
      </c>
      <c r="E36" s="153">
        <f>标准成本!E29</f>
        <v>6.9473752</v>
      </c>
      <c r="F36" s="153">
        <f>标准成本!E42</f>
        <v>7.96556342808</v>
      </c>
      <c r="G36" s="153">
        <f>标准成本!E55</f>
        <v>13.16679488248</v>
      </c>
      <c r="H36" s="158"/>
      <c r="I36" s="2"/>
      <c r="J36" s="2"/>
      <c r="K36" s="2"/>
      <c r="L36" s="2"/>
      <c r="M36" s="2"/>
      <c r="N36" s="2"/>
      <c r="O36" s="2"/>
      <c r="P36" s="2"/>
      <c r="Q36" s="2"/>
      <c r="R36" s="2"/>
      <c r="S36" s="146" t="s">
        <v>114</v>
      </c>
      <c r="AI36" s="146" t="s">
        <v>110</v>
      </c>
      <c r="AJ36" s="146" t="s">
        <v>114</v>
      </c>
    </row>
    <row r="37" spans="1:36">
      <c r="A37" s="135">
        <v>2</v>
      </c>
      <c r="B37" s="146" t="s">
        <v>115</v>
      </c>
      <c r="C37" s="153">
        <f>标准成本!E6</f>
        <v>7.30878275041537</v>
      </c>
      <c r="D37" s="153">
        <f>标准成本!E18</f>
        <v>5.719489398</v>
      </c>
      <c r="E37" s="153">
        <f>标准成本!E31</f>
        <v>3.4978664</v>
      </c>
      <c r="F37" s="153">
        <f>标准成本!E44</f>
        <v>3.4978664</v>
      </c>
      <c r="G37" s="153">
        <f>标准成本!E57</f>
        <v>6.62922155336</v>
      </c>
      <c r="H37" s="158"/>
      <c r="I37" s="2"/>
      <c r="J37" s="2"/>
      <c r="K37" s="2"/>
      <c r="L37" s="2"/>
      <c r="M37" s="2"/>
      <c r="N37" s="2"/>
      <c r="O37" s="2"/>
      <c r="P37" s="2"/>
      <c r="Q37" s="2"/>
      <c r="R37" s="2"/>
      <c r="S37" s="146" t="s">
        <v>115</v>
      </c>
      <c r="AI37" s="146" t="s">
        <v>67</v>
      </c>
      <c r="AJ37" s="146" t="s">
        <v>115</v>
      </c>
    </row>
    <row r="38" spans="1:36">
      <c r="A38" s="135">
        <v>3</v>
      </c>
      <c r="B38" s="146" t="s">
        <v>116</v>
      </c>
      <c r="C38" s="153">
        <f>标准成本!E10</f>
        <v>14.8196516598284</v>
      </c>
      <c r="D38" s="153">
        <f>标准成本!E22</f>
        <v>11.59712136</v>
      </c>
      <c r="E38" s="153">
        <f>标准成本!E35</f>
        <v>7.092448</v>
      </c>
      <c r="F38" s="153">
        <f>标准成本!E48</f>
        <v>7.092448</v>
      </c>
      <c r="G38" s="153">
        <f>标准成本!E61</f>
        <v>13.4417395552</v>
      </c>
      <c r="H38" s="158"/>
      <c r="I38" s="2"/>
      <c r="J38" s="2"/>
      <c r="K38" s="2"/>
      <c r="L38" s="2"/>
      <c r="M38" s="2"/>
      <c r="N38" s="2"/>
      <c r="O38" s="2"/>
      <c r="P38" s="2"/>
      <c r="Q38" s="2"/>
      <c r="R38" s="2"/>
      <c r="S38" s="146" t="s">
        <v>116</v>
      </c>
      <c r="AI38" s="146" t="s">
        <v>74</v>
      </c>
      <c r="AJ38" s="146" t="s">
        <v>116</v>
      </c>
    </row>
    <row r="39" spans="1:36">
      <c r="A39" s="146" t="s">
        <v>113</v>
      </c>
      <c r="B39" s="150" t="s">
        <v>118</v>
      </c>
      <c r="C39" s="154"/>
      <c r="D39" s="154"/>
      <c r="E39" s="154"/>
      <c r="F39" s="154"/>
      <c r="G39" s="154"/>
      <c r="H39" s="154"/>
      <c r="S39" s="150" t="s">
        <v>118</v>
      </c>
      <c r="AI39" s="146" t="s">
        <v>117</v>
      </c>
      <c r="AJ39" s="150" t="s">
        <v>118</v>
      </c>
    </row>
    <row r="40" spans="1:36">
      <c r="A40" s="135">
        <v>1</v>
      </c>
      <c r="B40" s="146" t="s">
        <v>120</v>
      </c>
      <c r="C40" s="154">
        <f>C34-C36-C37-C38</f>
        <v>617.694778172324</v>
      </c>
      <c r="D40" s="154">
        <f>D34-D36-D37-D38</f>
        <v>437.842541728</v>
      </c>
      <c r="E40" s="154">
        <f>E34-E36-E37-E38</f>
        <v>172.6003104</v>
      </c>
      <c r="F40" s="154">
        <f>F34-F36-F37-F38</f>
        <v>490.42826537192</v>
      </c>
      <c r="G40" s="154">
        <f>G34-G36-G37-G38</f>
        <v>355.06816320896</v>
      </c>
      <c r="H40" s="154"/>
      <c r="S40" s="146" t="s">
        <v>120</v>
      </c>
      <c r="AI40" s="146" t="s">
        <v>62</v>
      </c>
      <c r="AJ40" s="146" t="s">
        <v>120</v>
      </c>
    </row>
    <row r="41" spans="1:36">
      <c r="A41" s="135">
        <v>2</v>
      </c>
      <c r="B41" s="146" t="s">
        <v>121</v>
      </c>
      <c r="C41" s="154"/>
      <c r="D41" s="154"/>
      <c r="E41" s="154"/>
      <c r="F41" s="154"/>
      <c r="G41" s="154"/>
      <c r="H41" s="154"/>
      <c r="S41" s="146" t="s">
        <v>121</v>
      </c>
      <c r="AI41" s="146" t="s">
        <v>64</v>
      </c>
      <c r="AJ41" s="146" t="s">
        <v>121</v>
      </c>
    </row>
    <row r="42" spans="1:36">
      <c r="A42" s="146" t="s">
        <v>117</v>
      </c>
      <c r="B42" s="150" t="s">
        <v>123</v>
      </c>
      <c r="C42" s="154"/>
      <c r="D42" s="154"/>
      <c r="E42" s="154"/>
      <c r="F42" s="154"/>
      <c r="G42" s="154"/>
      <c r="H42" s="154"/>
      <c r="S42" s="150" t="s">
        <v>123</v>
      </c>
      <c r="AI42" s="146" t="s">
        <v>122</v>
      </c>
      <c r="AJ42" s="150" t="s">
        <v>123</v>
      </c>
    </row>
    <row r="43" spans="1:36">
      <c r="A43" s="135">
        <v>1</v>
      </c>
      <c r="B43" s="155" t="s">
        <v>124</v>
      </c>
      <c r="C43" s="153">
        <f>标准成本!E5</f>
        <v>13.8092208648401</v>
      </c>
      <c r="D43" s="153">
        <f>标准成本!E17</f>
        <v>10.80640854</v>
      </c>
      <c r="E43" s="153">
        <f>标准成本!E30</f>
        <v>6.608872</v>
      </c>
      <c r="F43" s="153">
        <f>标准成本!E43</f>
        <v>6.608872</v>
      </c>
      <c r="G43" s="153">
        <f>标准成本!E56</f>
        <v>12.5252573128</v>
      </c>
      <c r="H43" s="154"/>
      <c r="S43" s="146" t="s">
        <v>124</v>
      </c>
      <c r="AI43" s="146" t="s">
        <v>62</v>
      </c>
      <c r="AJ43" s="146" t="s">
        <v>124</v>
      </c>
    </row>
    <row r="44" spans="1:36">
      <c r="A44" s="135">
        <v>2</v>
      </c>
      <c r="B44" s="155" t="s">
        <v>125</v>
      </c>
      <c r="C44" s="153">
        <f>标准成本!E9</f>
        <v>2.3576718549727</v>
      </c>
      <c r="D44" s="153">
        <f>标准成本!E21</f>
        <v>1.84499658</v>
      </c>
      <c r="E44" s="153">
        <f>标准成本!E34</f>
        <v>1.128344</v>
      </c>
      <c r="F44" s="153">
        <f>标准成本!E47</f>
        <v>1.128344</v>
      </c>
      <c r="G44" s="153">
        <f>标准成本!E60</f>
        <v>2.1384585656</v>
      </c>
      <c r="H44" s="154"/>
      <c r="S44" s="146" t="s">
        <v>125</v>
      </c>
      <c r="AI44" s="146" t="s">
        <v>64</v>
      </c>
      <c r="AJ44" s="146" t="s">
        <v>125</v>
      </c>
    </row>
    <row r="45" spans="1:36">
      <c r="A45" s="135">
        <v>3</v>
      </c>
      <c r="B45" s="155" t="s">
        <v>126</v>
      </c>
      <c r="C45" s="153">
        <f>标准成本!E8</f>
        <v>11.4515490098674</v>
      </c>
      <c r="D45" s="153">
        <f>标准成本!E20</f>
        <v>8.96141196</v>
      </c>
      <c r="E45" s="153">
        <f>标准成本!E33</f>
        <v>5.480528</v>
      </c>
      <c r="F45" s="153">
        <f>标准成本!E46</f>
        <v>5.480528</v>
      </c>
      <c r="G45" s="153">
        <f>标准成本!E59</f>
        <v>10.3867987472</v>
      </c>
      <c r="H45" s="154"/>
      <c r="S45" s="146" t="s">
        <v>126</v>
      </c>
      <c r="AI45" s="146" t="s">
        <v>110</v>
      </c>
      <c r="AJ45" s="146" t="s">
        <v>126</v>
      </c>
    </row>
    <row r="46" s="133" customFormat="1" spans="1:36">
      <c r="A46" s="135">
        <v>4</v>
      </c>
      <c r="B46" s="155" t="s">
        <v>127</v>
      </c>
      <c r="C46" s="160">
        <f>C21/C6</f>
        <v>4.71428571428571</v>
      </c>
      <c r="D46" s="160">
        <f>D21/D6</f>
        <v>4.71428571428571</v>
      </c>
      <c r="E46" s="160">
        <f>E21/E6</f>
        <v>4.71428571428571</v>
      </c>
      <c r="F46" s="160">
        <f>F21/F6</f>
        <v>4.71428571428571</v>
      </c>
      <c r="G46" s="160">
        <f>G21/G6</f>
        <v>4.71428571428571</v>
      </c>
      <c r="H46" s="160"/>
      <c r="S46" s="155" t="s">
        <v>129</v>
      </c>
      <c r="AI46" s="155" t="s">
        <v>70</v>
      </c>
      <c r="AJ46" s="155" t="s">
        <v>129</v>
      </c>
    </row>
    <row r="47" s="133" customFormat="1" spans="1:36">
      <c r="A47" s="135">
        <v>5</v>
      </c>
      <c r="B47" s="155" t="s">
        <v>129</v>
      </c>
      <c r="C47" s="160">
        <f>标准成本!E11</f>
        <v>10.104307949883</v>
      </c>
      <c r="D47" s="160">
        <f>标准成本!E23</f>
        <v>7.9071282</v>
      </c>
      <c r="E47" s="160">
        <f>标准成本!E36</f>
        <v>4.83576</v>
      </c>
      <c r="F47" s="160">
        <f>标准成本!E49</f>
        <v>4.83576</v>
      </c>
      <c r="G47" s="160">
        <f>标准成本!E62</f>
        <v>9.164822424</v>
      </c>
      <c r="H47" s="160"/>
      <c r="S47" s="155" t="s">
        <v>129</v>
      </c>
      <c r="AI47" s="155" t="s">
        <v>70</v>
      </c>
      <c r="AJ47" s="155" t="s">
        <v>129</v>
      </c>
    </row>
    <row r="48" spans="1:36">
      <c r="A48" s="146" t="s">
        <v>122</v>
      </c>
      <c r="B48" s="150" t="s">
        <v>140</v>
      </c>
      <c r="C48" s="154">
        <f>C40-C43-C44-C45-C47-C46</f>
        <v>575.257742778475</v>
      </c>
      <c r="D48" s="154">
        <f>D40-D43-D44-D45-D47-D46</f>
        <v>403.608310733714</v>
      </c>
      <c r="E48" s="154">
        <f>E40-E43-E44-E45-E47-E46</f>
        <v>149.832520685714</v>
      </c>
      <c r="F48" s="154">
        <f>F40-F43-F44-F45-F47-F46</f>
        <v>467.660475657634</v>
      </c>
      <c r="G48" s="154">
        <f>G40-G43-G44-G45-G47-G46</f>
        <v>316.138540445074</v>
      </c>
      <c r="H48" s="154"/>
      <c r="S48" s="150" t="s">
        <v>140</v>
      </c>
      <c r="AI48" s="146" t="s">
        <v>139</v>
      </c>
      <c r="AJ48" s="150" t="s">
        <v>140</v>
      </c>
    </row>
    <row r="51" spans="3:7">
      <c r="C51" s="161"/>
      <c r="D51" s="161"/>
      <c r="E51" s="161"/>
      <c r="F51" s="161"/>
      <c r="G51" s="161"/>
    </row>
    <row r="54" spans="2:13">
      <c r="B54" s="2"/>
      <c r="C54" s="162"/>
      <c r="D54" s="162"/>
      <c r="E54" s="162"/>
      <c r="F54" s="162"/>
      <c r="G54" s="162"/>
      <c r="H54" s="162"/>
      <c r="I54" s="2"/>
      <c r="J54" s="2"/>
      <c r="K54" s="2"/>
      <c r="L54" s="2"/>
      <c r="M54" s="2"/>
    </row>
    <row r="55" spans="2:13">
      <c r="B55" s="2"/>
      <c r="C55" s="162"/>
      <c r="D55" s="162"/>
      <c r="E55" s="162"/>
      <c r="F55" s="162"/>
      <c r="G55" s="162"/>
      <c r="H55" s="162"/>
      <c r="I55" s="2"/>
      <c r="J55" s="2"/>
      <c r="K55" s="2"/>
      <c r="L55" s="2"/>
      <c r="M55" s="2"/>
    </row>
    <row r="56" spans="2:13">
      <c r="B56" s="2"/>
      <c r="C56" s="162"/>
      <c r="D56" s="162"/>
      <c r="E56" s="162"/>
      <c r="F56" s="162"/>
      <c r="G56" s="162"/>
      <c r="H56" s="162"/>
      <c r="I56" s="2"/>
      <c r="J56" s="2"/>
      <c r="K56" s="2"/>
      <c r="L56" s="2"/>
      <c r="M56" s="2"/>
    </row>
    <row r="57" spans="2:13">
      <c r="B57" s="2"/>
      <c r="C57" s="162"/>
      <c r="D57" s="162"/>
      <c r="E57" s="162"/>
      <c r="F57" s="162"/>
      <c r="G57" s="162"/>
      <c r="H57" s="162"/>
      <c r="I57" s="2"/>
      <c r="J57" s="2"/>
      <c r="K57" s="2"/>
      <c r="L57" s="2"/>
      <c r="M57" s="2"/>
    </row>
    <row r="58" spans="2:13">
      <c r="B58" s="2"/>
      <c r="C58" s="162"/>
      <c r="D58" s="162"/>
      <c r="E58" s="162"/>
      <c r="F58" s="162"/>
      <c r="G58" s="162"/>
      <c r="H58" s="162"/>
      <c r="I58" s="2"/>
      <c r="J58" s="2"/>
      <c r="K58" s="2"/>
      <c r="L58" s="2"/>
      <c r="M58" s="2"/>
    </row>
    <row r="59" spans="2:13">
      <c r="B59" s="2"/>
      <c r="C59" s="162"/>
      <c r="D59" s="162"/>
      <c r="E59" s="162"/>
      <c r="F59" s="162"/>
      <c r="G59" s="162"/>
      <c r="H59" s="162"/>
      <c r="I59" s="2"/>
      <c r="J59" s="2"/>
      <c r="K59" s="2"/>
      <c r="L59" s="2"/>
      <c r="M59" s="2"/>
    </row>
    <row r="60" spans="2:13">
      <c r="B60" s="2"/>
      <c r="C60" s="162"/>
      <c r="D60" s="162"/>
      <c r="E60" s="162"/>
      <c r="F60" s="162"/>
      <c r="G60" s="162"/>
      <c r="H60" s="162"/>
      <c r="I60" s="2"/>
      <c r="J60" s="2"/>
      <c r="K60" s="2"/>
      <c r="L60" s="2"/>
      <c r="M60" s="2"/>
    </row>
    <row r="61" spans="2:13">
      <c r="B61" s="2"/>
      <c r="C61" s="162"/>
      <c r="D61" s="162"/>
      <c r="E61" s="162"/>
      <c r="F61" s="162"/>
      <c r="G61" s="162"/>
      <c r="H61" s="162"/>
      <c r="I61" s="2"/>
      <c r="J61" s="2"/>
      <c r="K61" s="2"/>
      <c r="L61" s="2"/>
      <c r="M61" s="2"/>
    </row>
    <row r="62" spans="2:13">
      <c r="B62" s="2"/>
      <c r="C62" s="162"/>
      <c r="D62" s="162"/>
      <c r="E62" s="162"/>
      <c r="F62" s="162"/>
      <c r="G62" s="162"/>
      <c r="H62" s="162"/>
      <c r="I62" s="2"/>
      <c r="J62" s="2"/>
      <c r="K62" s="2"/>
      <c r="L62" s="2"/>
      <c r="M62" s="2"/>
    </row>
    <row r="63" spans="2:13">
      <c r="B63" s="2"/>
      <c r="C63" s="162"/>
      <c r="D63" s="162"/>
      <c r="E63" s="162"/>
      <c r="F63" s="162"/>
      <c r="G63" s="162"/>
      <c r="H63" s="162"/>
      <c r="I63" s="2"/>
      <c r="J63" s="2"/>
      <c r="K63" s="2"/>
      <c r="L63" s="2"/>
      <c r="M63" s="2"/>
    </row>
    <row r="64" spans="2:13">
      <c r="B64" s="2"/>
      <c r="C64" s="162"/>
      <c r="D64" s="162"/>
      <c r="E64" s="162"/>
      <c r="F64" s="162"/>
      <c r="G64" s="162"/>
      <c r="H64" s="162"/>
      <c r="I64" s="2"/>
      <c r="J64" s="2"/>
      <c r="K64" s="2"/>
      <c r="L64" s="2"/>
      <c r="M64" s="2"/>
    </row>
    <row r="65" spans="2:13">
      <c r="B65" s="2"/>
      <c r="C65" s="162"/>
      <c r="D65" s="162"/>
      <c r="E65" s="162"/>
      <c r="F65" s="162"/>
      <c r="G65" s="162"/>
      <c r="H65" s="162"/>
      <c r="I65" s="2"/>
      <c r="J65" s="2"/>
      <c r="K65" s="2"/>
      <c r="L65" s="2"/>
      <c r="M65" s="2"/>
    </row>
    <row r="66" spans="2:13">
      <c r="B66" s="2"/>
      <c r="C66" s="162"/>
      <c r="D66" s="162"/>
      <c r="E66" s="162"/>
      <c r="F66" s="162"/>
      <c r="G66" s="162"/>
      <c r="H66" s="162"/>
      <c r="I66" s="2"/>
      <c r="J66" s="2"/>
      <c r="K66" s="2"/>
      <c r="L66" s="2"/>
      <c r="M66" s="2"/>
    </row>
    <row r="67" spans="2:9">
      <c r="B67" s="2"/>
      <c r="C67" s="162"/>
      <c r="D67" s="162"/>
      <c r="E67" s="162"/>
      <c r="F67" s="162"/>
      <c r="G67" s="162"/>
      <c r="H67" s="162"/>
      <c r="I67" s="2"/>
    </row>
    <row r="68" spans="2:9">
      <c r="B68" s="2"/>
      <c r="C68" s="162"/>
      <c r="D68" s="162"/>
      <c r="E68" s="162"/>
      <c r="F68" s="162"/>
      <c r="G68" s="162"/>
      <c r="H68" s="162"/>
      <c r="I68" s="2"/>
    </row>
    <row r="69" spans="2:9">
      <c r="B69" s="2"/>
      <c r="C69" s="162"/>
      <c r="D69" s="162"/>
      <c r="E69" s="162"/>
      <c r="F69" s="162"/>
      <c r="G69" s="162"/>
      <c r="H69" s="162"/>
      <c r="I69" s="2"/>
    </row>
    <row r="70" spans="2:9">
      <c r="B70" s="2"/>
      <c r="C70" s="162"/>
      <c r="D70" s="162"/>
      <c r="E70" s="162"/>
      <c r="F70" s="162"/>
      <c r="G70" s="162"/>
      <c r="H70" s="162"/>
      <c r="I70" s="2"/>
    </row>
    <row r="71" spans="2:9">
      <c r="B71" s="2"/>
      <c r="C71" s="162"/>
      <c r="D71" s="162"/>
      <c r="E71" s="162"/>
      <c r="F71" s="162"/>
      <c r="G71" s="162"/>
      <c r="H71" s="162"/>
      <c r="I71" s="2"/>
    </row>
    <row r="72" spans="2:9">
      <c r="B72" s="2"/>
      <c r="C72" s="162"/>
      <c r="D72" s="162"/>
      <c r="E72" s="162"/>
      <c r="F72" s="162"/>
      <c r="G72" s="162"/>
      <c r="H72" s="162"/>
      <c r="I72" s="2"/>
    </row>
    <row r="73" spans="2:9">
      <c r="B73" s="2"/>
      <c r="C73" s="162"/>
      <c r="D73" s="162"/>
      <c r="E73" s="162"/>
      <c r="F73" s="162"/>
      <c r="G73" s="162"/>
      <c r="H73" s="162"/>
      <c r="I73" s="2"/>
    </row>
    <row r="74" spans="2:9">
      <c r="B74" s="2"/>
      <c r="C74" s="162"/>
      <c r="D74" s="162"/>
      <c r="E74" s="162"/>
      <c r="F74" s="162"/>
      <c r="G74" s="162"/>
      <c r="H74" s="162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zoomScale="85" zoomScaleNormal="85" workbookViewId="0">
      <pane xSplit="2" ySplit="7" topLeftCell="C32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5"/>
  <cols>
    <col min="1" max="1" width="5.12727272727273" style="131" customWidth="1"/>
    <col min="2" max="2" width="17.5" style="131" customWidth="1"/>
    <col min="3" max="7" width="11.7545454545455" style="134" customWidth="1"/>
    <col min="8" max="8" width="18.7545454545455" style="134" customWidth="1"/>
    <col min="9" max="9" width="12.3727272727273" style="131" customWidth="1"/>
    <col min="10" max="10" width="10.1272727272727" style="131" customWidth="1"/>
    <col min="11" max="17" width="9" style="131" customWidth="1"/>
    <col min="18" max="34" width="9" style="131"/>
    <col min="35" max="35" width="4.37272727272727" style="131" customWidth="1"/>
    <col min="36" max="36" width="13.8727272727273" style="131" customWidth="1"/>
    <col min="37" max="16384" width="9" style="131"/>
  </cols>
  <sheetData>
    <row r="1" spans="1:8">
      <c r="A1" s="135" t="s">
        <v>150</v>
      </c>
      <c r="B1" s="135"/>
      <c r="C1" s="136" t="s">
        <v>174</v>
      </c>
      <c r="D1" s="137"/>
      <c r="E1" s="137"/>
      <c r="F1" s="137"/>
      <c r="G1" s="137"/>
      <c r="H1" s="138"/>
    </row>
    <row r="2" spans="1:8">
      <c r="A2" s="135" t="s">
        <v>152</v>
      </c>
      <c r="B2" s="135"/>
      <c r="C2" s="139" t="s">
        <v>153</v>
      </c>
      <c r="D2" s="139"/>
      <c r="E2" s="139"/>
      <c r="F2" s="139"/>
      <c r="G2" s="139"/>
      <c r="H2" s="139"/>
    </row>
    <row r="3" ht="43.5" spans="1:8">
      <c r="A3" s="135" t="s">
        <v>154</v>
      </c>
      <c r="B3" s="135"/>
      <c r="C3" s="140" t="s">
        <v>155</v>
      </c>
      <c r="D3" s="140" t="s">
        <v>156</v>
      </c>
      <c r="E3" s="140" t="s">
        <v>157</v>
      </c>
      <c r="F3" s="140" t="s">
        <v>158</v>
      </c>
      <c r="G3" s="140" t="s">
        <v>159</v>
      </c>
      <c r="H3" s="141" t="s">
        <v>58</v>
      </c>
    </row>
    <row r="4" ht="29" spans="1:8">
      <c r="A4" s="135" t="s">
        <v>160</v>
      </c>
      <c r="B4" s="135"/>
      <c r="C4" s="140" t="s">
        <v>161</v>
      </c>
      <c r="D4" s="142" t="s">
        <v>162</v>
      </c>
      <c r="E4" s="142" t="s">
        <v>163</v>
      </c>
      <c r="F4" s="142" t="s">
        <v>164</v>
      </c>
      <c r="G4" s="142" t="s">
        <v>165</v>
      </c>
      <c r="H4" s="143"/>
    </row>
    <row r="5" spans="1:37">
      <c r="A5" s="135" t="s">
        <v>166</v>
      </c>
      <c r="B5" s="135"/>
      <c r="C5" s="144"/>
      <c r="D5" s="144"/>
      <c r="E5" s="142"/>
      <c r="F5" s="142"/>
      <c r="G5" s="144"/>
      <c r="H5" s="145"/>
      <c r="AK5" s="131" t="s">
        <v>59</v>
      </c>
    </row>
    <row r="6" ht="16.5" spans="1:37">
      <c r="A6" s="146" t="s">
        <v>21</v>
      </c>
      <c r="B6" s="147" t="s">
        <v>167</v>
      </c>
      <c r="C6" s="167">
        <f>销量!C11</f>
        <v>800</v>
      </c>
      <c r="D6" s="167">
        <f>销量!D11</f>
        <v>800</v>
      </c>
      <c r="E6" s="167">
        <f>销量!E11</f>
        <v>800</v>
      </c>
      <c r="F6" s="167">
        <f>销量!F11</f>
        <v>800</v>
      </c>
      <c r="G6" s="167">
        <f>销量!G11</f>
        <v>800</v>
      </c>
      <c r="H6" s="149">
        <f t="shared" ref="H6:H15" si="0">+SUM(C6:G6)</f>
        <v>4000</v>
      </c>
      <c r="S6" s="147" t="s">
        <v>3</v>
      </c>
      <c r="AI6" s="146" t="s">
        <v>21</v>
      </c>
      <c r="AJ6" s="147" t="s">
        <v>3</v>
      </c>
      <c r="AK6" s="131" t="s">
        <v>60</v>
      </c>
    </row>
    <row r="7" spans="1:37">
      <c r="A7" s="135">
        <v>1</v>
      </c>
      <c r="B7" s="147" t="s">
        <v>61</v>
      </c>
      <c r="C7" s="149">
        <f>C6*销量!C8</f>
        <v>792920</v>
      </c>
      <c r="D7" s="149">
        <f>D6*销量!D8</f>
        <v>584072</v>
      </c>
      <c r="E7" s="149">
        <f>E6*销量!E8</f>
        <v>281064</v>
      </c>
      <c r="F7" s="149">
        <f>F6*销量!F8</f>
        <v>555040</v>
      </c>
      <c r="G7" s="149">
        <f>G6*销量!G8</f>
        <v>555040</v>
      </c>
      <c r="H7" s="149">
        <f t="shared" si="0"/>
        <v>2768136</v>
      </c>
      <c r="I7" s="134"/>
      <c r="S7" s="147" t="s">
        <v>61</v>
      </c>
      <c r="AI7" s="146" t="s">
        <v>62</v>
      </c>
      <c r="AJ7" s="147" t="s">
        <v>61</v>
      </c>
      <c r="AK7" s="131" t="s">
        <v>60</v>
      </c>
    </row>
    <row r="8" spans="1:37">
      <c r="A8" s="135">
        <v>2</v>
      </c>
      <c r="B8" s="135" t="s">
        <v>63</v>
      </c>
      <c r="C8" s="149">
        <f>C7*(1-销量!$K$8)</f>
        <v>0</v>
      </c>
      <c r="D8" s="149">
        <f>D7*(1-销量!$K$8)</f>
        <v>0</v>
      </c>
      <c r="E8" s="149">
        <f>E7*(1-销量!$K$8)</f>
        <v>0</v>
      </c>
      <c r="F8" s="149">
        <f>F7*(1-销量!$K$8)</f>
        <v>0</v>
      </c>
      <c r="G8" s="149">
        <f>G7*(1-销量!$K$8)</f>
        <v>0</v>
      </c>
      <c r="H8" s="149">
        <f t="shared" si="0"/>
        <v>0</v>
      </c>
      <c r="I8" s="163"/>
      <c r="S8" s="135" t="s">
        <v>65</v>
      </c>
      <c r="AI8" s="146" t="s">
        <v>64</v>
      </c>
      <c r="AJ8" s="135" t="s">
        <v>65</v>
      </c>
      <c r="AK8" s="131" t="s">
        <v>60</v>
      </c>
    </row>
    <row r="9" spans="1:37">
      <c r="A9" s="135">
        <v>3</v>
      </c>
      <c r="B9" s="147" t="s">
        <v>66</v>
      </c>
      <c r="C9" s="149">
        <f>+C7-C8</f>
        <v>792920</v>
      </c>
      <c r="D9" s="149">
        <f>+D7-D8</f>
        <v>584072</v>
      </c>
      <c r="E9" s="149">
        <f>+E7-E8</f>
        <v>281064</v>
      </c>
      <c r="F9" s="149">
        <f>+F7-F8</f>
        <v>555040</v>
      </c>
      <c r="G9" s="149">
        <f>+G7-G8</f>
        <v>555040</v>
      </c>
      <c r="H9" s="149">
        <f t="shared" si="0"/>
        <v>2768136</v>
      </c>
      <c r="S9" s="147" t="s">
        <v>66</v>
      </c>
      <c r="AI9" s="146" t="s">
        <v>67</v>
      </c>
      <c r="AJ9" s="147" t="s">
        <v>66</v>
      </c>
      <c r="AK9" s="131" t="s">
        <v>68</v>
      </c>
    </row>
    <row r="10" spans="1:37">
      <c r="A10" s="135">
        <v>4</v>
      </c>
      <c r="B10" s="146" t="s">
        <v>71</v>
      </c>
      <c r="C10" s="149">
        <f>C6*C33</f>
        <v>269448.21199688</v>
      </c>
      <c r="D10" s="149">
        <f>D6*D33</f>
        <v>210856.752</v>
      </c>
      <c r="E10" s="149">
        <f>E6*E33</f>
        <v>128953.6</v>
      </c>
      <c r="F10" s="149">
        <f>F6*F33</f>
        <v>147852.68544</v>
      </c>
      <c r="G10" s="149">
        <f>G6*G33</f>
        <v>244395.26464</v>
      </c>
      <c r="H10" s="149">
        <f t="shared" si="0"/>
        <v>1001506.51407688</v>
      </c>
      <c r="S10" s="146" t="s">
        <v>71</v>
      </c>
      <c r="AI10" s="146" t="s">
        <v>70</v>
      </c>
      <c r="AJ10" s="146" t="s">
        <v>71</v>
      </c>
      <c r="AK10" s="131" t="s">
        <v>72</v>
      </c>
    </row>
    <row r="11" spans="1:36">
      <c r="A11" s="135">
        <v>5</v>
      </c>
      <c r="B11" s="146" t="s">
        <v>73</v>
      </c>
      <c r="C11" s="149">
        <f>+C6*C36</f>
        <v>11613.2179370655</v>
      </c>
      <c r="D11" s="149">
        <f>+D6*D36</f>
        <v>9087.9260112</v>
      </c>
      <c r="E11" s="149">
        <f>+E6*E36</f>
        <v>5557.90016</v>
      </c>
      <c r="F11" s="149">
        <f>+F6*F36</f>
        <v>6372.450742464</v>
      </c>
      <c r="G11" s="149">
        <f>+G6*G36</f>
        <v>10533.435905984</v>
      </c>
      <c r="H11" s="149">
        <f t="shared" si="0"/>
        <v>43164.9307567135</v>
      </c>
      <c r="S11" s="146" t="s">
        <v>73</v>
      </c>
      <c r="AI11" s="146" t="s">
        <v>74</v>
      </c>
      <c r="AJ11" s="146" t="s">
        <v>73</v>
      </c>
    </row>
    <row r="12" spans="1:36">
      <c r="A12" s="135">
        <v>6</v>
      </c>
      <c r="B12" s="146" t="s">
        <v>75</v>
      </c>
      <c r="C12" s="149">
        <f>+C6*C37</f>
        <v>5847.0262003323</v>
      </c>
      <c r="D12" s="149">
        <f>+D6*D37</f>
        <v>4575.5915184</v>
      </c>
      <c r="E12" s="149">
        <f>+E6*E37</f>
        <v>2798.29312</v>
      </c>
      <c r="F12" s="149">
        <f>+F6*F37</f>
        <v>2798.29312</v>
      </c>
      <c r="G12" s="149">
        <f>+G6*G37</f>
        <v>5303.377242688</v>
      </c>
      <c r="H12" s="149">
        <f t="shared" si="0"/>
        <v>21322.5812014203</v>
      </c>
      <c r="S12" s="146" t="s">
        <v>75</v>
      </c>
      <c r="AI12" s="146" t="s">
        <v>76</v>
      </c>
      <c r="AJ12" s="146" t="s">
        <v>75</v>
      </c>
    </row>
    <row r="13" spans="1:37">
      <c r="A13" s="135">
        <v>7</v>
      </c>
      <c r="B13" s="146" t="s">
        <v>77</v>
      </c>
      <c r="C13" s="149">
        <f>+C6*C38</f>
        <v>11855.7213278627</v>
      </c>
      <c r="D13" s="149">
        <f>+D6*D38</f>
        <v>9277.697088</v>
      </c>
      <c r="E13" s="149">
        <f>+E6*E38</f>
        <v>5673.9584</v>
      </c>
      <c r="F13" s="149">
        <f>+F6*F38</f>
        <v>5673.9584</v>
      </c>
      <c r="G13" s="149">
        <f>+G6*G38</f>
        <v>10753.39164416</v>
      </c>
      <c r="H13" s="149">
        <f t="shared" si="0"/>
        <v>43234.7268600227</v>
      </c>
      <c r="S13" s="146" t="s">
        <v>77</v>
      </c>
      <c r="AI13" s="146" t="s">
        <v>78</v>
      </c>
      <c r="AJ13" s="146" t="s">
        <v>77</v>
      </c>
      <c r="AK13" s="131" t="s">
        <v>60</v>
      </c>
    </row>
    <row r="14" spans="1:36">
      <c r="A14" s="135">
        <v>8</v>
      </c>
      <c r="B14" s="150" t="s">
        <v>79</v>
      </c>
      <c r="C14" s="149">
        <f>SUM(C11:C13)</f>
        <v>29315.9654652605</v>
      </c>
      <c r="D14" s="149">
        <f>SUM(D11:D13)</f>
        <v>22941.2146176</v>
      </c>
      <c r="E14" s="149">
        <f>SUM(E11:E13)</f>
        <v>14030.15168</v>
      </c>
      <c r="F14" s="149">
        <f>SUM(F11:F13)</f>
        <v>14844.702262464</v>
      </c>
      <c r="G14" s="149">
        <f>SUM(G11:G13)</f>
        <v>26590.204792832</v>
      </c>
      <c r="H14" s="149">
        <f t="shared" si="0"/>
        <v>107722.238818157</v>
      </c>
      <c r="S14" s="150" t="s">
        <v>79</v>
      </c>
      <c r="AI14" s="146" t="s">
        <v>80</v>
      </c>
      <c r="AJ14" s="150" t="s">
        <v>79</v>
      </c>
    </row>
    <row r="15" spans="1:36">
      <c r="A15" s="135">
        <v>9</v>
      </c>
      <c r="B15" s="150" t="s">
        <v>81</v>
      </c>
      <c r="C15" s="149">
        <f>+C9-C10-C14</f>
        <v>494155.822537859</v>
      </c>
      <c r="D15" s="149">
        <f>+D9-D10-D14</f>
        <v>350274.0333824</v>
      </c>
      <c r="E15" s="149">
        <f>+E9-E10-E14</f>
        <v>138080.24832</v>
      </c>
      <c r="F15" s="149">
        <f>+F9-F10-F14</f>
        <v>392342.612297536</v>
      </c>
      <c r="G15" s="149">
        <f>+G9-G10-G14</f>
        <v>284054.530567168</v>
      </c>
      <c r="H15" s="149">
        <f t="shared" si="0"/>
        <v>1658907.24710496</v>
      </c>
      <c r="S15" s="150" t="s">
        <v>81</v>
      </c>
      <c r="AI15" s="146" t="s">
        <v>82</v>
      </c>
      <c r="AJ15" s="150" t="s">
        <v>81</v>
      </c>
    </row>
    <row r="16" spans="1:36">
      <c r="A16" s="135">
        <v>10</v>
      </c>
      <c r="B16" s="146" t="s">
        <v>83</v>
      </c>
      <c r="C16" s="151">
        <f>+C15/C9</f>
        <v>0.623210188339126</v>
      </c>
      <c r="D16" s="151">
        <f>+D15/D9</f>
        <v>0.599710366842444</v>
      </c>
      <c r="E16" s="151">
        <f>+E15/E9</f>
        <v>0.491276891811118</v>
      </c>
      <c r="F16" s="151">
        <f>+F15/F9</f>
        <v>0.706872679982589</v>
      </c>
      <c r="G16" s="151">
        <f>+G15/G9</f>
        <v>0.51177308043955</v>
      </c>
      <c r="H16" s="151">
        <f>+H15/H9</f>
        <v>0.599286757263719</v>
      </c>
      <c r="I16" s="164"/>
      <c r="J16" s="164"/>
      <c r="K16" s="164"/>
      <c r="S16" s="146" t="s">
        <v>83</v>
      </c>
      <c r="AI16" s="146" t="s">
        <v>84</v>
      </c>
      <c r="AJ16" s="146" t="s">
        <v>83</v>
      </c>
    </row>
    <row r="17" spans="1:36">
      <c r="A17" s="135">
        <v>11</v>
      </c>
      <c r="B17" s="146" t="s">
        <v>85</v>
      </c>
      <c r="C17" s="149">
        <f>C6*C43+C18</f>
        <v>20661.3766918721</v>
      </c>
      <c r="D17" s="149">
        <f>D6*D43+D18</f>
        <v>18259.126832</v>
      </c>
      <c r="E17" s="149">
        <f>E6*E43+E18</f>
        <v>14901.0976</v>
      </c>
      <c r="F17" s="149">
        <f>F6*F43+F18</f>
        <v>14901.0976</v>
      </c>
      <c r="G17" s="149">
        <f>G6*G43+G18</f>
        <v>19634.20585024</v>
      </c>
      <c r="H17" s="149">
        <f>+SUM(C17:G17)</f>
        <v>88356.9045741121</v>
      </c>
      <c r="I17" s="163"/>
      <c r="S17" s="146" t="s">
        <v>85</v>
      </c>
      <c r="AI17" s="146" t="s">
        <v>86</v>
      </c>
      <c r="AJ17" s="146" t="s">
        <v>85</v>
      </c>
    </row>
    <row r="18" s="132" customFormat="1" spans="1:11">
      <c r="A18" s="135">
        <v>12</v>
      </c>
      <c r="B18" s="152" t="s">
        <v>168</v>
      </c>
      <c r="C18" s="153">
        <f>$H$18/$H$6*C6</f>
        <v>9614</v>
      </c>
      <c r="D18" s="153">
        <f>$H$18/$H$6*D6</f>
        <v>9614</v>
      </c>
      <c r="E18" s="153">
        <f>$H$18/$H$6*E6</f>
        <v>9614</v>
      </c>
      <c r="F18" s="153">
        <f>$H$18/$H$6*F6</f>
        <v>9614</v>
      </c>
      <c r="G18" s="153">
        <f>$H$18/$H$6*G6</f>
        <v>9614</v>
      </c>
      <c r="H18" s="149">
        <f>项目投资!F26</f>
        <v>48070</v>
      </c>
      <c r="I18" s="165" t="s">
        <v>169</v>
      </c>
      <c r="J18" s="165"/>
      <c r="K18" s="165"/>
    </row>
    <row r="19" spans="1:37">
      <c r="A19" s="135">
        <v>13</v>
      </c>
      <c r="B19" s="146" t="s">
        <v>87</v>
      </c>
      <c r="C19" s="149">
        <f>C6*C44</f>
        <v>1886.13748397816</v>
      </c>
      <c r="D19" s="149">
        <f>D6*D44</f>
        <v>1475.997264</v>
      </c>
      <c r="E19" s="149">
        <f>E6*E44</f>
        <v>902.6752</v>
      </c>
      <c r="F19" s="149">
        <f>F6*F44</f>
        <v>902.6752</v>
      </c>
      <c r="G19" s="149">
        <f>G6*G44</f>
        <v>1710.76685248</v>
      </c>
      <c r="H19" s="149">
        <f>+SUM(C19:G19)</f>
        <v>6878.25200045816</v>
      </c>
      <c r="I19" s="132"/>
      <c r="S19" s="146" t="s">
        <v>87</v>
      </c>
      <c r="AI19" s="146" t="s">
        <v>88</v>
      </c>
      <c r="AJ19" s="146" t="s">
        <v>87</v>
      </c>
      <c r="AK19" s="131" t="s">
        <v>60</v>
      </c>
    </row>
    <row r="20" spans="1:36">
      <c r="A20" s="135">
        <v>14</v>
      </c>
      <c r="B20" s="146" t="s">
        <v>89</v>
      </c>
      <c r="C20" s="149">
        <f>C6*C45</f>
        <v>9161.23920789392</v>
      </c>
      <c r="D20" s="149">
        <f>D6*D45</f>
        <v>7169.129568</v>
      </c>
      <c r="E20" s="149">
        <f>E6*E45</f>
        <v>4384.4224</v>
      </c>
      <c r="F20" s="149">
        <f>F6*F45</f>
        <v>4384.4224</v>
      </c>
      <c r="G20" s="149">
        <f>G6*G45</f>
        <v>8309.43899776</v>
      </c>
      <c r="H20" s="149">
        <f>+SUM(C20:G20)</f>
        <v>33408.6525736539</v>
      </c>
      <c r="S20" s="146" t="s">
        <v>89</v>
      </c>
      <c r="AI20" s="146" t="s">
        <v>90</v>
      </c>
      <c r="AJ20" s="146" t="s">
        <v>89</v>
      </c>
    </row>
    <row r="21" spans="1:36">
      <c r="A21" s="135">
        <v>15</v>
      </c>
      <c r="B21" s="146" t="s">
        <v>91</v>
      </c>
      <c r="C21" s="154">
        <f>$H$21/$H$6*C6</f>
        <v>3300</v>
      </c>
      <c r="D21" s="154">
        <f>$H$21/$H$6*D6</f>
        <v>3300</v>
      </c>
      <c r="E21" s="154">
        <f>$H$21/$H$6*E6</f>
        <v>3300</v>
      </c>
      <c r="F21" s="154">
        <f>$H$21/$H$6*F6</f>
        <v>3300</v>
      </c>
      <c r="G21" s="154">
        <f>$H$21/$H$6*G6</f>
        <v>3300</v>
      </c>
      <c r="H21" s="149">
        <f>项目投资!F27</f>
        <v>16500</v>
      </c>
      <c r="S21" s="146" t="s">
        <v>91</v>
      </c>
      <c r="AI21" s="146"/>
      <c r="AJ21" s="146"/>
    </row>
    <row r="22" spans="1:36">
      <c r="A22" s="135">
        <v>16</v>
      </c>
      <c r="B22" s="146" t="s">
        <v>92</v>
      </c>
      <c r="C22" s="149">
        <f>C6*C47</f>
        <v>8083.4463599064</v>
      </c>
      <c r="D22" s="149">
        <f>D6*D47</f>
        <v>6325.70256</v>
      </c>
      <c r="E22" s="149">
        <f>E6*E47</f>
        <v>3868.608</v>
      </c>
      <c r="F22" s="149">
        <f>F6*F47</f>
        <v>3868.608</v>
      </c>
      <c r="G22" s="149">
        <f>G6*G47</f>
        <v>7331.8579392</v>
      </c>
      <c r="H22" s="149">
        <f>+SUM(C22:G22)</f>
        <v>29478.2228591064</v>
      </c>
      <c r="S22" s="146" t="s">
        <v>92</v>
      </c>
      <c r="AI22" s="146" t="s">
        <v>93</v>
      </c>
      <c r="AJ22" s="146" t="s">
        <v>92</v>
      </c>
    </row>
    <row r="23" spans="1:36">
      <c r="A23" s="135">
        <v>17</v>
      </c>
      <c r="B23" s="150" t="s">
        <v>94</v>
      </c>
      <c r="C23" s="154">
        <f>+C22+C21+C20+C19+C17</f>
        <v>43092.1997436506</v>
      </c>
      <c r="D23" s="154">
        <f>+D22+D21+D20+D19+D17</f>
        <v>36529.956224</v>
      </c>
      <c r="E23" s="154">
        <f>+E22+E21+E20+E19+E17</f>
        <v>27356.8032</v>
      </c>
      <c r="F23" s="154">
        <f>+F22+F21+F20+F19+F17</f>
        <v>27356.8032</v>
      </c>
      <c r="G23" s="154">
        <f>+G22+G21+G20+G19+G17</f>
        <v>40286.26963968</v>
      </c>
      <c r="H23" s="154">
        <f>+H22+H21+H20+H19+H17</f>
        <v>174622.032007331</v>
      </c>
      <c r="S23" s="150" t="s">
        <v>94</v>
      </c>
      <c r="AI23" s="146" t="s">
        <v>95</v>
      </c>
      <c r="AJ23" s="150" t="s">
        <v>94</v>
      </c>
    </row>
    <row r="24" spans="1:36">
      <c r="A24" s="135">
        <v>18</v>
      </c>
      <c r="B24" s="155" t="s">
        <v>96</v>
      </c>
      <c r="C24" s="154">
        <f>+C15-C23</f>
        <v>451063.622794209</v>
      </c>
      <c r="D24" s="154">
        <f>+D15-D23</f>
        <v>313744.0771584</v>
      </c>
      <c r="E24" s="154">
        <f>+E15-E23</f>
        <v>110723.44512</v>
      </c>
      <c r="F24" s="154">
        <f>+F15-F23</f>
        <v>364985.809097536</v>
      </c>
      <c r="G24" s="154">
        <f>+G15-G23</f>
        <v>243768.260927488</v>
      </c>
      <c r="H24" s="154">
        <f>+H15-H23</f>
        <v>1484285.21509763</v>
      </c>
      <c r="J24" s="166"/>
      <c r="S24" s="146" t="s">
        <v>96</v>
      </c>
      <c r="AI24" s="146" t="s">
        <v>97</v>
      </c>
      <c r="AJ24" s="146" t="s">
        <v>96</v>
      </c>
    </row>
    <row r="25" spans="1:36">
      <c r="A25" s="135">
        <v>19</v>
      </c>
      <c r="B25" s="146" t="s">
        <v>170</v>
      </c>
      <c r="C25" s="154"/>
      <c r="D25" s="154"/>
      <c r="E25" s="154"/>
      <c r="F25" s="154"/>
      <c r="G25" s="154">
        <f>IF(G24&lt;0,0,G24*0.25)</f>
        <v>60942.065231872</v>
      </c>
      <c r="H25" s="154">
        <f>IF(H24&lt;0,0,H24*0.25)</f>
        <v>371071.303774408</v>
      </c>
      <c r="I25" s="2"/>
      <c r="J25" s="2"/>
      <c r="K25" s="2"/>
      <c r="S25" s="146" t="s">
        <v>38</v>
      </c>
      <c r="AI25" s="146" t="s">
        <v>98</v>
      </c>
      <c r="AJ25" s="146" t="s">
        <v>38</v>
      </c>
    </row>
    <row r="26" spans="1:36">
      <c r="A26" s="135">
        <v>20</v>
      </c>
      <c r="B26" s="146" t="s">
        <v>99</v>
      </c>
      <c r="C26" s="154">
        <f>C24-C25</f>
        <v>451063.622794209</v>
      </c>
      <c r="D26" s="154">
        <f>D24-D25</f>
        <v>313744.0771584</v>
      </c>
      <c r="E26" s="154">
        <f>E24-E25</f>
        <v>110723.44512</v>
      </c>
      <c r="F26" s="154">
        <f>F24-F25</f>
        <v>364985.809097536</v>
      </c>
      <c r="G26" s="154">
        <f>G24-G25</f>
        <v>182826.195695616</v>
      </c>
      <c r="H26" s="149">
        <f>+SUM(C26:G26)</f>
        <v>1423343.14986576</v>
      </c>
      <c r="I26" s="2"/>
      <c r="J26" s="2"/>
      <c r="K26" s="2"/>
      <c r="S26" s="146" t="s">
        <v>99</v>
      </c>
      <c r="AI26" s="146" t="s">
        <v>100</v>
      </c>
      <c r="AJ26" s="146" t="s">
        <v>99</v>
      </c>
    </row>
    <row r="27" spans="1:36">
      <c r="A27" s="135">
        <v>21</v>
      </c>
      <c r="B27" s="146" t="s">
        <v>103</v>
      </c>
      <c r="C27" s="156">
        <f>C26/C7</f>
        <v>0.568863974668578</v>
      </c>
      <c r="D27" s="156">
        <f>D26/D7</f>
        <v>0.537166782791163</v>
      </c>
      <c r="E27" s="156">
        <f>E26/E7</f>
        <v>0.393943888651695</v>
      </c>
      <c r="F27" s="156">
        <f>F26/F7</f>
        <v>0.657584694972499</v>
      </c>
      <c r="G27" s="156">
        <f>G26/G7</f>
        <v>0.329392828797233</v>
      </c>
      <c r="H27" s="157">
        <f>H26/H7</f>
        <v>0.51418830211585</v>
      </c>
      <c r="I27" s="2"/>
      <c r="J27" s="2"/>
      <c r="K27" s="2"/>
      <c r="S27" s="146" t="s">
        <v>103</v>
      </c>
      <c r="AI27" s="146" t="s">
        <v>102</v>
      </c>
      <c r="AJ27" s="146" t="s">
        <v>103</v>
      </c>
    </row>
    <row r="28" spans="9:19">
      <c r="I28" s="2"/>
      <c r="J28" s="2"/>
      <c r="K28" s="2"/>
      <c r="S28" s="146"/>
    </row>
    <row r="29" spans="1:35">
      <c r="A29" s="131" t="s">
        <v>104</v>
      </c>
      <c r="H29" s="134" t="s">
        <v>171</v>
      </c>
      <c r="I29" s="2"/>
      <c r="J29" s="2"/>
      <c r="K29" s="2"/>
      <c r="S29" s="146"/>
      <c r="AI29" s="131" t="s">
        <v>104</v>
      </c>
    </row>
    <row r="30" spans="1:36">
      <c r="A30" s="146" t="s">
        <v>105</v>
      </c>
      <c r="B30" s="150" t="s">
        <v>106</v>
      </c>
      <c r="C30" s="154"/>
      <c r="D30" s="154"/>
      <c r="E30" s="154"/>
      <c r="F30" s="154"/>
      <c r="G30" s="154"/>
      <c r="H30" s="154"/>
      <c r="I30" s="2"/>
      <c r="J30" s="2"/>
      <c r="K30" s="2"/>
      <c r="M30" s="2"/>
      <c r="S30" s="150" t="s">
        <v>106</v>
      </c>
      <c r="AI30" s="146" t="s">
        <v>107</v>
      </c>
      <c r="AJ30" s="150" t="s">
        <v>106</v>
      </c>
    </row>
    <row r="31" spans="1:36">
      <c r="A31" s="135">
        <v>1</v>
      </c>
      <c r="B31" s="152" t="s">
        <v>108</v>
      </c>
      <c r="C31" s="158">
        <f>销量!C8</f>
        <v>991.15</v>
      </c>
      <c r="D31" s="158">
        <f>销量!D8</f>
        <v>730.09</v>
      </c>
      <c r="E31" s="158">
        <f>销量!E8</f>
        <v>351.33</v>
      </c>
      <c r="F31" s="158">
        <f>销量!F8</f>
        <v>693.8</v>
      </c>
      <c r="G31" s="158">
        <f>销量!G8</f>
        <v>693.8</v>
      </c>
      <c r="H31" s="154"/>
      <c r="I31" s="2"/>
      <c r="J31" s="2"/>
      <c r="K31" s="2"/>
      <c r="M31" s="2"/>
      <c r="S31" s="146" t="s">
        <v>108</v>
      </c>
      <c r="AI31" s="146" t="s">
        <v>62</v>
      </c>
      <c r="AJ31" s="146" t="s">
        <v>108</v>
      </c>
    </row>
    <row r="32" spans="1:36">
      <c r="A32" s="135">
        <v>2</v>
      </c>
      <c r="B32" s="146" t="s">
        <v>172</v>
      </c>
      <c r="C32" s="149">
        <f>C31*1</f>
        <v>991.15</v>
      </c>
      <c r="D32" s="149">
        <f>D31*1</f>
        <v>730.09</v>
      </c>
      <c r="E32" s="149">
        <f>E31*1</f>
        <v>351.33</v>
      </c>
      <c r="F32" s="149">
        <f>F31*1</f>
        <v>693.8</v>
      </c>
      <c r="G32" s="149">
        <f>G31*1</f>
        <v>693.8</v>
      </c>
      <c r="H32" s="154"/>
      <c r="I32" s="2"/>
      <c r="J32" s="2"/>
      <c r="K32" s="2"/>
      <c r="L32" s="2"/>
      <c r="M32" s="2"/>
      <c r="N32" s="2"/>
      <c r="O32" s="2"/>
      <c r="AI32" s="146"/>
      <c r="AJ32" s="146"/>
    </row>
    <row r="33" spans="1:36">
      <c r="A33" s="135">
        <v>3</v>
      </c>
      <c r="B33" s="152" t="s">
        <v>109</v>
      </c>
      <c r="C33" s="149">
        <f>材料成本!D27</f>
        <v>336.8102649961</v>
      </c>
      <c r="D33" s="149">
        <f>材料成本!E27</f>
        <v>263.57094</v>
      </c>
      <c r="E33" s="149">
        <f>材料成本!F27</f>
        <v>161.192</v>
      </c>
      <c r="F33" s="149">
        <f>材料成本!G27</f>
        <v>184.8158568</v>
      </c>
      <c r="G33" s="149">
        <f>材料成本!H27</f>
        <v>305.4940808</v>
      </c>
      <c r="H33" s="154"/>
      <c r="J33" s="2"/>
      <c r="K33" s="2"/>
      <c r="L33" s="2"/>
      <c r="M33" s="2"/>
      <c r="N33" s="2"/>
      <c r="O33" s="2"/>
      <c r="S33" s="146" t="s">
        <v>109</v>
      </c>
      <c r="AI33" s="146" t="s">
        <v>64</v>
      </c>
      <c r="AJ33" s="146" t="s">
        <v>109</v>
      </c>
    </row>
    <row r="34" ht="17.25" customHeight="1" spans="1:36">
      <c r="A34" s="135">
        <v>4</v>
      </c>
      <c r="B34" s="146" t="s">
        <v>111</v>
      </c>
      <c r="C34" s="159">
        <f>C32-C33</f>
        <v>654.3397350039</v>
      </c>
      <c r="D34" s="159">
        <f>D32-D33</f>
        <v>466.51906</v>
      </c>
      <c r="E34" s="159">
        <f>E32-E33</f>
        <v>190.138</v>
      </c>
      <c r="F34" s="159">
        <f>F32-F33</f>
        <v>508.9841432</v>
      </c>
      <c r="G34" s="159">
        <f>G32-G33</f>
        <v>388.3059192</v>
      </c>
      <c r="H34" s="154"/>
      <c r="J34" s="2"/>
      <c r="K34" s="2"/>
      <c r="L34" s="2"/>
      <c r="M34" s="2"/>
      <c r="N34" s="2"/>
      <c r="O34" s="2"/>
      <c r="S34" s="146" t="s">
        <v>111</v>
      </c>
      <c r="AI34" s="146" t="s">
        <v>110</v>
      </c>
      <c r="AJ34" s="146" t="s">
        <v>111</v>
      </c>
    </row>
    <row r="35" spans="1:36">
      <c r="A35" s="146" t="s">
        <v>107</v>
      </c>
      <c r="B35" s="150" t="s">
        <v>10</v>
      </c>
      <c r="C35" s="154"/>
      <c r="D35" s="154"/>
      <c r="E35" s="154"/>
      <c r="F35" s="154"/>
      <c r="G35" s="154"/>
      <c r="H35" s="154"/>
      <c r="I35" s="2"/>
      <c r="J35" s="2"/>
      <c r="K35" s="2"/>
      <c r="L35" s="2"/>
      <c r="M35" s="2"/>
      <c r="N35" s="2"/>
      <c r="O35" s="2"/>
      <c r="P35" s="2"/>
      <c r="Q35" s="2"/>
      <c r="R35" s="2"/>
      <c r="S35" s="150" t="s">
        <v>10</v>
      </c>
      <c r="AI35" s="146" t="s">
        <v>113</v>
      </c>
      <c r="AJ35" s="150" t="s">
        <v>10</v>
      </c>
    </row>
    <row r="36" spans="1:36">
      <c r="A36" s="135">
        <v>1</v>
      </c>
      <c r="B36" s="146" t="s">
        <v>114</v>
      </c>
      <c r="C36" s="153">
        <f>标准成本!E4</f>
        <v>14.5165224213319</v>
      </c>
      <c r="D36" s="153">
        <f>标准成本!E16</f>
        <v>11.359907514</v>
      </c>
      <c r="E36" s="153">
        <f>标准成本!E29</f>
        <v>6.9473752</v>
      </c>
      <c r="F36" s="153">
        <f>标准成本!E42</f>
        <v>7.96556342808</v>
      </c>
      <c r="G36" s="153">
        <f>标准成本!E55</f>
        <v>13.16679488248</v>
      </c>
      <c r="H36" s="158"/>
      <c r="I36" s="2"/>
      <c r="J36" s="2"/>
      <c r="K36" s="2"/>
      <c r="L36" s="2"/>
      <c r="M36" s="2"/>
      <c r="N36" s="2"/>
      <c r="O36" s="2"/>
      <c r="P36" s="2"/>
      <c r="Q36" s="2"/>
      <c r="R36" s="2"/>
      <c r="S36" s="146" t="s">
        <v>114</v>
      </c>
      <c r="AI36" s="146" t="s">
        <v>110</v>
      </c>
      <c r="AJ36" s="146" t="s">
        <v>114</v>
      </c>
    </row>
    <row r="37" spans="1:36">
      <c r="A37" s="135">
        <v>2</v>
      </c>
      <c r="B37" s="146" t="s">
        <v>115</v>
      </c>
      <c r="C37" s="153">
        <f>标准成本!E6</f>
        <v>7.30878275041537</v>
      </c>
      <c r="D37" s="153">
        <f>标准成本!E18</f>
        <v>5.719489398</v>
      </c>
      <c r="E37" s="153">
        <f>标准成本!E31</f>
        <v>3.4978664</v>
      </c>
      <c r="F37" s="153">
        <f>标准成本!E44</f>
        <v>3.4978664</v>
      </c>
      <c r="G37" s="153">
        <f>标准成本!E57</f>
        <v>6.62922155336</v>
      </c>
      <c r="H37" s="158"/>
      <c r="I37" s="2"/>
      <c r="J37" s="2"/>
      <c r="K37" s="2"/>
      <c r="L37" s="2"/>
      <c r="M37" s="2"/>
      <c r="N37" s="2"/>
      <c r="O37" s="2"/>
      <c r="P37" s="2"/>
      <c r="Q37" s="2"/>
      <c r="R37" s="2"/>
      <c r="S37" s="146" t="s">
        <v>115</v>
      </c>
      <c r="AI37" s="146" t="s">
        <v>67</v>
      </c>
      <c r="AJ37" s="146" t="s">
        <v>115</v>
      </c>
    </row>
    <row r="38" spans="1:36">
      <c r="A38" s="135">
        <v>3</v>
      </c>
      <c r="B38" s="146" t="s">
        <v>116</v>
      </c>
      <c r="C38" s="153">
        <f>标准成本!E10</f>
        <v>14.8196516598284</v>
      </c>
      <c r="D38" s="153">
        <f>标准成本!E22</f>
        <v>11.59712136</v>
      </c>
      <c r="E38" s="153">
        <f>标准成本!E35</f>
        <v>7.092448</v>
      </c>
      <c r="F38" s="153">
        <f>标准成本!E48</f>
        <v>7.092448</v>
      </c>
      <c r="G38" s="153">
        <f>标准成本!E61</f>
        <v>13.4417395552</v>
      </c>
      <c r="H38" s="158"/>
      <c r="I38" s="2"/>
      <c r="J38" s="2"/>
      <c r="K38" s="2"/>
      <c r="L38" s="2"/>
      <c r="M38" s="2"/>
      <c r="N38" s="2"/>
      <c r="O38" s="2"/>
      <c r="P38" s="2"/>
      <c r="Q38" s="2"/>
      <c r="R38" s="2"/>
      <c r="S38" s="146" t="s">
        <v>116</v>
      </c>
      <c r="AI38" s="146" t="s">
        <v>74</v>
      </c>
      <c r="AJ38" s="146" t="s">
        <v>116</v>
      </c>
    </row>
    <row r="39" spans="1:36">
      <c r="A39" s="146" t="s">
        <v>113</v>
      </c>
      <c r="B39" s="150" t="s">
        <v>118</v>
      </c>
      <c r="C39" s="154"/>
      <c r="D39" s="154"/>
      <c r="E39" s="154"/>
      <c r="F39" s="154"/>
      <c r="G39" s="154"/>
      <c r="H39" s="154"/>
      <c r="S39" s="150" t="s">
        <v>118</v>
      </c>
      <c r="AI39" s="146" t="s">
        <v>117</v>
      </c>
      <c r="AJ39" s="150" t="s">
        <v>118</v>
      </c>
    </row>
    <row r="40" spans="1:36">
      <c r="A40" s="135">
        <v>1</v>
      </c>
      <c r="B40" s="146" t="s">
        <v>120</v>
      </c>
      <c r="C40" s="154">
        <f>C34-C36-C37-C38</f>
        <v>617.694778172324</v>
      </c>
      <c r="D40" s="154">
        <f>D34-D36-D37-D38</f>
        <v>437.842541728</v>
      </c>
      <c r="E40" s="154">
        <f>E34-E36-E37-E38</f>
        <v>172.6003104</v>
      </c>
      <c r="F40" s="154">
        <f>F34-F36-F37-F38</f>
        <v>490.42826537192</v>
      </c>
      <c r="G40" s="154">
        <f>G34-G36-G37-G38</f>
        <v>355.06816320896</v>
      </c>
      <c r="H40" s="154"/>
      <c r="S40" s="146" t="s">
        <v>120</v>
      </c>
      <c r="AI40" s="146" t="s">
        <v>62</v>
      </c>
      <c r="AJ40" s="146" t="s">
        <v>120</v>
      </c>
    </row>
    <row r="41" spans="1:36">
      <c r="A41" s="135">
        <v>2</v>
      </c>
      <c r="B41" s="146" t="s">
        <v>121</v>
      </c>
      <c r="C41" s="154"/>
      <c r="D41" s="154"/>
      <c r="E41" s="154"/>
      <c r="F41" s="154"/>
      <c r="G41" s="154"/>
      <c r="H41" s="154"/>
      <c r="S41" s="146" t="s">
        <v>121</v>
      </c>
      <c r="AI41" s="146" t="s">
        <v>64</v>
      </c>
      <c r="AJ41" s="146" t="s">
        <v>121</v>
      </c>
    </row>
    <row r="42" spans="1:36">
      <c r="A42" s="146" t="s">
        <v>117</v>
      </c>
      <c r="B42" s="150" t="s">
        <v>123</v>
      </c>
      <c r="C42" s="154"/>
      <c r="D42" s="154"/>
      <c r="E42" s="154"/>
      <c r="F42" s="154"/>
      <c r="G42" s="154"/>
      <c r="H42" s="154"/>
      <c r="S42" s="150" t="s">
        <v>123</v>
      </c>
      <c r="AI42" s="146" t="s">
        <v>122</v>
      </c>
      <c r="AJ42" s="150" t="s">
        <v>123</v>
      </c>
    </row>
    <row r="43" spans="1:36">
      <c r="A43" s="135">
        <v>1</v>
      </c>
      <c r="B43" s="155" t="s">
        <v>124</v>
      </c>
      <c r="C43" s="153">
        <f>标准成本!E5</f>
        <v>13.8092208648401</v>
      </c>
      <c r="D43" s="153">
        <f>标准成本!E17</f>
        <v>10.80640854</v>
      </c>
      <c r="E43" s="153">
        <f>标准成本!E30</f>
        <v>6.608872</v>
      </c>
      <c r="F43" s="153">
        <f>标准成本!E43</f>
        <v>6.608872</v>
      </c>
      <c r="G43" s="153">
        <f>标准成本!E56</f>
        <v>12.5252573128</v>
      </c>
      <c r="H43" s="154"/>
      <c r="S43" s="146" t="s">
        <v>124</v>
      </c>
      <c r="AI43" s="146" t="s">
        <v>62</v>
      </c>
      <c r="AJ43" s="146" t="s">
        <v>124</v>
      </c>
    </row>
    <row r="44" spans="1:36">
      <c r="A44" s="135">
        <v>2</v>
      </c>
      <c r="B44" s="155" t="s">
        <v>125</v>
      </c>
      <c r="C44" s="153">
        <f>标准成本!E9</f>
        <v>2.3576718549727</v>
      </c>
      <c r="D44" s="153">
        <f>标准成本!E21</f>
        <v>1.84499658</v>
      </c>
      <c r="E44" s="153">
        <f>标准成本!E34</f>
        <v>1.128344</v>
      </c>
      <c r="F44" s="153">
        <f>标准成本!E47</f>
        <v>1.128344</v>
      </c>
      <c r="G44" s="153">
        <f>标准成本!E60</f>
        <v>2.1384585656</v>
      </c>
      <c r="H44" s="154"/>
      <c r="S44" s="146" t="s">
        <v>125</v>
      </c>
      <c r="AI44" s="146" t="s">
        <v>64</v>
      </c>
      <c r="AJ44" s="146" t="s">
        <v>125</v>
      </c>
    </row>
    <row r="45" spans="1:36">
      <c r="A45" s="135">
        <v>3</v>
      </c>
      <c r="B45" s="155" t="s">
        <v>126</v>
      </c>
      <c r="C45" s="153">
        <f>标准成本!E8</f>
        <v>11.4515490098674</v>
      </c>
      <c r="D45" s="153">
        <f>标准成本!E20</f>
        <v>8.96141196</v>
      </c>
      <c r="E45" s="153">
        <f>标准成本!E33</f>
        <v>5.480528</v>
      </c>
      <c r="F45" s="153">
        <f>标准成本!E46</f>
        <v>5.480528</v>
      </c>
      <c r="G45" s="153">
        <f>标准成本!E59</f>
        <v>10.3867987472</v>
      </c>
      <c r="H45" s="154"/>
      <c r="S45" s="146" t="s">
        <v>126</v>
      </c>
      <c r="AI45" s="146" t="s">
        <v>110</v>
      </c>
      <c r="AJ45" s="146" t="s">
        <v>126</v>
      </c>
    </row>
    <row r="46" s="133" customFormat="1" spans="1:36">
      <c r="A46" s="135">
        <v>4</v>
      </c>
      <c r="B46" s="155" t="s">
        <v>127</v>
      </c>
      <c r="C46" s="160">
        <f>C21/C6</f>
        <v>4.125</v>
      </c>
      <c r="D46" s="160">
        <f>D21/D6</f>
        <v>4.125</v>
      </c>
      <c r="E46" s="160">
        <f>E21/E6</f>
        <v>4.125</v>
      </c>
      <c r="F46" s="160">
        <f>F21/F6</f>
        <v>4.125</v>
      </c>
      <c r="G46" s="160">
        <f>G21/G6</f>
        <v>4.125</v>
      </c>
      <c r="H46" s="160"/>
      <c r="S46" s="155" t="s">
        <v>129</v>
      </c>
      <c r="AI46" s="155" t="s">
        <v>70</v>
      </c>
      <c r="AJ46" s="155" t="s">
        <v>129</v>
      </c>
    </row>
    <row r="47" s="133" customFormat="1" spans="1:36">
      <c r="A47" s="135">
        <v>5</v>
      </c>
      <c r="B47" s="155" t="s">
        <v>129</v>
      </c>
      <c r="C47" s="160">
        <f>标准成本!E11</f>
        <v>10.104307949883</v>
      </c>
      <c r="D47" s="160">
        <f>标准成本!E23</f>
        <v>7.9071282</v>
      </c>
      <c r="E47" s="160">
        <f>标准成本!E36</f>
        <v>4.83576</v>
      </c>
      <c r="F47" s="160">
        <f>标准成本!E49</f>
        <v>4.83576</v>
      </c>
      <c r="G47" s="160">
        <f>标准成本!E62</f>
        <v>9.164822424</v>
      </c>
      <c r="H47" s="160"/>
      <c r="S47" s="155" t="s">
        <v>129</v>
      </c>
      <c r="AI47" s="155" t="s">
        <v>70</v>
      </c>
      <c r="AJ47" s="155" t="s">
        <v>129</v>
      </c>
    </row>
    <row r="48" spans="1:36">
      <c r="A48" s="146" t="s">
        <v>122</v>
      </c>
      <c r="B48" s="150" t="s">
        <v>140</v>
      </c>
      <c r="C48" s="154">
        <f>C40-C43-C44-C45-C47-C46</f>
        <v>575.847028492761</v>
      </c>
      <c r="D48" s="154">
        <f>D40-D43-D44-D45-D47-D46</f>
        <v>404.197596448</v>
      </c>
      <c r="E48" s="154">
        <f>E40-E43-E44-E45-E47-E46</f>
        <v>150.4218064</v>
      </c>
      <c r="F48" s="154">
        <f>F40-F43-F44-F45-F47-F46</f>
        <v>468.24976137192</v>
      </c>
      <c r="G48" s="154">
        <f>G40-G43-G44-G45-G47-G46</f>
        <v>316.72782615936</v>
      </c>
      <c r="H48" s="154"/>
      <c r="S48" s="150" t="s">
        <v>140</v>
      </c>
      <c r="AI48" s="146" t="s">
        <v>139</v>
      </c>
      <c r="AJ48" s="150" t="s">
        <v>140</v>
      </c>
    </row>
    <row r="51" spans="3:7">
      <c r="C51" s="161"/>
      <c r="D51" s="161"/>
      <c r="E51" s="161"/>
      <c r="F51" s="161"/>
      <c r="G51" s="161"/>
    </row>
    <row r="54" spans="2:13">
      <c r="B54" s="2"/>
      <c r="C54" s="162"/>
      <c r="D54" s="162"/>
      <c r="E54" s="162"/>
      <c r="F54" s="162"/>
      <c r="G54" s="162"/>
      <c r="H54" s="162"/>
      <c r="I54" s="2"/>
      <c r="J54" s="2"/>
      <c r="K54" s="2"/>
      <c r="L54" s="2"/>
      <c r="M54" s="2"/>
    </row>
    <row r="55" spans="2:13">
      <c r="B55" s="2"/>
      <c r="C55" s="162"/>
      <c r="D55" s="162"/>
      <c r="E55" s="162"/>
      <c r="F55" s="162"/>
      <c r="G55" s="162"/>
      <c r="H55" s="162"/>
      <c r="I55" s="2"/>
      <c r="J55" s="2"/>
      <c r="K55" s="2"/>
      <c r="L55" s="2"/>
      <c r="M55" s="2"/>
    </row>
    <row r="56" spans="2:13">
      <c r="B56" s="2"/>
      <c r="C56" s="162"/>
      <c r="D56" s="162"/>
      <c r="E56" s="162"/>
      <c r="F56" s="162"/>
      <c r="G56" s="162"/>
      <c r="H56" s="162"/>
      <c r="I56" s="2"/>
      <c r="J56" s="2"/>
      <c r="K56" s="2"/>
      <c r="L56" s="2"/>
      <c r="M56" s="2"/>
    </row>
    <row r="57" spans="2:13">
      <c r="B57" s="2"/>
      <c r="C57" s="162"/>
      <c r="D57" s="162"/>
      <c r="E57" s="162"/>
      <c r="F57" s="162"/>
      <c r="G57" s="162"/>
      <c r="H57" s="162"/>
      <c r="I57" s="2"/>
      <c r="J57" s="2"/>
      <c r="K57" s="2"/>
      <c r="L57" s="2"/>
      <c r="M57" s="2"/>
    </row>
    <row r="58" spans="2:13">
      <c r="B58" s="2"/>
      <c r="C58" s="162"/>
      <c r="D58" s="162"/>
      <c r="E58" s="162"/>
      <c r="F58" s="162"/>
      <c r="G58" s="162"/>
      <c r="H58" s="162"/>
      <c r="I58" s="2"/>
      <c r="J58" s="2"/>
      <c r="K58" s="2"/>
      <c r="L58" s="2"/>
      <c r="M58" s="2"/>
    </row>
    <row r="59" spans="2:13">
      <c r="B59" s="2"/>
      <c r="C59" s="162"/>
      <c r="D59" s="162"/>
      <c r="E59" s="162"/>
      <c r="F59" s="162"/>
      <c r="G59" s="162"/>
      <c r="H59" s="162"/>
      <c r="I59" s="2"/>
      <c r="J59" s="2"/>
      <c r="K59" s="2"/>
      <c r="L59" s="2"/>
      <c r="M59" s="2"/>
    </row>
    <row r="60" spans="2:13">
      <c r="B60" s="2"/>
      <c r="C60" s="162"/>
      <c r="D60" s="162"/>
      <c r="E60" s="162"/>
      <c r="F60" s="162"/>
      <c r="G60" s="162"/>
      <c r="H60" s="162"/>
      <c r="I60" s="2"/>
      <c r="J60" s="2"/>
      <c r="K60" s="2"/>
      <c r="L60" s="2"/>
      <c r="M60" s="2"/>
    </row>
    <row r="61" spans="2:13">
      <c r="B61" s="2"/>
      <c r="C61" s="162"/>
      <c r="D61" s="162"/>
      <c r="E61" s="162"/>
      <c r="F61" s="162"/>
      <c r="G61" s="162"/>
      <c r="H61" s="162"/>
      <c r="I61" s="2"/>
      <c r="J61" s="2"/>
      <c r="K61" s="2"/>
      <c r="L61" s="2"/>
      <c r="M61" s="2"/>
    </row>
    <row r="62" spans="2:13">
      <c r="B62" s="2"/>
      <c r="C62" s="162"/>
      <c r="D62" s="162"/>
      <c r="E62" s="162"/>
      <c r="F62" s="162"/>
      <c r="G62" s="162"/>
      <c r="H62" s="162"/>
      <c r="I62" s="2"/>
      <c r="J62" s="2"/>
      <c r="K62" s="2"/>
      <c r="L62" s="2"/>
      <c r="M62" s="2"/>
    </row>
    <row r="63" spans="2:13">
      <c r="B63" s="2"/>
      <c r="C63" s="162"/>
      <c r="D63" s="162"/>
      <c r="E63" s="162"/>
      <c r="F63" s="162"/>
      <c r="G63" s="162"/>
      <c r="H63" s="162"/>
      <c r="I63" s="2"/>
      <c r="J63" s="2"/>
      <c r="K63" s="2"/>
      <c r="L63" s="2"/>
      <c r="M63" s="2"/>
    </row>
    <row r="64" spans="2:13">
      <c r="B64" s="2"/>
      <c r="C64" s="162"/>
      <c r="D64" s="162"/>
      <c r="E64" s="162"/>
      <c r="F64" s="162"/>
      <c r="G64" s="162"/>
      <c r="H64" s="162"/>
      <c r="I64" s="2"/>
      <c r="J64" s="2"/>
      <c r="K64" s="2"/>
      <c r="L64" s="2"/>
      <c r="M64" s="2"/>
    </row>
    <row r="65" spans="2:13">
      <c r="B65" s="2"/>
      <c r="C65" s="162"/>
      <c r="D65" s="162"/>
      <c r="E65" s="162"/>
      <c r="F65" s="162"/>
      <c r="G65" s="162"/>
      <c r="H65" s="162"/>
      <c r="I65" s="2"/>
      <c r="J65" s="2"/>
      <c r="K65" s="2"/>
      <c r="L65" s="2"/>
      <c r="M65" s="2"/>
    </row>
    <row r="66" spans="2:13">
      <c r="B66" s="2"/>
      <c r="C66" s="162"/>
      <c r="D66" s="162"/>
      <c r="E66" s="162"/>
      <c r="F66" s="162"/>
      <c r="G66" s="162"/>
      <c r="H66" s="162"/>
      <c r="I66" s="2"/>
      <c r="J66" s="2"/>
      <c r="K66" s="2"/>
      <c r="L66" s="2"/>
      <c r="M66" s="2"/>
    </row>
    <row r="67" spans="2:9">
      <c r="B67" s="2"/>
      <c r="C67" s="162"/>
      <c r="D67" s="162"/>
      <c r="E67" s="162"/>
      <c r="F67" s="162"/>
      <c r="G67" s="162"/>
      <c r="H67" s="162"/>
      <c r="I67" s="2"/>
    </row>
    <row r="68" spans="2:9">
      <c r="B68" s="2"/>
      <c r="C68" s="162"/>
      <c r="D68" s="162"/>
      <c r="E68" s="162"/>
      <c r="F68" s="162"/>
      <c r="G68" s="162"/>
      <c r="H68" s="162"/>
      <c r="I68" s="2"/>
    </row>
    <row r="69" spans="2:9">
      <c r="B69" s="2"/>
      <c r="C69" s="162"/>
      <c r="D69" s="162"/>
      <c r="E69" s="162"/>
      <c r="F69" s="162"/>
      <c r="G69" s="162"/>
      <c r="H69" s="162"/>
      <c r="I69" s="2"/>
    </row>
    <row r="70" spans="2:9">
      <c r="B70" s="2"/>
      <c r="C70" s="162"/>
      <c r="D70" s="162"/>
      <c r="E70" s="162"/>
      <c r="F70" s="162"/>
      <c r="G70" s="162"/>
      <c r="H70" s="162"/>
      <c r="I70" s="2"/>
    </row>
    <row r="71" spans="2:9">
      <c r="B71" s="2"/>
      <c r="C71" s="162"/>
      <c r="D71" s="162"/>
      <c r="E71" s="162"/>
      <c r="F71" s="162"/>
      <c r="G71" s="162"/>
      <c r="H71" s="162"/>
      <c r="I71" s="2"/>
    </row>
    <row r="72" spans="2:9">
      <c r="B72" s="2"/>
      <c r="C72" s="162"/>
      <c r="D72" s="162"/>
      <c r="E72" s="162"/>
      <c r="F72" s="162"/>
      <c r="G72" s="162"/>
      <c r="H72" s="162"/>
      <c r="I72" s="2"/>
    </row>
    <row r="73" spans="2:9">
      <c r="B73" s="2"/>
      <c r="C73" s="162"/>
      <c r="D73" s="162"/>
      <c r="E73" s="162"/>
      <c r="F73" s="162"/>
      <c r="G73" s="162"/>
      <c r="H73" s="162"/>
      <c r="I73" s="2"/>
    </row>
    <row r="74" spans="2:9">
      <c r="B74" s="2"/>
      <c r="C74" s="162"/>
      <c r="D74" s="162"/>
      <c r="E74" s="162"/>
      <c r="F74" s="162"/>
      <c r="G74" s="162"/>
      <c r="H74" s="162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zoomScale="90" zoomScaleNormal="90" topLeftCell="A13" workbookViewId="0">
      <selection activeCell="C36" sqref="C36"/>
    </sheetView>
  </sheetViews>
  <sheetFormatPr defaultColWidth="9" defaultRowHeight="14.5"/>
  <cols>
    <col min="1" max="1" width="5.12727272727273" style="131" customWidth="1"/>
    <col min="2" max="2" width="17.5" style="131" customWidth="1"/>
    <col min="3" max="7" width="11.7545454545455" style="134" customWidth="1"/>
    <col min="8" max="8" width="18.7545454545455" style="134" customWidth="1"/>
    <col min="9" max="9" width="12.3727272727273" style="131" customWidth="1"/>
    <col min="10" max="10" width="10.1272727272727" style="131" customWidth="1"/>
    <col min="11" max="17" width="9" style="131" customWidth="1"/>
    <col min="18" max="34" width="9" style="131"/>
    <col min="35" max="35" width="4.37272727272727" style="131" customWidth="1"/>
    <col min="36" max="36" width="13.8727272727273" style="131" customWidth="1"/>
    <col min="37" max="16384" width="9" style="131"/>
  </cols>
  <sheetData>
    <row r="1" s="131" customFormat="1" spans="1:8">
      <c r="A1" s="135" t="s">
        <v>150</v>
      </c>
      <c r="B1" s="135"/>
      <c r="C1" s="136" t="s">
        <v>175</v>
      </c>
      <c r="D1" s="137"/>
      <c r="E1" s="137"/>
      <c r="F1" s="137"/>
      <c r="G1" s="137"/>
      <c r="H1" s="138"/>
    </row>
    <row r="2" s="131" customFormat="1" spans="1:8">
      <c r="A2" s="135" t="s">
        <v>152</v>
      </c>
      <c r="B2" s="135"/>
      <c r="C2" s="139" t="s">
        <v>153</v>
      </c>
      <c r="D2" s="139"/>
      <c r="E2" s="139"/>
      <c r="F2" s="139"/>
      <c r="G2" s="139"/>
      <c r="H2" s="139"/>
    </row>
    <row r="3" s="131" customFormat="1" ht="43.5" spans="1:8">
      <c r="A3" s="135" t="s">
        <v>154</v>
      </c>
      <c r="B3" s="135"/>
      <c r="C3" s="140" t="s">
        <v>155</v>
      </c>
      <c r="D3" s="140" t="s">
        <v>156</v>
      </c>
      <c r="E3" s="140" t="s">
        <v>157</v>
      </c>
      <c r="F3" s="140" t="s">
        <v>158</v>
      </c>
      <c r="G3" s="140" t="s">
        <v>159</v>
      </c>
      <c r="H3" s="141" t="s">
        <v>58</v>
      </c>
    </row>
    <row r="4" s="131" customFormat="1" ht="29" spans="1:8">
      <c r="A4" s="135" t="s">
        <v>160</v>
      </c>
      <c r="B4" s="135"/>
      <c r="C4" s="140" t="s">
        <v>161</v>
      </c>
      <c r="D4" s="142" t="s">
        <v>162</v>
      </c>
      <c r="E4" s="142" t="s">
        <v>163</v>
      </c>
      <c r="F4" s="142" t="s">
        <v>164</v>
      </c>
      <c r="G4" s="142" t="s">
        <v>165</v>
      </c>
      <c r="H4" s="143"/>
    </row>
    <row r="5" s="131" customFormat="1" spans="1:37">
      <c r="A5" s="135" t="s">
        <v>166</v>
      </c>
      <c r="B5" s="135"/>
      <c r="C5" s="144"/>
      <c r="D5" s="144"/>
      <c r="E5" s="142"/>
      <c r="F5" s="142"/>
      <c r="G5" s="144"/>
      <c r="H5" s="145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 t="s">
        <v>59</v>
      </c>
    </row>
    <row r="6" s="131" customFormat="1" spans="1:37">
      <c r="A6" s="146" t="s">
        <v>21</v>
      </c>
      <c r="B6" s="147" t="s">
        <v>167</v>
      </c>
      <c r="C6" s="148">
        <f>销量!C12</f>
        <v>850</v>
      </c>
      <c r="D6" s="148">
        <f>销量!D12</f>
        <v>850</v>
      </c>
      <c r="E6" s="148">
        <f>销量!E12</f>
        <v>850</v>
      </c>
      <c r="F6" s="148">
        <f>销量!F12</f>
        <v>850</v>
      </c>
      <c r="G6" s="148">
        <f>销量!G12</f>
        <v>850</v>
      </c>
      <c r="H6" s="149">
        <f>+SUM(C6:G6)</f>
        <v>4250</v>
      </c>
      <c r="S6" s="147" t="s">
        <v>3</v>
      </c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46" t="s">
        <v>21</v>
      </c>
      <c r="AJ6" s="147" t="s">
        <v>3</v>
      </c>
      <c r="AK6" s="131" t="s">
        <v>60</v>
      </c>
    </row>
    <row r="7" s="131" customFormat="1" spans="1:37">
      <c r="A7" s="135">
        <v>1</v>
      </c>
      <c r="B7" s="147" t="s">
        <v>61</v>
      </c>
      <c r="C7" s="149">
        <f>C6*销量!C8</f>
        <v>842477.5</v>
      </c>
      <c r="D7" s="149">
        <f>D6*销量!D8</f>
        <v>620576.5</v>
      </c>
      <c r="E7" s="149">
        <f>E6*销量!E8</f>
        <v>298630.5</v>
      </c>
      <c r="F7" s="149">
        <f>F6*销量!F8</f>
        <v>589730</v>
      </c>
      <c r="G7" s="149">
        <f>G6*销量!G8</f>
        <v>589730</v>
      </c>
      <c r="H7" s="149">
        <f t="shared" ref="H6:H15" si="0">+SUM(C7:G7)</f>
        <v>2941144.5</v>
      </c>
      <c r="I7" s="134"/>
      <c r="J7" s="131"/>
      <c r="K7" s="131"/>
      <c r="L7" s="131"/>
      <c r="M7" s="131"/>
      <c r="N7" s="131"/>
      <c r="O7" s="131"/>
      <c r="P7" s="131"/>
      <c r="Q7" s="131"/>
      <c r="R7" s="131"/>
      <c r="S7" s="147" t="s">
        <v>61</v>
      </c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46" t="s">
        <v>62</v>
      </c>
      <c r="AJ7" s="147" t="s">
        <v>61</v>
      </c>
      <c r="AK7" s="131" t="s">
        <v>60</v>
      </c>
    </row>
    <row r="8" s="131" customFormat="1" spans="1:37">
      <c r="A8" s="135">
        <v>2</v>
      </c>
      <c r="B8" s="135" t="s">
        <v>63</v>
      </c>
      <c r="C8" s="149">
        <f>C7*(1-销量!$K$8)</f>
        <v>0</v>
      </c>
      <c r="D8" s="149">
        <f>D7*(1-销量!$K$8)</f>
        <v>0</v>
      </c>
      <c r="E8" s="149">
        <f>E7*(1-销量!$K$8)</f>
        <v>0</v>
      </c>
      <c r="F8" s="149">
        <f>F7*(1-销量!$K$8)</f>
        <v>0</v>
      </c>
      <c r="G8" s="149">
        <f>G7*(1-销量!$K$8)</f>
        <v>0</v>
      </c>
      <c r="H8" s="149">
        <f t="shared" si="0"/>
        <v>0</v>
      </c>
      <c r="I8" s="163"/>
      <c r="J8" s="131"/>
      <c r="K8" s="131"/>
      <c r="L8" s="131"/>
      <c r="M8" s="131"/>
      <c r="N8" s="131"/>
      <c r="O8" s="131"/>
      <c r="P8" s="131"/>
      <c r="Q8" s="131"/>
      <c r="R8" s="131"/>
      <c r="S8" s="135" t="s">
        <v>65</v>
      </c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46" t="s">
        <v>64</v>
      </c>
      <c r="AJ8" s="135" t="s">
        <v>65</v>
      </c>
      <c r="AK8" s="131" t="s">
        <v>60</v>
      </c>
    </row>
    <row r="9" s="131" customFormat="1" spans="1:37">
      <c r="A9" s="135">
        <v>3</v>
      </c>
      <c r="B9" s="147" t="s">
        <v>66</v>
      </c>
      <c r="C9" s="149">
        <f t="shared" ref="C9:G9" si="1">+C7-C8</f>
        <v>842477.5</v>
      </c>
      <c r="D9" s="149">
        <f t="shared" si="1"/>
        <v>620576.5</v>
      </c>
      <c r="E9" s="149">
        <f t="shared" si="1"/>
        <v>298630.5</v>
      </c>
      <c r="F9" s="149">
        <f t="shared" si="1"/>
        <v>589730</v>
      </c>
      <c r="G9" s="149">
        <f>+G7-G8</f>
        <v>589730</v>
      </c>
      <c r="H9" s="149">
        <f t="shared" si="0"/>
        <v>2941144.5</v>
      </c>
      <c r="S9" s="147" t="s">
        <v>66</v>
      </c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46" t="s">
        <v>67</v>
      </c>
      <c r="AJ9" s="147" t="s">
        <v>66</v>
      </c>
      <c r="AK9" s="131" t="s">
        <v>68</v>
      </c>
    </row>
    <row r="10" s="131" customFormat="1" spans="1:37">
      <c r="A10" s="135">
        <v>4</v>
      </c>
      <c r="B10" s="146" t="s">
        <v>71</v>
      </c>
      <c r="C10" s="149">
        <f t="shared" ref="C10:G10" si="2">C6*C33</f>
        <v>286288.725246685</v>
      </c>
      <c r="D10" s="149">
        <f t="shared" si="2"/>
        <v>224035.299</v>
      </c>
      <c r="E10" s="149">
        <f t="shared" si="2"/>
        <v>137013.2</v>
      </c>
      <c r="F10" s="149">
        <f t="shared" si="2"/>
        <v>157093.47828</v>
      </c>
      <c r="G10" s="149">
        <f t="shared" si="2"/>
        <v>259669.96868</v>
      </c>
      <c r="H10" s="149">
        <f t="shared" si="0"/>
        <v>1064100.67120669</v>
      </c>
      <c r="S10" s="146" t="s">
        <v>71</v>
      </c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46" t="s">
        <v>70</v>
      </c>
      <c r="AJ10" s="146" t="s">
        <v>71</v>
      </c>
      <c r="AK10" s="131" t="s">
        <v>72</v>
      </c>
    </row>
    <row r="11" s="131" customFormat="1" spans="1:36">
      <c r="A11" s="135">
        <v>5</v>
      </c>
      <c r="B11" s="146" t="s">
        <v>73</v>
      </c>
      <c r="C11" s="149">
        <f t="shared" ref="C11:G11" si="3">+C6*C36</f>
        <v>12339.0440581321</v>
      </c>
      <c r="D11" s="149">
        <f t="shared" si="3"/>
        <v>9655.9213869</v>
      </c>
      <c r="E11" s="149">
        <f t="shared" si="3"/>
        <v>5905.26892</v>
      </c>
      <c r="F11" s="149">
        <f t="shared" si="3"/>
        <v>6770.728913868</v>
      </c>
      <c r="G11" s="149">
        <f t="shared" si="3"/>
        <v>11191.775650108</v>
      </c>
      <c r="H11" s="149">
        <f t="shared" si="0"/>
        <v>45862.7389290081</v>
      </c>
      <c r="S11" s="146" t="s">
        <v>73</v>
      </c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46" t="s">
        <v>74</v>
      </c>
      <c r="AJ11" s="146" t="s">
        <v>73</v>
      </c>
    </row>
    <row r="12" s="131" customFormat="1" spans="1:36">
      <c r="A12" s="135">
        <v>6</v>
      </c>
      <c r="B12" s="146" t="s">
        <v>75</v>
      </c>
      <c r="C12" s="149">
        <f t="shared" ref="C12:G12" si="4">+C6*C37</f>
        <v>6212.46533785306</v>
      </c>
      <c r="D12" s="149">
        <f t="shared" si="4"/>
        <v>4861.5659883</v>
      </c>
      <c r="E12" s="149">
        <f t="shared" si="4"/>
        <v>2973.18644</v>
      </c>
      <c r="F12" s="149">
        <f t="shared" si="4"/>
        <v>2973.18644</v>
      </c>
      <c r="G12" s="149">
        <f t="shared" si="4"/>
        <v>5634.838320356</v>
      </c>
      <c r="H12" s="149">
        <f t="shared" si="0"/>
        <v>22655.2425265091</v>
      </c>
      <c r="S12" s="146" t="s">
        <v>75</v>
      </c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46" t="s">
        <v>76</v>
      </c>
      <c r="AJ12" s="146" t="s">
        <v>75</v>
      </c>
    </row>
    <row r="13" s="131" customFormat="1" spans="1:37">
      <c r="A13" s="135">
        <v>7</v>
      </c>
      <c r="B13" s="146" t="s">
        <v>77</v>
      </c>
      <c r="C13" s="149">
        <f t="shared" ref="C13:G13" si="5">+C6*C38</f>
        <v>12596.7039108541</v>
      </c>
      <c r="D13" s="149">
        <f t="shared" si="5"/>
        <v>9857.553156</v>
      </c>
      <c r="E13" s="149">
        <f t="shared" si="5"/>
        <v>6028.5808</v>
      </c>
      <c r="F13" s="149">
        <f t="shared" si="5"/>
        <v>6028.5808</v>
      </c>
      <c r="G13" s="149">
        <f t="shared" si="5"/>
        <v>11425.47862192</v>
      </c>
      <c r="H13" s="149">
        <f t="shared" si="0"/>
        <v>45936.8972887741</v>
      </c>
      <c r="S13" s="146" t="s">
        <v>77</v>
      </c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46" t="s">
        <v>78</v>
      </c>
      <c r="AJ13" s="146" t="s">
        <v>77</v>
      </c>
      <c r="AK13" s="131" t="s">
        <v>60</v>
      </c>
    </row>
    <row r="14" s="131" customFormat="1" spans="1:36">
      <c r="A14" s="135">
        <v>8</v>
      </c>
      <c r="B14" s="150" t="s">
        <v>79</v>
      </c>
      <c r="C14" s="149">
        <f t="shared" ref="C14:G14" si="6">SUM(C11:C13)</f>
        <v>31148.2133068393</v>
      </c>
      <c r="D14" s="149">
        <f t="shared" si="6"/>
        <v>24375.0405312</v>
      </c>
      <c r="E14" s="149">
        <f t="shared" si="6"/>
        <v>14907.03616</v>
      </c>
      <c r="F14" s="149">
        <f t="shared" si="6"/>
        <v>15772.496153868</v>
      </c>
      <c r="G14" s="149">
        <f t="shared" si="6"/>
        <v>28252.092592384</v>
      </c>
      <c r="H14" s="149">
        <f t="shared" si="0"/>
        <v>114454.878744291</v>
      </c>
      <c r="S14" s="150" t="s">
        <v>79</v>
      </c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46" t="s">
        <v>80</v>
      </c>
      <c r="AJ14" s="150" t="s">
        <v>79</v>
      </c>
    </row>
    <row r="15" s="131" customFormat="1" spans="1:36">
      <c r="A15" s="135">
        <v>9</v>
      </c>
      <c r="B15" s="150" t="s">
        <v>81</v>
      </c>
      <c r="C15" s="149">
        <f t="shared" ref="C15:G15" si="7">+C9-C10-C14</f>
        <v>525040.561446476</v>
      </c>
      <c r="D15" s="149">
        <f t="shared" si="7"/>
        <v>372166.1604688</v>
      </c>
      <c r="E15" s="149">
        <f t="shared" si="7"/>
        <v>146710.26384</v>
      </c>
      <c r="F15" s="149">
        <f t="shared" si="7"/>
        <v>416864.025566132</v>
      </c>
      <c r="G15" s="149">
        <f t="shared" si="7"/>
        <v>301807.938727616</v>
      </c>
      <c r="H15" s="149">
        <f t="shared" si="0"/>
        <v>1762588.95004902</v>
      </c>
      <c r="S15" s="150" t="s">
        <v>81</v>
      </c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46" t="s">
        <v>82</v>
      </c>
      <c r="AJ15" s="150" t="s">
        <v>81</v>
      </c>
    </row>
    <row r="16" s="131" customFormat="1" spans="1:36">
      <c r="A16" s="135">
        <v>10</v>
      </c>
      <c r="B16" s="146" t="s">
        <v>83</v>
      </c>
      <c r="C16" s="151">
        <f t="shared" ref="C16:H16" si="8">+C15/C9</f>
        <v>0.623210188339126</v>
      </c>
      <c r="D16" s="151">
        <f t="shared" si="8"/>
        <v>0.599710366842444</v>
      </c>
      <c r="E16" s="151">
        <f t="shared" si="8"/>
        <v>0.491276891811118</v>
      </c>
      <c r="F16" s="151">
        <f t="shared" si="8"/>
        <v>0.706872679982589</v>
      </c>
      <c r="G16" s="151">
        <f t="shared" si="8"/>
        <v>0.51177308043955</v>
      </c>
      <c r="H16" s="151">
        <f t="shared" si="8"/>
        <v>0.59928675726372</v>
      </c>
      <c r="I16" s="164"/>
      <c r="J16" s="164"/>
      <c r="K16" s="164"/>
      <c r="L16" s="131"/>
      <c r="M16" s="131"/>
      <c r="N16" s="131"/>
      <c r="O16" s="131"/>
      <c r="P16" s="131"/>
      <c r="Q16" s="131"/>
      <c r="R16" s="131"/>
      <c r="S16" s="146" t="s">
        <v>83</v>
      </c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46" t="s">
        <v>84</v>
      </c>
      <c r="AJ16" s="146" t="s">
        <v>83</v>
      </c>
    </row>
    <row r="17" s="131" customFormat="1" spans="1:36">
      <c r="A17" s="135">
        <v>11</v>
      </c>
      <c r="B17" s="146" t="s">
        <v>85</v>
      </c>
      <c r="C17" s="149">
        <f t="shared" ref="C17:G17" si="9">C6*C43+C18</f>
        <v>21351.8377351141</v>
      </c>
      <c r="D17" s="149">
        <f t="shared" si="9"/>
        <v>18799.447259</v>
      </c>
      <c r="E17" s="149">
        <f t="shared" si="9"/>
        <v>15231.5412</v>
      </c>
      <c r="F17" s="149">
        <f t="shared" si="9"/>
        <v>15231.5412</v>
      </c>
      <c r="G17" s="149">
        <f t="shared" si="9"/>
        <v>20260.46871588</v>
      </c>
      <c r="H17" s="149">
        <f t="shared" ref="H17:H20" si="10">+SUM(C17:G17)</f>
        <v>90874.8361099941</v>
      </c>
      <c r="I17" s="163"/>
      <c r="J17" s="131"/>
      <c r="K17" s="131"/>
      <c r="L17" s="131"/>
      <c r="M17" s="131"/>
      <c r="N17" s="131"/>
      <c r="O17" s="131"/>
      <c r="P17" s="131"/>
      <c r="Q17" s="131"/>
      <c r="R17" s="131"/>
      <c r="S17" s="146" t="s">
        <v>85</v>
      </c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46" t="s">
        <v>86</v>
      </c>
      <c r="AJ17" s="146" t="s">
        <v>85</v>
      </c>
    </row>
    <row r="18" s="132" customFormat="1" spans="1:11">
      <c r="A18" s="135">
        <v>12</v>
      </c>
      <c r="B18" s="152" t="s">
        <v>168</v>
      </c>
      <c r="C18" s="153">
        <f t="shared" ref="C18:G18" si="11">$H$18/$H$6*C6</f>
        <v>9614</v>
      </c>
      <c r="D18" s="153">
        <f t="shared" si="11"/>
        <v>9614</v>
      </c>
      <c r="E18" s="153">
        <f t="shared" si="11"/>
        <v>9614</v>
      </c>
      <c r="F18" s="153">
        <f t="shared" si="11"/>
        <v>9614</v>
      </c>
      <c r="G18" s="153">
        <f t="shared" si="11"/>
        <v>9614</v>
      </c>
      <c r="H18" s="149">
        <f>项目投资!F26</f>
        <v>48070</v>
      </c>
      <c r="I18" s="165" t="s">
        <v>169</v>
      </c>
      <c r="J18" s="165"/>
      <c r="K18" s="165"/>
    </row>
    <row r="19" s="131" customFormat="1" spans="1:37">
      <c r="A19" s="135">
        <v>13</v>
      </c>
      <c r="B19" s="146" t="s">
        <v>87</v>
      </c>
      <c r="C19" s="149">
        <f t="shared" ref="C19:G19" si="12">C6*C44</f>
        <v>2004.02107672679</v>
      </c>
      <c r="D19" s="149">
        <f t="shared" si="12"/>
        <v>1568.247093</v>
      </c>
      <c r="E19" s="149">
        <f t="shared" si="12"/>
        <v>959.0924</v>
      </c>
      <c r="F19" s="149">
        <f t="shared" si="12"/>
        <v>959.0924</v>
      </c>
      <c r="G19" s="149">
        <f t="shared" si="12"/>
        <v>1817.68978076</v>
      </c>
      <c r="H19" s="149">
        <f t="shared" si="10"/>
        <v>7308.1427504868</v>
      </c>
      <c r="I19" s="132"/>
      <c r="J19" s="131"/>
      <c r="K19" s="131"/>
      <c r="L19" s="131"/>
      <c r="M19" s="131"/>
      <c r="N19" s="131"/>
      <c r="O19" s="131"/>
      <c r="P19" s="131"/>
      <c r="Q19" s="131"/>
      <c r="R19" s="131"/>
      <c r="S19" s="146" t="s">
        <v>87</v>
      </c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46" t="s">
        <v>88</v>
      </c>
      <c r="AJ19" s="146" t="s">
        <v>87</v>
      </c>
      <c r="AK19" s="131" t="s">
        <v>60</v>
      </c>
    </row>
    <row r="20" s="131" customFormat="1" spans="1:36">
      <c r="A20" s="135">
        <v>14</v>
      </c>
      <c r="B20" s="146" t="s">
        <v>89</v>
      </c>
      <c r="C20" s="149">
        <f t="shared" ref="C20:G20" si="13">C6*C45</f>
        <v>9733.81665838729</v>
      </c>
      <c r="D20" s="149">
        <f t="shared" si="13"/>
        <v>7617.200166</v>
      </c>
      <c r="E20" s="149">
        <f t="shared" si="13"/>
        <v>4658.4488</v>
      </c>
      <c r="F20" s="149">
        <f t="shared" si="13"/>
        <v>4658.4488</v>
      </c>
      <c r="G20" s="149">
        <f t="shared" si="13"/>
        <v>8828.77893512</v>
      </c>
      <c r="H20" s="149">
        <f t="shared" si="10"/>
        <v>35496.6933595073</v>
      </c>
      <c r="S20" s="146" t="s">
        <v>89</v>
      </c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46" t="s">
        <v>90</v>
      </c>
      <c r="AJ20" s="146" t="s">
        <v>89</v>
      </c>
    </row>
    <row r="21" s="131" customFormat="1" spans="1:36">
      <c r="A21" s="135">
        <v>15</v>
      </c>
      <c r="B21" s="146" t="s">
        <v>91</v>
      </c>
      <c r="C21" s="154">
        <f t="shared" ref="C21:G21" si="14">$H$21/$H$6*C6</f>
        <v>3300</v>
      </c>
      <c r="D21" s="154">
        <f t="shared" si="14"/>
        <v>3300</v>
      </c>
      <c r="E21" s="154">
        <f t="shared" si="14"/>
        <v>3300</v>
      </c>
      <c r="F21" s="154">
        <f t="shared" si="14"/>
        <v>3300</v>
      </c>
      <c r="G21" s="154">
        <f t="shared" si="14"/>
        <v>3300</v>
      </c>
      <c r="H21" s="149">
        <f>项目投资!F27</f>
        <v>16500</v>
      </c>
      <c r="S21" s="146" t="s">
        <v>91</v>
      </c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46"/>
      <c r="AJ21" s="146"/>
    </row>
    <row r="22" s="131" customFormat="1" spans="1:36">
      <c r="A22" s="135">
        <v>16</v>
      </c>
      <c r="B22" s="146" t="s">
        <v>92</v>
      </c>
      <c r="C22" s="149">
        <f t="shared" ref="C22:G22" si="15">C6*C47</f>
        <v>8588.66175740055</v>
      </c>
      <c r="D22" s="149">
        <f t="shared" si="15"/>
        <v>6721.05897</v>
      </c>
      <c r="E22" s="149">
        <f t="shared" si="15"/>
        <v>4110.396</v>
      </c>
      <c r="F22" s="149">
        <f t="shared" si="15"/>
        <v>4110.396</v>
      </c>
      <c r="G22" s="149">
        <f t="shared" si="15"/>
        <v>7790.0990604</v>
      </c>
      <c r="H22" s="149">
        <f>+SUM(C22:G22)</f>
        <v>31320.6117878005</v>
      </c>
      <c r="S22" s="146" t="s">
        <v>92</v>
      </c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46" t="s">
        <v>93</v>
      </c>
      <c r="AJ22" s="146" t="s">
        <v>92</v>
      </c>
    </row>
    <row r="23" s="131" customFormat="1" spans="1:36">
      <c r="A23" s="135">
        <v>17</v>
      </c>
      <c r="B23" s="150" t="s">
        <v>94</v>
      </c>
      <c r="C23" s="154">
        <f t="shared" ref="C23:H23" si="16">+C22+C21+C20+C19+C17</f>
        <v>44978.3372276287</v>
      </c>
      <c r="D23" s="154">
        <f t="shared" si="16"/>
        <v>38005.953488</v>
      </c>
      <c r="E23" s="154">
        <f t="shared" si="16"/>
        <v>28259.4784</v>
      </c>
      <c r="F23" s="154">
        <f t="shared" si="16"/>
        <v>28259.4784</v>
      </c>
      <c r="G23" s="154">
        <f t="shared" si="16"/>
        <v>41997.03649216</v>
      </c>
      <c r="H23" s="154">
        <f t="shared" si="16"/>
        <v>181500.284007789</v>
      </c>
      <c r="S23" s="150" t="s">
        <v>94</v>
      </c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46" t="s">
        <v>95</v>
      </c>
      <c r="AJ23" s="150" t="s">
        <v>94</v>
      </c>
    </row>
    <row r="24" s="131" customFormat="1" spans="1:36">
      <c r="A24" s="135">
        <v>18</v>
      </c>
      <c r="B24" s="155" t="s">
        <v>96</v>
      </c>
      <c r="C24" s="154">
        <f t="shared" ref="C24:H24" si="17">+C15-C23</f>
        <v>480062.224218847</v>
      </c>
      <c r="D24" s="154">
        <f t="shared" si="17"/>
        <v>334160.2069808</v>
      </c>
      <c r="E24" s="154">
        <f t="shared" si="17"/>
        <v>118450.78544</v>
      </c>
      <c r="F24" s="154">
        <f t="shared" si="17"/>
        <v>388604.547166132</v>
      </c>
      <c r="G24" s="154">
        <f t="shared" si="17"/>
        <v>259810.902235456</v>
      </c>
      <c r="H24" s="154">
        <f t="shared" si="17"/>
        <v>1581088.66604124</v>
      </c>
      <c r="J24" s="166"/>
      <c r="K24" s="131"/>
      <c r="L24" s="131"/>
      <c r="M24" s="131"/>
      <c r="N24" s="131"/>
      <c r="O24" s="131"/>
      <c r="P24" s="131"/>
      <c r="Q24" s="131"/>
      <c r="R24" s="131"/>
      <c r="S24" s="146" t="s">
        <v>96</v>
      </c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46" t="s">
        <v>97</v>
      </c>
      <c r="AJ24" s="146" t="s">
        <v>96</v>
      </c>
    </row>
    <row r="25" s="131" customFormat="1" spans="1:36">
      <c r="A25" s="135">
        <v>19</v>
      </c>
      <c r="B25" s="146" t="s">
        <v>170</v>
      </c>
      <c r="C25" s="154"/>
      <c r="D25" s="154"/>
      <c r="E25" s="154"/>
      <c r="F25" s="154"/>
      <c r="G25" s="154">
        <f>IF(G24&lt;0,0,G24*0.25)</f>
        <v>64952.725558864</v>
      </c>
      <c r="H25" s="154">
        <f>IF(H24&lt;0,0,H24*0.25)</f>
        <v>395272.166510309</v>
      </c>
      <c r="I25" s="2"/>
      <c r="J25" s="2"/>
      <c r="K25" s="2"/>
      <c r="L25" s="131"/>
      <c r="M25" s="131"/>
      <c r="N25" s="131"/>
      <c r="O25" s="131"/>
      <c r="P25" s="131"/>
      <c r="Q25" s="131"/>
      <c r="R25" s="131"/>
      <c r="S25" s="146" t="s">
        <v>38</v>
      </c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46" t="s">
        <v>98</v>
      </c>
      <c r="AJ25" s="146" t="s">
        <v>38</v>
      </c>
    </row>
    <row r="26" s="131" customFormat="1" spans="1:36">
      <c r="A26" s="135">
        <v>20</v>
      </c>
      <c r="B26" s="146" t="s">
        <v>99</v>
      </c>
      <c r="C26" s="154">
        <f t="shared" ref="C26:G26" si="18">C24-C25</f>
        <v>480062.224218847</v>
      </c>
      <c r="D26" s="154">
        <f t="shared" si="18"/>
        <v>334160.2069808</v>
      </c>
      <c r="E26" s="154">
        <f t="shared" si="18"/>
        <v>118450.78544</v>
      </c>
      <c r="F26" s="154">
        <f t="shared" si="18"/>
        <v>388604.547166132</v>
      </c>
      <c r="G26" s="154">
        <f t="shared" si="18"/>
        <v>194858.176676592</v>
      </c>
      <c r="H26" s="149">
        <f>+SUM(C26:G26)</f>
        <v>1516135.94048237</v>
      </c>
      <c r="I26" s="2"/>
      <c r="J26" s="2"/>
      <c r="K26" s="2"/>
      <c r="L26" s="131"/>
      <c r="M26" s="131"/>
      <c r="N26" s="131"/>
      <c r="O26" s="131"/>
      <c r="P26" s="131"/>
      <c r="Q26" s="131"/>
      <c r="R26" s="131"/>
      <c r="S26" s="146" t="s">
        <v>99</v>
      </c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46" t="s">
        <v>100</v>
      </c>
      <c r="AJ26" s="146" t="s">
        <v>99</v>
      </c>
    </row>
    <row r="27" s="131" customFormat="1" spans="1:36">
      <c r="A27" s="135">
        <v>21</v>
      </c>
      <c r="B27" s="146" t="s">
        <v>103</v>
      </c>
      <c r="C27" s="156">
        <f t="shared" ref="C27:H27" si="19">C26/C7</f>
        <v>0.569822012123584</v>
      </c>
      <c r="D27" s="156">
        <f t="shared" si="19"/>
        <v>0.538467387954265</v>
      </c>
      <c r="E27" s="156">
        <f t="shared" si="19"/>
        <v>0.396646643393759</v>
      </c>
      <c r="F27" s="156">
        <f t="shared" si="19"/>
        <v>0.658953329771475</v>
      </c>
      <c r="G27" s="156">
        <f t="shared" si="19"/>
        <v>0.330419304896465</v>
      </c>
      <c r="H27" s="157">
        <f t="shared" si="19"/>
        <v>0.515491823160124</v>
      </c>
      <c r="I27" s="2"/>
      <c r="J27" s="2"/>
      <c r="K27" s="2"/>
      <c r="L27" s="131"/>
      <c r="M27" s="131"/>
      <c r="N27" s="131"/>
      <c r="O27" s="131"/>
      <c r="P27" s="131"/>
      <c r="Q27" s="131"/>
      <c r="R27" s="131"/>
      <c r="S27" s="146" t="s">
        <v>103</v>
      </c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46" t="s">
        <v>102</v>
      </c>
      <c r="AJ27" s="146" t="s">
        <v>103</v>
      </c>
    </row>
    <row r="28" s="131" customFormat="1" spans="3:19">
      <c r="C28" s="134"/>
      <c r="D28" s="134"/>
      <c r="E28" s="134"/>
      <c r="F28" s="134"/>
      <c r="G28" s="134"/>
      <c r="H28" s="134"/>
      <c r="I28" s="2"/>
      <c r="J28" s="2"/>
      <c r="K28" s="2"/>
      <c r="L28" s="131"/>
      <c r="M28" s="131"/>
      <c r="N28" s="131"/>
      <c r="O28" s="131"/>
      <c r="P28" s="131"/>
      <c r="Q28" s="131"/>
      <c r="R28" s="131"/>
      <c r="S28" s="146"/>
    </row>
    <row r="29" s="131" customFormat="1" spans="1:35">
      <c r="A29" s="131" t="s">
        <v>104</v>
      </c>
      <c r="B29" s="131"/>
      <c r="C29" s="134"/>
      <c r="D29" s="134"/>
      <c r="E29" s="134"/>
      <c r="F29" s="134"/>
      <c r="G29" s="134"/>
      <c r="H29" s="134" t="s">
        <v>171</v>
      </c>
      <c r="I29" s="2"/>
      <c r="J29" s="2"/>
      <c r="K29" s="2"/>
      <c r="L29" s="131"/>
      <c r="M29" s="131"/>
      <c r="N29" s="131"/>
      <c r="O29" s="131"/>
      <c r="P29" s="131"/>
      <c r="Q29" s="131"/>
      <c r="R29" s="131"/>
      <c r="S29" s="146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 t="s">
        <v>104</v>
      </c>
    </row>
    <row r="30" s="131" customFormat="1" spans="1:36">
      <c r="A30" s="146" t="s">
        <v>105</v>
      </c>
      <c r="B30" s="150" t="s">
        <v>106</v>
      </c>
      <c r="C30" s="154"/>
      <c r="D30" s="154"/>
      <c r="E30" s="154"/>
      <c r="F30" s="154"/>
      <c r="G30" s="154"/>
      <c r="H30" s="154"/>
      <c r="I30" s="2"/>
      <c r="J30" s="2"/>
      <c r="K30" s="2"/>
      <c r="L30" s="131"/>
      <c r="M30" s="2"/>
      <c r="N30" s="131"/>
      <c r="O30" s="131"/>
      <c r="P30" s="131"/>
      <c r="Q30" s="131"/>
      <c r="R30" s="131"/>
      <c r="S30" s="150" t="s">
        <v>106</v>
      </c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46" t="s">
        <v>107</v>
      </c>
      <c r="AJ30" s="150" t="s">
        <v>106</v>
      </c>
    </row>
    <row r="31" s="131" customFormat="1" spans="1:36">
      <c r="A31" s="135">
        <v>1</v>
      </c>
      <c r="B31" s="152" t="s">
        <v>108</v>
      </c>
      <c r="C31" s="158">
        <f>销量!C8</f>
        <v>991.15</v>
      </c>
      <c r="D31" s="158">
        <f>销量!D8</f>
        <v>730.09</v>
      </c>
      <c r="E31" s="158">
        <f>销量!E8</f>
        <v>351.33</v>
      </c>
      <c r="F31" s="158">
        <f>销量!F8</f>
        <v>693.8</v>
      </c>
      <c r="G31" s="158">
        <f>销量!G8</f>
        <v>693.8</v>
      </c>
      <c r="H31" s="154"/>
      <c r="I31" s="2"/>
      <c r="J31" s="2"/>
      <c r="K31" s="2"/>
      <c r="L31" s="131"/>
      <c r="M31" s="2"/>
      <c r="N31" s="131"/>
      <c r="O31" s="131"/>
      <c r="P31" s="131"/>
      <c r="Q31" s="131"/>
      <c r="R31" s="131"/>
      <c r="S31" s="146" t="s">
        <v>108</v>
      </c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46" t="s">
        <v>62</v>
      </c>
      <c r="AJ31" s="146" t="s">
        <v>108</v>
      </c>
    </row>
    <row r="32" s="131" customFormat="1" spans="1:36">
      <c r="A32" s="135">
        <v>2</v>
      </c>
      <c r="B32" s="146" t="s">
        <v>172</v>
      </c>
      <c r="C32" s="149">
        <f t="shared" ref="C32:G32" si="20">C31*1</f>
        <v>991.15</v>
      </c>
      <c r="D32" s="149">
        <f t="shared" si="20"/>
        <v>730.09</v>
      </c>
      <c r="E32" s="149">
        <f t="shared" si="20"/>
        <v>351.33</v>
      </c>
      <c r="F32" s="149">
        <f t="shared" si="20"/>
        <v>693.8</v>
      </c>
      <c r="G32" s="149">
        <f t="shared" si="20"/>
        <v>693.8</v>
      </c>
      <c r="H32" s="154"/>
      <c r="I32" s="2"/>
      <c r="J32" s="2"/>
      <c r="K32" s="2"/>
      <c r="L32" s="2"/>
      <c r="M32" s="2"/>
      <c r="N32" s="2"/>
      <c r="O32" s="2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46"/>
      <c r="AJ32" s="146"/>
    </row>
    <row r="33" s="131" customFormat="1" spans="1:36">
      <c r="A33" s="135">
        <v>3</v>
      </c>
      <c r="B33" s="152" t="s">
        <v>109</v>
      </c>
      <c r="C33" s="149">
        <f>材料成本!D27</f>
        <v>336.8102649961</v>
      </c>
      <c r="D33" s="149">
        <f>材料成本!E27</f>
        <v>263.57094</v>
      </c>
      <c r="E33" s="149">
        <f>材料成本!F27</f>
        <v>161.192</v>
      </c>
      <c r="F33" s="149">
        <f>材料成本!G27</f>
        <v>184.8158568</v>
      </c>
      <c r="G33" s="149">
        <f>材料成本!H27</f>
        <v>305.4940808</v>
      </c>
      <c r="H33" s="154"/>
      <c r="I33" s="131"/>
      <c r="J33" s="2"/>
      <c r="K33" s="2"/>
      <c r="L33" s="2"/>
      <c r="M33" s="2"/>
      <c r="N33" s="2"/>
      <c r="O33" s="2"/>
      <c r="P33" s="131"/>
      <c r="Q33" s="131"/>
      <c r="R33" s="131"/>
      <c r="S33" s="146" t="s">
        <v>109</v>
      </c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46" t="s">
        <v>64</v>
      </c>
      <c r="AJ33" s="146" t="s">
        <v>109</v>
      </c>
    </row>
    <row r="34" s="131" customFormat="1" ht="17.25" customHeight="1" spans="1:36">
      <c r="A34" s="135">
        <v>4</v>
      </c>
      <c r="B34" s="146" t="s">
        <v>111</v>
      </c>
      <c r="C34" s="159">
        <f t="shared" ref="C34:G34" si="21">C32-C33</f>
        <v>654.3397350039</v>
      </c>
      <c r="D34" s="159">
        <f t="shared" si="21"/>
        <v>466.51906</v>
      </c>
      <c r="E34" s="159">
        <f t="shared" si="21"/>
        <v>190.138</v>
      </c>
      <c r="F34" s="159">
        <f t="shared" si="21"/>
        <v>508.9841432</v>
      </c>
      <c r="G34" s="159">
        <f t="shared" si="21"/>
        <v>388.3059192</v>
      </c>
      <c r="H34" s="154"/>
      <c r="I34" s="131"/>
      <c r="J34" s="2"/>
      <c r="K34" s="2"/>
      <c r="L34" s="2"/>
      <c r="M34" s="2"/>
      <c r="N34" s="2"/>
      <c r="O34" s="2"/>
      <c r="P34" s="131"/>
      <c r="Q34" s="131"/>
      <c r="R34" s="131"/>
      <c r="S34" s="146" t="s">
        <v>111</v>
      </c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46" t="s">
        <v>110</v>
      </c>
      <c r="AJ34" s="146" t="s">
        <v>111</v>
      </c>
    </row>
    <row r="35" s="131" customFormat="1" spans="1:36">
      <c r="A35" s="146" t="s">
        <v>107</v>
      </c>
      <c r="B35" s="150" t="s">
        <v>10</v>
      </c>
      <c r="C35" s="154"/>
      <c r="D35" s="154"/>
      <c r="E35" s="154"/>
      <c r="F35" s="154"/>
      <c r="G35" s="154"/>
      <c r="H35" s="154"/>
      <c r="I35" s="2"/>
      <c r="J35" s="2"/>
      <c r="K35" s="2"/>
      <c r="L35" s="2"/>
      <c r="M35" s="2"/>
      <c r="N35" s="2"/>
      <c r="O35" s="2"/>
      <c r="P35" s="2"/>
      <c r="Q35" s="2"/>
      <c r="R35" s="2"/>
      <c r="S35" s="150" t="s">
        <v>10</v>
      </c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46" t="s">
        <v>113</v>
      </c>
      <c r="AJ35" s="150" t="s">
        <v>10</v>
      </c>
    </row>
    <row r="36" s="131" customFormat="1" spans="1:36">
      <c r="A36" s="135">
        <v>1</v>
      </c>
      <c r="B36" s="146" t="s">
        <v>114</v>
      </c>
      <c r="C36" s="153">
        <f>标准成本!E4</f>
        <v>14.5165224213319</v>
      </c>
      <c r="D36" s="153">
        <f>标准成本!E16</f>
        <v>11.359907514</v>
      </c>
      <c r="E36" s="153">
        <f>标准成本!E29</f>
        <v>6.9473752</v>
      </c>
      <c r="F36" s="153">
        <f>标准成本!E42</f>
        <v>7.96556342808</v>
      </c>
      <c r="G36" s="153">
        <f>标准成本!E55</f>
        <v>13.16679488248</v>
      </c>
      <c r="H36" s="158"/>
      <c r="I36" s="2"/>
      <c r="J36" s="2"/>
      <c r="K36" s="2"/>
      <c r="L36" s="2"/>
      <c r="M36" s="2"/>
      <c r="N36" s="2"/>
      <c r="O36" s="2"/>
      <c r="P36" s="2"/>
      <c r="Q36" s="2"/>
      <c r="R36" s="2"/>
      <c r="S36" s="146" t="s">
        <v>114</v>
      </c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46" t="s">
        <v>110</v>
      </c>
      <c r="AJ36" s="146" t="s">
        <v>114</v>
      </c>
    </row>
    <row r="37" s="131" customFormat="1" spans="1:36">
      <c r="A37" s="135">
        <v>2</v>
      </c>
      <c r="B37" s="146" t="s">
        <v>115</v>
      </c>
      <c r="C37" s="153">
        <f>标准成本!E6</f>
        <v>7.30878275041537</v>
      </c>
      <c r="D37" s="153">
        <f>标准成本!E18</f>
        <v>5.719489398</v>
      </c>
      <c r="E37" s="153">
        <f>标准成本!E31</f>
        <v>3.4978664</v>
      </c>
      <c r="F37" s="153">
        <f>标准成本!E44</f>
        <v>3.4978664</v>
      </c>
      <c r="G37" s="153">
        <f>标准成本!E57</f>
        <v>6.62922155336</v>
      </c>
      <c r="H37" s="158"/>
      <c r="I37" s="2"/>
      <c r="J37" s="2"/>
      <c r="K37" s="2"/>
      <c r="L37" s="2"/>
      <c r="M37" s="2"/>
      <c r="N37" s="2"/>
      <c r="O37" s="2"/>
      <c r="P37" s="2"/>
      <c r="Q37" s="2"/>
      <c r="R37" s="2"/>
      <c r="S37" s="146" t="s">
        <v>115</v>
      </c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46" t="s">
        <v>67</v>
      </c>
      <c r="AJ37" s="146" t="s">
        <v>115</v>
      </c>
    </row>
    <row r="38" s="131" customFormat="1" spans="1:36">
      <c r="A38" s="135">
        <v>3</v>
      </c>
      <c r="B38" s="146" t="s">
        <v>116</v>
      </c>
      <c r="C38" s="153">
        <f>标准成本!E10</f>
        <v>14.8196516598284</v>
      </c>
      <c r="D38" s="153">
        <f>标准成本!E22</f>
        <v>11.59712136</v>
      </c>
      <c r="E38" s="153">
        <f>标准成本!E35</f>
        <v>7.092448</v>
      </c>
      <c r="F38" s="153">
        <f>标准成本!E48</f>
        <v>7.092448</v>
      </c>
      <c r="G38" s="153">
        <f>标准成本!E61</f>
        <v>13.4417395552</v>
      </c>
      <c r="H38" s="158"/>
      <c r="I38" s="2"/>
      <c r="J38" s="2"/>
      <c r="K38" s="2"/>
      <c r="L38" s="2"/>
      <c r="M38" s="2"/>
      <c r="N38" s="2"/>
      <c r="O38" s="2"/>
      <c r="P38" s="2"/>
      <c r="Q38" s="2"/>
      <c r="R38" s="2"/>
      <c r="S38" s="146" t="s">
        <v>116</v>
      </c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46" t="s">
        <v>74</v>
      </c>
      <c r="AJ38" s="146" t="s">
        <v>116</v>
      </c>
    </row>
    <row r="39" s="131" customFormat="1" spans="1:36">
      <c r="A39" s="146" t="s">
        <v>113</v>
      </c>
      <c r="B39" s="150" t="s">
        <v>118</v>
      </c>
      <c r="C39" s="154"/>
      <c r="D39" s="154"/>
      <c r="E39" s="154"/>
      <c r="F39" s="154"/>
      <c r="G39" s="154"/>
      <c r="H39" s="154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50" t="s">
        <v>118</v>
      </c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46" t="s">
        <v>117</v>
      </c>
      <c r="AJ39" s="150" t="s">
        <v>118</v>
      </c>
    </row>
    <row r="40" s="131" customFormat="1" spans="1:36">
      <c r="A40" s="135">
        <v>1</v>
      </c>
      <c r="B40" s="146" t="s">
        <v>120</v>
      </c>
      <c r="C40" s="154">
        <f t="shared" ref="C40:G40" si="22">C34-C36-C37-C38</f>
        <v>617.694778172324</v>
      </c>
      <c r="D40" s="154">
        <f t="shared" si="22"/>
        <v>437.842541728</v>
      </c>
      <c r="E40" s="154">
        <f t="shared" si="22"/>
        <v>172.6003104</v>
      </c>
      <c r="F40" s="154">
        <f t="shared" si="22"/>
        <v>490.42826537192</v>
      </c>
      <c r="G40" s="154">
        <f t="shared" si="22"/>
        <v>355.06816320896</v>
      </c>
      <c r="H40" s="154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46" t="s">
        <v>120</v>
      </c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46" t="s">
        <v>62</v>
      </c>
      <c r="AJ40" s="146" t="s">
        <v>120</v>
      </c>
    </row>
    <row r="41" s="131" customFormat="1" spans="1:36">
      <c r="A41" s="135">
        <v>2</v>
      </c>
      <c r="B41" s="146" t="s">
        <v>121</v>
      </c>
      <c r="C41" s="154"/>
      <c r="D41" s="154"/>
      <c r="E41" s="154"/>
      <c r="F41" s="154"/>
      <c r="G41" s="154"/>
      <c r="H41" s="154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46" t="s">
        <v>121</v>
      </c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46" t="s">
        <v>64</v>
      </c>
      <c r="AJ41" s="146" t="s">
        <v>121</v>
      </c>
    </row>
    <row r="42" s="131" customFormat="1" spans="1:36">
      <c r="A42" s="146" t="s">
        <v>117</v>
      </c>
      <c r="B42" s="150" t="s">
        <v>123</v>
      </c>
      <c r="C42" s="154"/>
      <c r="D42" s="154"/>
      <c r="E42" s="154"/>
      <c r="F42" s="154"/>
      <c r="G42" s="154"/>
      <c r="H42" s="154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50" t="s">
        <v>123</v>
      </c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46" t="s">
        <v>122</v>
      </c>
      <c r="AJ42" s="150" t="s">
        <v>123</v>
      </c>
    </row>
    <row r="43" s="131" customFormat="1" spans="1:36">
      <c r="A43" s="135">
        <v>1</v>
      </c>
      <c r="B43" s="155" t="s">
        <v>124</v>
      </c>
      <c r="C43" s="153">
        <f>标准成本!E5</f>
        <v>13.8092208648401</v>
      </c>
      <c r="D43" s="153">
        <f>标准成本!E17</f>
        <v>10.80640854</v>
      </c>
      <c r="E43" s="153">
        <f>标准成本!E30</f>
        <v>6.608872</v>
      </c>
      <c r="F43" s="153">
        <f>标准成本!E43</f>
        <v>6.608872</v>
      </c>
      <c r="G43" s="153">
        <f>标准成本!E56</f>
        <v>12.5252573128</v>
      </c>
      <c r="H43" s="154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46" t="s">
        <v>124</v>
      </c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46" t="s">
        <v>62</v>
      </c>
      <c r="AJ43" s="146" t="s">
        <v>124</v>
      </c>
    </row>
    <row r="44" s="131" customFormat="1" spans="1:36">
      <c r="A44" s="135">
        <v>2</v>
      </c>
      <c r="B44" s="155" t="s">
        <v>125</v>
      </c>
      <c r="C44" s="153">
        <f>标准成本!E9</f>
        <v>2.3576718549727</v>
      </c>
      <c r="D44" s="153">
        <f>标准成本!E21</f>
        <v>1.84499658</v>
      </c>
      <c r="E44" s="153">
        <f>标准成本!E34</f>
        <v>1.128344</v>
      </c>
      <c r="F44" s="153">
        <f>标准成本!E47</f>
        <v>1.128344</v>
      </c>
      <c r="G44" s="153">
        <f>标准成本!E60</f>
        <v>2.1384585656</v>
      </c>
      <c r="H44" s="154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46" t="s">
        <v>125</v>
      </c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46" t="s">
        <v>64</v>
      </c>
      <c r="AJ44" s="146" t="s">
        <v>125</v>
      </c>
    </row>
    <row r="45" s="131" customFormat="1" spans="1:36">
      <c r="A45" s="135">
        <v>3</v>
      </c>
      <c r="B45" s="155" t="s">
        <v>126</v>
      </c>
      <c r="C45" s="153">
        <f>标准成本!E8</f>
        <v>11.4515490098674</v>
      </c>
      <c r="D45" s="153">
        <f>标准成本!E20</f>
        <v>8.96141196</v>
      </c>
      <c r="E45" s="153">
        <f>标准成本!E33</f>
        <v>5.480528</v>
      </c>
      <c r="F45" s="153">
        <f>标准成本!E46</f>
        <v>5.480528</v>
      </c>
      <c r="G45" s="153">
        <f>标准成本!E59</f>
        <v>10.3867987472</v>
      </c>
      <c r="H45" s="154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46" t="s">
        <v>126</v>
      </c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46" t="s">
        <v>110</v>
      </c>
      <c r="AJ45" s="146" t="s">
        <v>126</v>
      </c>
    </row>
    <row r="46" s="133" customFormat="1" spans="1:36">
      <c r="A46" s="135">
        <v>4</v>
      </c>
      <c r="B46" s="155" t="s">
        <v>127</v>
      </c>
      <c r="C46" s="160">
        <f t="shared" ref="C46:G46" si="23">C21/C6</f>
        <v>3.88235294117647</v>
      </c>
      <c r="D46" s="160">
        <f t="shared" si="23"/>
        <v>3.88235294117647</v>
      </c>
      <c r="E46" s="160">
        <f t="shared" si="23"/>
        <v>3.88235294117647</v>
      </c>
      <c r="F46" s="160">
        <f t="shared" si="23"/>
        <v>3.88235294117647</v>
      </c>
      <c r="G46" s="160">
        <f t="shared" si="23"/>
        <v>3.88235294117647</v>
      </c>
      <c r="H46" s="160"/>
      <c r="S46" s="155" t="s">
        <v>129</v>
      </c>
      <c r="AI46" s="155" t="s">
        <v>70</v>
      </c>
      <c r="AJ46" s="155" t="s">
        <v>129</v>
      </c>
    </row>
    <row r="47" s="133" customFormat="1" spans="1:36">
      <c r="A47" s="135">
        <v>5</v>
      </c>
      <c r="B47" s="155" t="s">
        <v>129</v>
      </c>
      <c r="C47" s="160">
        <f>标准成本!E11</f>
        <v>10.104307949883</v>
      </c>
      <c r="D47" s="160">
        <f>标准成本!E23</f>
        <v>7.9071282</v>
      </c>
      <c r="E47" s="160">
        <f>标准成本!E36</f>
        <v>4.83576</v>
      </c>
      <c r="F47" s="160">
        <f>标准成本!E49</f>
        <v>4.83576</v>
      </c>
      <c r="G47" s="160">
        <f>标准成本!E62</f>
        <v>9.164822424</v>
      </c>
      <c r="H47" s="160"/>
      <c r="S47" s="155" t="s">
        <v>129</v>
      </c>
      <c r="AI47" s="155" t="s">
        <v>70</v>
      </c>
      <c r="AJ47" s="155" t="s">
        <v>129</v>
      </c>
    </row>
    <row r="48" s="131" customFormat="1" spans="1:36">
      <c r="A48" s="146" t="s">
        <v>122</v>
      </c>
      <c r="B48" s="150" t="s">
        <v>140</v>
      </c>
      <c r="C48" s="154">
        <f t="shared" ref="C48:G48" si="24">C40-C43-C44-C45-C47-C46</f>
        <v>576.089675551584</v>
      </c>
      <c r="D48" s="154">
        <f t="shared" si="24"/>
        <v>404.440243506824</v>
      </c>
      <c r="E48" s="154">
        <f t="shared" si="24"/>
        <v>150.664453458824</v>
      </c>
      <c r="F48" s="154">
        <f t="shared" si="24"/>
        <v>468.492408430743</v>
      </c>
      <c r="G48" s="154">
        <f t="shared" si="24"/>
        <v>316.970473218183</v>
      </c>
      <c r="H48" s="154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50" t="s">
        <v>140</v>
      </c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46" t="s">
        <v>139</v>
      </c>
      <c r="AJ48" s="150" t="s">
        <v>140</v>
      </c>
    </row>
    <row r="49" s="131" customFormat="1" spans="3:8">
      <c r="C49" s="134"/>
      <c r="D49" s="134"/>
      <c r="E49" s="134"/>
      <c r="F49" s="134"/>
      <c r="G49" s="134"/>
      <c r="H49" s="134"/>
    </row>
    <row r="50" s="131" customFormat="1" spans="3:8">
      <c r="C50" s="134"/>
      <c r="D50" s="134"/>
      <c r="E50" s="134"/>
      <c r="F50" s="134"/>
      <c r="G50" s="134"/>
      <c r="H50" s="134"/>
    </row>
    <row r="51" s="131" customFormat="1" spans="3:8">
      <c r="C51" s="161"/>
      <c r="D51" s="161"/>
      <c r="E51" s="161"/>
      <c r="F51" s="161"/>
      <c r="G51" s="161"/>
      <c r="H51" s="134"/>
    </row>
    <row r="52" s="131" customFormat="1" spans="3:8">
      <c r="C52" s="134"/>
      <c r="D52" s="134"/>
      <c r="E52" s="134"/>
      <c r="F52" s="134"/>
      <c r="G52" s="134"/>
      <c r="H52" s="134"/>
    </row>
    <row r="53" s="131" customFormat="1" spans="3:8">
      <c r="C53" s="134"/>
      <c r="D53" s="134"/>
      <c r="E53" s="134"/>
      <c r="F53" s="134"/>
      <c r="G53" s="134"/>
      <c r="H53" s="134"/>
    </row>
    <row r="54" s="131" customFormat="1" spans="2:13">
      <c r="B54" s="2"/>
      <c r="C54" s="162"/>
      <c r="D54" s="162"/>
      <c r="E54" s="162"/>
      <c r="F54" s="162"/>
      <c r="G54" s="162"/>
      <c r="H54" s="162"/>
      <c r="I54" s="2"/>
      <c r="J54" s="2"/>
      <c r="K54" s="2"/>
      <c r="L54" s="2"/>
      <c r="M54" s="2"/>
    </row>
    <row r="55" s="131" customFormat="1" spans="2:13">
      <c r="B55" s="2"/>
      <c r="C55" s="162"/>
      <c r="D55" s="162"/>
      <c r="E55" s="162"/>
      <c r="F55" s="162"/>
      <c r="G55" s="162"/>
      <c r="H55" s="162"/>
      <c r="I55" s="2"/>
      <c r="J55" s="2"/>
      <c r="K55" s="2"/>
      <c r="L55" s="2"/>
      <c r="M55" s="2"/>
    </row>
    <row r="56" s="131" customFormat="1" spans="2:13">
      <c r="B56" s="2"/>
      <c r="C56" s="162"/>
      <c r="D56" s="162"/>
      <c r="E56" s="162"/>
      <c r="F56" s="162"/>
      <c r="G56" s="162"/>
      <c r="H56" s="162"/>
      <c r="I56" s="2"/>
      <c r="J56" s="2"/>
      <c r="K56" s="2"/>
      <c r="L56" s="2"/>
      <c r="M56" s="2"/>
    </row>
    <row r="57" s="131" customFormat="1" spans="2:13">
      <c r="B57" s="2"/>
      <c r="C57" s="162"/>
      <c r="D57" s="162"/>
      <c r="E57" s="162"/>
      <c r="F57" s="162"/>
      <c r="G57" s="162"/>
      <c r="H57" s="162"/>
      <c r="I57" s="2"/>
      <c r="J57" s="2"/>
      <c r="K57" s="2"/>
      <c r="L57" s="2"/>
      <c r="M57" s="2"/>
    </row>
    <row r="58" s="131" customFormat="1" spans="2:13">
      <c r="B58" s="2"/>
      <c r="C58" s="162"/>
      <c r="D58" s="162"/>
      <c r="E58" s="162"/>
      <c r="F58" s="162"/>
      <c r="G58" s="162"/>
      <c r="H58" s="162"/>
      <c r="I58" s="2"/>
      <c r="J58" s="2"/>
      <c r="K58" s="2"/>
      <c r="L58" s="2"/>
      <c r="M58" s="2"/>
    </row>
    <row r="59" s="131" customFormat="1" spans="2:13">
      <c r="B59" s="2"/>
      <c r="C59" s="162"/>
      <c r="D59" s="162"/>
      <c r="E59" s="162"/>
      <c r="F59" s="162"/>
      <c r="G59" s="162"/>
      <c r="H59" s="162"/>
      <c r="I59" s="2"/>
      <c r="J59" s="2"/>
      <c r="K59" s="2"/>
      <c r="L59" s="2"/>
      <c r="M59" s="2"/>
    </row>
    <row r="60" s="131" customFormat="1" spans="2:13">
      <c r="B60" s="2"/>
      <c r="C60" s="162"/>
      <c r="D60" s="162"/>
      <c r="E60" s="162"/>
      <c r="F60" s="162"/>
      <c r="G60" s="162"/>
      <c r="H60" s="162"/>
      <c r="I60" s="2"/>
      <c r="J60" s="2"/>
      <c r="K60" s="2"/>
      <c r="L60" s="2"/>
      <c r="M60" s="2"/>
    </row>
    <row r="61" s="131" customFormat="1" spans="2:13">
      <c r="B61" s="2"/>
      <c r="C61" s="162"/>
      <c r="D61" s="162"/>
      <c r="E61" s="162"/>
      <c r="F61" s="162"/>
      <c r="G61" s="162"/>
      <c r="H61" s="162"/>
      <c r="I61" s="2"/>
      <c r="J61" s="2"/>
      <c r="K61" s="2"/>
      <c r="L61" s="2"/>
      <c r="M61" s="2"/>
    </row>
    <row r="62" s="131" customFormat="1" spans="2:13">
      <c r="B62" s="2"/>
      <c r="C62" s="162"/>
      <c r="D62" s="162"/>
      <c r="E62" s="162"/>
      <c r="F62" s="162"/>
      <c r="G62" s="162"/>
      <c r="H62" s="162"/>
      <c r="I62" s="2"/>
      <c r="J62" s="2"/>
      <c r="K62" s="2"/>
      <c r="L62" s="2"/>
      <c r="M62" s="2"/>
    </row>
    <row r="63" s="131" customFormat="1" spans="2:13">
      <c r="B63" s="2"/>
      <c r="C63" s="162"/>
      <c r="D63" s="162"/>
      <c r="E63" s="162"/>
      <c r="F63" s="162"/>
      <c r="G63" s="162"/>
      <c r="H63" s="162"/>
      <c r="I63" s="2"/>
      <c r="J63" s="2"/>
      <c r="K63" s="2"/>
      <c r="L63" s="2"/>
      <c r="M63" s="2"/>
    </row>
    <row r="64" s="131" customFormat="1" spans="2:13">
      <c r="B64" s="2"/>
      <c r="C64" s="162"/>
      <c r="D64" s="162"/>
      <c r="E64" s="162"/>
      <c r="F64" s="162"/>
      <c r="G64" s="162"/>
      <c r="H64" s="162"/>
      <c r="I64" s="2"/>
      <c r="J64" s="2"/>
      <c r="K64" s="2"/>
      <c r="L64" s="2"/>
      <c r="M64" s="2"/>
    </row>
    <row r="65" s="131" customFormat="1" spans="2:13">
      <c r="B65" s="2"/>
      <c r="C65" s="162"/>
      <c r="D65" s="162"/>
      <c r="E65" s="162"/>
      <c r="F65" s="162"/>
      <c r="G65" s="162"/>
      <c r="H65" s="162"/>
      <c r="I65" s="2"/>
      <c r="J65" s="2"/>
      <c r="K65" s="2"/>
      <c r="L65" s="2"/>
      <c r="M65" s="2"/>
    </row>
    <row r="66" s="131" customFormat="1" spans="2:13">
      <c r="B66" s="2"/>
      <c r="C66" s="162"/>
      <c r="D66" s="162"/>
      <c r="E66" s="162"/>
      <c r="F66" s="162"/>
      <c r="G66" s="162"/>
      <c r="H66" s="162"/>
      <c r="I66" s="2"/>
      <c r="J66" s="2"/>
      <c r="K66" s="2"/>
      <c r="L66" s="2"/>
      <c r="M66" s="2"/>
    </row>
    <row r="67" s="131" customFormat="1" spans="2:9">
      <c r="B67" s="2"/>
      <c r="C67" s="162"/>
      <c r="D67" s="162"/>
      <c r="E67" s="162"/>
      <c r="F67" s="162"/>
      <c r="G67" s="162"/>
      <c r="H67" s="162"/>
      <c r="I67" s="2"/>
    </row>
    <row r="68" s="131" customFormat="1" spans="2:9">
      <c r="B68" s="2"/>
      <c r="C68" s="162"/>
      <c r="D68" s="162"/>
      <c r="E68" s="162"/>
      <c r="F68" s="162"/>
      <c r="G68" s="162"/>
      <c r="H68" s="162"/>
      <c r="I68" s="2"/>
    </row>
    <row r="69" s="131" customFormat="1" spans="2:9">
      <c r="B69" s="2"/>
      <c r="C69" s="162"/>
      <c r="D69" s="162"/>
      <c r="E69" s="162"/>
      <c r="F69" s="162"/>
      <c r="G69" s="162"/>
      <c r="H69" s="162"/>
      <c r="I69" s="2"/>
    </row>
    <row r="70" s="131" customFormat="1" spans="2:9">
      <c r="B70" s="2"/>
      <c r="C70" s="162"/>
      <c r="D70" s="162"/>
      <c r="E70" s="162"/>
      <c r="F70" s="162"/>
      <c r="G70" s="162"/>
      <c r="H70" s="162"/>
      <c r="I70" s="2"/>
    </row>
    <row r="71" s="131" customFormat="1" spans="2:9">
      <c r="B71" s="2"/>
      <c r="C71" s="162"/>
      <c r="D71" s="162"/>
      <c r="E71" s="162"/>
      <c r="F71" s="162"/>
      <c r="G71" s="162"/>
      <c r="H71" s="162"/>
      <c r="I71" s="2"/>
    </row>
    <row r="72" s="131" customFormat="1" spans="2:9">
      <c r="B72" s="2"/>
      <c r="C72" s="162"/>
      <c r="D72" s="162"/>
      <c r="E72" s="162"/>
      <c r="F72" s="162"/>
      <c r="G72" s="162"/>
      <c r="H72" s="162"/>
      <c r="I72" s="2"/>
    </row>
    <row r="73" s="131" customFormat="1" spans="2:9">
      <c r="B73" s="2"/>
      <c r="C73" s="162"/>
      <c r="D73" s="162"/>
      <c r="E73" s="162"/>
      <c r="F73" s="162"/>
      <c r="G73" s="162"/>
      <c r="H73" s="162"/>
      <c r="I73" s="2"/>
    </row>
    <row r="74" s="131" customFormat="1" spans="2:9">
      <c r="B74" s="2"/>
      <c r="C74" s="162"/>
      <c r="D74" s="162"/>
      <c r="E74" s="162"/>
      <c r="F74" s="162"/>
      <c r="G74" s="162"/>
      <c r="H74" s="162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4"/>
  <sheetViews>
    <sheetView zoomScale="85" zoomScaleNormal="85" topLeftCell="A8" workbookViewId="0">
      <selection activeCell="E33" sqref="E33"/>
    </sheetView>
  </sheetViews>
  <sheetFormatPr defaultColWidth="9" defaultRowHeight="14.5"/>
  <cols>
    <col min="1" max="1" width="5.12727272727273" style="131" customWidth="1"/>
    <col min="2" max="2" width="17.5" style="131" customWidth="1"/>
    <col min="3" max="7" width="11.7545454545455" style="134" customWidth="1"/>
    <col min="8" max="8" width="18.7545454545455" style="134" customWidth="1"/>
    <col min="9" max="9" width="12.3727272727273" style="131" customWidth="1"/>
    <col min="10" max="10" width="10.1272727272727" style="131" customWidth="1"/>
    <col min="11" max="17" width="9" style="131" customWidth="1"/>
    <col min="18" max="34" width="9" style="131"/>
    <col min="35" max="35" width="4.37272727272727" style="131" customWidth="1"/>
    <col min="36" max="36" width="13.8727272727273" style="131" customWidth="1"/>
    <col min="37" max="16384" width="9" style="131"/>
  </cols>
  <sheetData>
    <row r="1" s="131" customFormat="1" spans="1:8">
      <c r="A1" s="135" t="s">
        <v>150</v>
      </c>
      <c r="B1" s="135"/>
      <c r="C1" s="136" t="s">
        <v>176</v>
      </c>
      <c r="D1" s="137"/>
      <c r="E1" s="137"/>
      <c r="F1" s="137"/>
      <c r="G1" s="137"/>
      <c r="H1" s="138"/>
    </row>
    <row r="2" s="131" customFormat="1" spans="1:8">
      <c r="A2" s="135" t="s">
        <v>152</v>
      </c>
      <c r="B2" s="135"/>
      <c r="C2" s="139" t="s">
        <v>153</v>
      </c>
      <c r="D2" s="139"/>
      <c r="E2" s="139"/>
      <c r="F2" s="139"/>
      <c r="G2" s="139"/>
      <c r="H2" s="139"/>
    </row>
    <row r="3" s="131" customFormat="1" ht="43.5" spans="1:8">
      <c r="A3" s="135" t="s">
        <v>154</v>
      </c>
      <c r="B3" s="135"/>
      <c r="C3" s="140" t="s">
        <v>155</v>
      </c>
      <c r="D3" s="140" t="s">
        <v>156</v>
      </c>
      <c r="E3" s="140" t="s">
        <v>157</v>
      </c>
      <c r="F3" s="140" t="s">
        <v>158</v>
      </c>
      <c r="G3" s="140" t="s">
        <v>159</v>
      </c>
      <c r="H3" s="141" t="s">
        <v>58</v>
      </c>
    </row>
    <row r="4" s="131" customFormat="1" ht="29" spans="1:8">
      <c r="A4" s="135" t="s">
        <v>160</v>
      </c>
      <c r="B4" s="135"/>
      <c r="C4" s="140" t="s">
        <v>161</v>
      </c>
      <c r="D4" s="142" t="s">
        <v>162</v>
      </c>
      <c r="E4" s="142" t="s">
        <v>163</v>
      </c>
      <c r="F4" s="142" t="s">
        <v>164</v>
      </c>
      <c r="G4" s="142" t="s">
        <v>165</v>
      </c>
      <c r="H4" s="143"/>
    </row>
    <row r="5" s="131" customFormat="1" spans="1:37">
      <c r="A5" s="135" t="s">
        <v>166</v>
      </c>
      <c r="B5" s="135"/>
      <c r="C5" s="144"/>
      <c r="D5" s="144"/>
      <c r="E5" s="142"/>
      <c r="F5" s="142"/>
      <c r="G5" s="144"/>
      <c r="H5" s="145"/>
      <c r="AK5" s="131" t="s">
        <v>59</v>
      </c>
    </row>
    <row r="6" s="131" customFormat="1" spans="1:37">
      <c r="A6" s="146" t="s">
        <v>21</v>
      </c>
      <c r="B6" s="147" t="s">
        <v>167</v>
      </c>
      <c r="C6" s="148">
        <f>销量!C13</f>
        <v>890</v>
      </c>
      <c r="D6" s="148">
        <f>销量!D13</f>
        <v>890</v>
      </c>
      <c r="E6" s="148">
        <f>销量!E13</f>
        <v>890</v>
      </c>
      <c r="F6" s="148">
        <f>销量!F13</f>
        <v>890</v>
      </c>
      <c r="G6" s="148">
        <f>销量!G13</f>
        <v>890</v>
      </c>
      <c r="H6" s="149">
        <f t="shared" ref="H6:H15" si="0">+SUM(C6:G6)</f>
        <v>4450</v>
      </c>
      <c r="S6" s="147" t="s">
        <v>3</v>
      </c>
      <c r="AI6" s="146" t="s">
        <v>21</v>
      </c>
      <c r="AJ6" s="147" t="s">
        <v>3</v>
      </c>
      <c r="AK6" s="131" t="s">
        <v>60</v>
      </c>
    </row>
    <row r="7" s="131" customFormat="1" spans="1:37">
      <c r="A7" s="135">
        <v>1</v>
      </c>
      <c r="B7" s="147" t="s">
        <v>61</v>
      </c>
      <c r="C7" s="149">
        <f>C6*销量!C8</f>
        <v>882123.5</v>
      </c>
      <c r="D7" s="149">
        <f>D6*销量!D8</f>
        <v>649780.1</v>
      </c>
      <c r="E7" s="149">
        <f>E6*销量!E8</f>
        <v>312683.7</v>
      </c>
      <c r="F7" s="149">
        <f>F6*销量!F8</f>
        <v>617482</v>
      </c>
      <c r="G7" s="149">
        <f>G6*销量!G8</f>
        <v>617482</v>
      </c>
      <c r="H7" s="149">
        <f t="shared" si="0"/>
        <v>3079551.3</v>
      </c>
      <c r="I7" s="134"/>
      <c r="S7" s="147" t="s">
        <v>61</v>
      </c>
      <c r="AI7" s="146" t="s">
        <v>62</v>
      </c>
      <c r="AJ7" s="147" t="s">
        <v>61</v>
      </c>
      <c r="AK7" s="131" t="s">
        <v>60</v>
      </c>
    </row>
    <row r="8" s="131" customFormat="1" spans="1:37">
      <c r="A8" s="135">
        <v>2</v>
      </c>
      <c r="B8" s="135" t="s">
        <v>63</v>
      </c>
      <c r="C8" s="149">
        <f>C7*(1-销量!$K$8)</f>
        <v>0</v>
      </c>
      <c r="D8" s="149">
        <f>D7*(1-销量!$K$8)</f>
        <v>0</v>
      </c>
      <c r="E8" s="149">
        <f>E7*(1-销量!$K$8)</f>
        <v>0</v>
      </c>
      <c r="F8" s="149">
        <f>F7*(1-销量!$K$8)</f>
        <v>0</v>
      </c>
      <c r="G8" s="149">
        <f>G7*(1-销量!$K$8)</f>
        <v>0</v>
      </c>
      <c r="H8" s="149">
        <f t="shared" si="0"/>
        <v>0</v>
      </c>
      <c r="I8" s="163"/>
      <c r="S8" s="135" t="s">
        <v>65</v>
      </c>
      <c r="AI8" s="146" t="s">
        <v>64</v>
      </c>
      <c r="AJ8" s="135" t="s">
        <v>65</v>
      </c>
      <c r="AK8" s="131" t="s">
        <v>60</v>
      </c>
    </row>
    <row r="9" s="131" customFormat="1" spans="1:37">
      <c r="A9" s="135">
        <v>3</v>
      </c>
      <c r="B9" s="147" t="s">
        <v>66</v>
      </c>
      <c r="C9" s="149">
        <f t="shared" ref="C9:G9" si="1">+C7-C8</f>
        <v>882123.5</v>
      </c>
      <c r="D9" s="149">
        <f t="shared" si="1"/>
        <v>649780.1</v>
      </c>
      <c r="E9" s="149">
        <f t="shared" si="1"/>
        <v>312683.7</v>
      </c>
      <c r="F9" s="149">
        <f t="shared" si="1"/>
        <v>617482</v>
      </c>
      <c r="G9" s="149">
        <f t="shared" si="1"/>
        <v>617482</v>
      </c>
      <c r="H9" s="149">
        <f t="shared" si="0"/>
        <v>3079551.3</v>
      </c>
      <c r="S9" s="147" t="s">
        <v>66</v>
      </c>
      <c r="AI9" s="146" t="s">
        <v>67</v>
      </c>
      <c r="AJ9" s="147" t="s">
        <v>66</v>
      </c>
      <c r="AK9" s="131" t="s">
        <v>68</v>
      </c>
    </row>
    <row r="10" s="131" customFormat="1" spans="1:37">
      <c r="A10" s="135">
        <v>4</v>
      </c>
      <c r="B10" s="146" t="s">
        <v>71</v>
      </c>
      <c r="C10" s="149">
        <f t="shared" ref="C10:G10" si="2">C6*C33</f>
        <v>299761.135846529</v>
      </c>
      <c r="D10" s="149">
        <f t="shared" si="2"/>
        <v>234578.1366</v>
      </c>
      <c r="E10" s="149">
        <f t="shared" si="2"/>
        <v>143460.88</v>
      </c>
      <c r="F10" s="149">
        <f t="shared" si="2"/>
        <v>164486.112552</v>
      </c>
      <c r="G10" s="149">
        <f t="shared" si="2"/>
        <v>271889.731912</v>
      </c>
      <c r="H10" s="149">
        <f t="shared" si="0"/>
        <v>1114175.99691053</v>
      </c>
      <c r="S10" s="146" t="s">
        <v>71</v>
      </c>
      <c r="AI10" s="146" t="s">
        <v>70</v>
      </c>
      <c r="AJ10" s="146" t="s">
        <v>71</v>
      </c>
      <c r="AK10" s="131" t="s">
        <v>72</v>
      </c>
    </row>
    <row r="11" s="131" customFormat="1" spans="1:36">
      <c r="A11" s="135">
        <v>5</v>
      </c>
      <c r="B11" s="146" t="s">
        <v>73</v>
      </c>
      <c r="C11" s="149">
        <f t="shared" ref="C11:G11" si="3">+C6*C36</f>
        <v>12919.7049549854</v>
      </c>
      <c r="D11" s="149">
        <f t="shared" si="3"/>
        <v>10110.31768746</v>
      </c>
      <c r="E11" s="149">
        <f t="shared" si="3"/>
        <v>6183.163928</v>
      </c>
      <c r="F11" s="149">
        <f t="shared" si="3"/>
        <v>7089.3514509912</v>
      </c>
      <c r="G11" s="149">
        <f t="shared" si="3"/>
        <v>11718.4474454072</v>
      </c>
      <c r="H11" s="149">
        <f t="shared" si="0"/>
        <v>48020.9854668438</v>
      </c>
      <c r="S11" s="146" t="s">
        <v>73</v>
      </c>
      <c r="AI11" s="146" t="s">
        <v>74</v>
      </c>
      <c r="AJ11" s="146" t="s">
        <v>73</v>
      </c>
    </row>
    <row r="12" s="131" customFormat="1" spans="1:36">
      <c r="A12" s="135">
        <v>6</v>
      </c>
      <c r="B12" s="146" t="s">
        <v>75</v>
      </c>
      <c r="C12" s="149">
        <f t="shared" ref="C12:G12" si="4">+C6*C37</f>
        <v>6504.81664786968</v>
      </c>
      <c r="D12" s="149">
        <f t="shared" si="4"/>
        <v>5090.34556422</v>
      </c>
      <c r="E12" s="149">
        <f t="shared" si="4"/>
        <v>3113.101096</v>
      </c>
      <c r="F12" s="149">
        <f t="shared" si="4"/>
        <v>3113.101096</v>
      </c>
      <c r="G12" s="149">
        <f t="shared" si="4"/>
        <v>5900.0071824904</v>
      </c>
      <c r="H12" s="149">
        <f t="shared" si="0"/>
        <v>23721.3715865801</v>
      </c>
      <c r="S12" s="146" t="s">
        <v>75</v>
      </c>
      <c r="AI12" s="146" t="s">
        <v>76</v>
      </c>
      <c r="AJ12" s="146" t="s">
        <v>75</v>
      </c>
    </row>
    <row r="13" s="131" customFormat="1" spans="1:37">
      <c r="A13" s="135">
        <v>7</v>
      </c>
      <c r="B13" s="146" t="s">
        <v>77</v>
      </c>
      <c r="C13" s="149">
        <f t="shared" ref="C13:G13" si="5">+C6*C38</f>
        <v>13189.4899772473</v>
      </c>
      <c r="D13" s="149">
        <f t="shared" si="5"/>
        <v>10321.4380104</v>
      </c>
      <c r="E13" s="149">
        <f t="shared" si="5"/>
        <v>6312.27872</v>
      </c>
      <c r="F13" s="149">
        <f t="shared" si="5"/>
        <v>6312.27872</v>
      </c>
      <c r="G13" s="149">
        <f t="shared" si="5"/>
        <v>11963.148204128</v>
      </c>
      <c r="H13" s="149">
        <f t="shared" si="0"/>
        <v>48098.6336317753</v>
      </c>
      <c r="S13" s="146" t="s">
        <v>77</v>
      </c>
      <c r="AI13" s="146" t="s">
        <v>78</v>
      </c>
      <c r="AJ13" s="146" t="s">
        <v>77</v>
      </c>
      <c r="AK13" s="131" t="s">
        <v>60</v>
      </c>
    </row>
    <row r="14" s="131" customFormat="1" spans="1:36">
      <c r="A14" s="135">
        <v>8</v>
      </c>
      <c r="B14" s="150" t="s">
        <v>79</v>
      </c>
      <c r="C14" s="149">
        <f t="shared" ref="C14:G14" si="6">SUM(C11:C13)</f>
        <v>32614.0115801024</v>
      </c>
      <c r="D14" s="149">
        <f t="shared" si="6"/>
        <v>25522.10126208</v>
      </c>
      <c r="E14" s="149">
        <f t="shared" si="6"/>
        <v>15608.543744</v>
      </c>
      <c r="F14" s="149">
        <f t="shared" si="6"/>
        <v>16514.7312669912</v>
      </c>
      <c r="G14" s="149">
        <f t="shared" si="6"/>
        <v>29581.6028320256</v>
      </c>
      <c r="H14" s="149">
        <f t="shared" si="0"/>
        <v>119840.990685199</v>
      </c>
      <c r="S14" s="150" t="s">
        <v>79</v>
      </c>
      <c r="AI14" s="146" t="s">
        <v>80</v>
      </c>
      <c r="AJ14" s="150" t="s">
        <v>79</v>
      </c>
    </row>
    <row r="15" s="131" customFormat="1" spans="1:36">
      <c r="A15" s="135">
        <v>9</v>
      </c>
      <c r="B15" s="150" t="s">
        <v>81</v>
      </c>
      <c r="C15" s="149">
        <f t="shared" ref="C15:G15" si="7">+C9-C10-C14</f>
        <v>549748.352573369</v>
      </c>
      <c r="D15" s="149">
        <f t="shared" si="7"/>
        <v>389679.86213792</v>
      </c>
      <c r="E15" s="149">
        <f t="shared" si="7"/>
        <v>153614.276256</v>
      </c>
      <c r="F15" s="149">
        <f t="shared" si="7"/>
        <v>436481.156181009</v>
      </c>
      <c r="G15" s="149">
        <f t="shared" si="7"/>
        <v>316010.665255974</v>
      </c>
      <c r="H15" s="149">
        <f t="shared" si="0"/>
        <v>1845534.31240427</v>
      </c>
      <c r="S15" s="150" t="s">
        <v>81</v>
      </c>
      <c r="AI15" s="146" t="s">
        <v>82</v>
      </c>
      <c r="AJ15" s="150" t="s">
        <v>81</v>
      </c>
    </row>
    <row r="16" s="131" customFormat="1" spans="1:36">
      <c r="A16" s="135">
        <v>10</v>
      </c>
      <c r="B16" s="146" t="s">
        <v>83</v>
      </c>
      <c r="C16" s="151">
        <f t="shared" ref="C16:H16" si="8">+C15/C9</f>
        <v>0.623210188339126</v>
      </c>
      <c r="D16" s="151">
        <f t="shared" si="8"/>
        <v>0.599710366842444</v>
      </c>
      <c r="E16" s="151">
        <f t="shared" si="8"/>
        <v>0.491276891811118</v>
      </c>
      <c r="F16" s="151">
        <f t="shared" si="8"/>
        <v>0.706872679982589</v>
      </c>
      <c r="G16" s="151">
        <f t="shared" si="8"/>
        <v>0.51177308043955</v>
      </c>
      <c r="H16" s="151">
        <f t="shared" si="8"/>
        <v>0.59928675726372</v>
      </c>
      <c r="I16" s="164"/>
      <c r="J16" s="164"/>
      <c r="K16" s="164"/>
      <c r="S16" s="146" t="s">
        <v>83</v>
      </c>
      <c r="AI16" s="146" t="s">
        <v>84</v>
      </c>
      <c r="AJ16" s="146" t="s">
        <v>83</v>
      </c>
    </row>
    <row r="17" s="131" customFormat="1" spans="1:36">
      <c r="A17" s="135">
        <v>11</v>
      </c>
      <c r="B17" s="146" t="s">
        <v>85</v>
      </c>
      <c r="C17" s="149">
        <f t="shared" ref="C17:G17" si="9">C6*C43+C18</f>
        <v>21904.2065697077</v>
      </c>
      <c r="D17" s="149">
        <f t="shared" si="9"/>
        <v>19231.7036006</v>
      </c>
      <c r="E17" s="149">
        <f t="shared" si="9"/>
        <v>15495.89608</v>
      </c>
      <c r="F17" s="149">
        <f t="shared" si="9"/>
        <v>15495.89608</v>
      </c>
      <c r="G17" s="149">
        <f t="shared" si="9"/>
        <v>20761.479008392</v>
      </c>
      <c r="H17" s="149">
        <f t="shared" ref="H17:H20" si="10">+SUM(C17:G17)</f>
        <v>92889.1813386997</v>
      </c>
      <c r="I17" s="163"/>
      <c r="S17" s="146" t="s">
        <v>85</v>
      </c>
      <c r="AI17" s="146" t="s">
        <v>86</v>
      </c>
      <c r="AJ17" s="146" t="s">
        <v>85</v>
      </c>
    </row>
    <row r="18" s="132" customFormat="1" spans="1:11">
      <c r="A18" s="135">
        <v>12</v>
      </c>
      <c r="B18" s="152" t="s">
        <v>168</v>
      </c>
      <c r="C18" s="153">
        <f t="shared" ref="C18:G18" si="11">$H$18/$H$6*C6</f>
        <v>9614</v>
      </c>
      <c r="D18" s="153">
        <f t="shared" si="11"/>
        <v>9614</v>
      </c>
      <c r="E18" s="153">
        <f t="shared" si="11"/>
        <v>9614</v>
      </c>
      <c r="F18" s="153">
        <f t="shared" si="11"/>
        <v>9614</v>
      </c>
      <c r="G18" s="153">
        <f t="shared" si="11"/>
        <v>9614</v>
      </c>
      <c r="H18" s="149">
        <f>项目投资!F26</f>
        <v>48070</v>
      </c>
      <c r="I18" s="165" t="s">
        <v>169</v>
      </c>
      <c r="J18" s="165"/>
      <c r="K18" s="165"/>
    </row>
    <row r="19" s="131" customFormat="1" spans="1:37">
      <c r="A19" s="135">
        <v>13</v>
      </c>
      <c r="B19" s="146" t="s">
        <v>87</v>
      </c>
      <c r="C19" s="149">
        <f t="shared" ref="C19:G19" si="12">C6*C44</f>
        <v>2098.3279509257</v>
      </c>
      <c r="D19" s="149">
        <f t="shared" si="12"/>
        <v>1642.0469562</v>
      </c>
      <c r="E19" s="149">
        <f t="shared" si="12"/>
        <v>1004.22616</v>
      </c>
      <c r="F19" s="149">
        <f t="shared" si="12"/>
        <v>1004.22616</v>
      </c>
      <c r="G19" s="149">
        <f t="shared" si="12"/>
        <v>1903.228123384</v>
      </c>
      <c r="H19" s="149">
        <f t="shared" si="10"/>
        <v>7652.0553505097</v>
      </c>
      <c r="I19" s="132"/>
      <c r="S19" s="146" t="s">
        <v>87</v>
      </c>
      <c r="AI19" s="146" t="s">
        <v>88</v>
      </c>
      <c r="AJ19" s="146" t="s">
        <v>87</v>
      </c>
      <c r="AK19" s="131" t="s">
        <v>60</v>
      </c>
    </row>
    <row r="20" s="131" customFormat="1" spans="1:36">
      <c r="A20" s="135">
        <v>14</v>
      </c>
      <c r="B20" s="146" t="s">
        <v>89</v>
      </c>
      <c r="C20" s="149">
        <f t="shared" ref="C20:G20" si="13">C6*C45</f>
        <v>10191.878618782</v>
      </c>
      <c r="D20" s="149">
        <f t="shared" si="13"/>
        <v>7975.6566444</v>
      </c>
      <c r="E20" s="149">
        <f t="shared" si="13"/>
        <v>4877.66992</v>
      </c>
      <c r="F20" s="149">
        <f t="shared" si="13"/>
        <v>4877.66992</v>
      </c>
      <c r="G20" s="149">
        <f t="shared" si="13"/>
        <v>9244.250885008</v>
      </c>
      <c r="H20" s="149">
        <f t="shared" si="10"/>
        <v>37167.12598819</v>
      </c>
      <c r="S20" s="146" t="s">
        <v>89</v>
      </c>
      <c r="AI20" s="146" t="s">
        <v>90</v>
      </c>
      <c r="AJ20" s="146" t="s">
        <v>89</v>
      </c>
    </row>
    <row r="21" s="131" customFormat="1" spans="1:36">
      <c r="A21" s="135">
        <v>15</v>
      </c>
      <c r="B21" s="146" t="s">
        <v>91</v>
      </c>
      <c r="C21" s="154">
        <f t="shared" ref="C21:G21" si="14">$H$21/$H$6*C6</f>
        <v>3300</v>
      </c>
      <c r="D21" s="154">
        <f t="shared" si="14"/>
        <v>3300</v>
      </c>
      <c r="E21" s="154">
        <f t="shared" si="14"/>
        <v>3300</v>
      </c>
      <c r="F21" s="154">
        <f t="shared" si="14"/>
        <v>3300</v>
      </c>
      <c r="G21" s="154">
        <f t="shared" si="14"/>
        <v>3300</v>
      </c>
      <c r="H21" s="149">
        <f>项目投资!F27</f>
        <v>16500</v>
      </c>
      <c r="S21" s="146" t="s">
        <v>91</v>
      </c>
      <c r="AI21" s="146"/>
      <c r="AJ21" s="146"/>
    </row>
    <row r="22" s="131" customFormat="1" spans="1:36">
      <c r="A22" s="135">
        <v>16</v>
      </c>
      <c r="B22" s="146" t="s">
        <v>92</v>
      </c>
      <c r="C22" s="149">
        <f t="shared" ref="C22:G22" si="15">C6*C47</f>
        <v>8992.83407539587</v>
      </c>
      <c r="D22" s="149">
        <f t="shared" si="15"/>
        <v>7037.344098</v>
      </c>
      <c r="E22" s="149">
        <f t="shared" si="15"/>
        <v>4303.8264</v>
      </c>
      <c r="F22" s="149">
        <f t="shared" si="15"/>
        <v>4303.8264</v>
      </c>
      <c r="G22" s="149">
        <f t="shared" si="15"/>
        <v>8156.69195736</v>
      </c>
      <c r="H22" s="149">
        <f>+SUM(C22:G22)</f>
        <v>32794.5229307559</v>
      </c>
      <c r="S22" s="146" t="s">
        <v>92</v>
      </c>
      <c r="AI22" s="146" t="s">
        <v>93</v>
      </c>
      <c r="AJ22" s="146" t="s">
        <v>92</v>
      </c>
    </row>
    <row r="23" s="131" customFormat="1" spans="1:36">
      <c r="A23" s="135">
        <v>17</v>
      </c>
      <c r="B23" s="150" t="s">
        <v>94</v>
      </c>
      <c r="C23" s="154">
        <f t="shared" ref="C23:H23" si="16">+C22+C21+C20+C19+C17</f>
        <v>46487.2472148112</v>
      </c>
      <c r="D23" s="154">
        <f t="shared" si="16"/>
        <v>39186.7512992</v>
      </c>
      <c r="E23" s="154">
        <f t="shared" si="16"/>
        <v>28981.61856</v>
      </c>
      <c r="F23" s="154">
        <f t="shared" si="16"/>
        <v>28981.61856</v>
      </c>
      <c r="G23" s="154">
        <f t="shared" si="16"/>
        <v>43365.649974144</v>
      </c>
      <c r="H23" s="154">
        <f t="shared" si="16"/>
        <v>187002.885608155</v>
      </c>
      <c r="S23" s="150" t="s">
        <v>94</v>
      </c>
      <c r="AI23" s="146" t="s">
        <v>95</v>
      </c>
      <c r="AJ23" s="150" t="s">
        <v>94</v>
      </c>
    </row>
    <row r="24" s="131" customFormat="1" spans="1:36">
      <c r="A24" s="135">
        <v>18</v>
      </c>
      <c r="B24" s="155" t="s">
        <v>96</v>
      </c>
      <c r="C24" s="154">
        <f t="shared" ref="C24:H24" si="17">+C15-C23</f>
        <v>503261.105358557</v>
      </c>
      <c r="D24" s="154">
        <f t="shared" si="17"/>
        <v>350493.11083872</v>
      </c>
      <c r="E24" s="154">
        <f t="shared" si="17"/>
        <v>124632.657696</v>
      </c>
      <c r="F24" s="154">
        <f t="shared" si="17"/>
        <v>407499.537621009</v>
      </c>
      <c r="G24" s="154">
        <f t="shared" si="17"/>
        <v>272645.01528183</v>
      </c>
      <c r="H24" s="154">
        <f t="shared" si="17"/>
        <v>1658531.42679612</v>
      </c>
      <c r="J24" s="166"/>
      <c r="S24" s="146" t="s">
        <v>96</v>
      </c>
      <c r="AI24" s="146" t="s">
        <v>97</v>
      </c>
      <c r="AJ24" s="146" t="s">
        <v>96</v>
      </c>
    </row>
    <row r="25" s="131" customFormat="1" spans="1:36">
      <c r="A25" s="135">
        <v>19</v>
      </c>
      <c r="B25" s="146" t="s">
        <v>170</v>
      </c>
      <c r="C25" s="154"/>
      <c r="D25" s="154"/>
      <c r="E25" s="154"/>
      <c r="F25" s="154"/>
      <c r="G25" s="154">
        <f>IF(G24&lt;0,0,G24*0.25)</f>
        <v>68161.2538204576</v>
      </c>
      <c r="H25" s="154">
        <f>IF(H24&lt;0,0,H24*0.25)</f>
        <v>414632.856699029</v>
      </c>
      <c r="I25" s="2"/>
      <c r="J25" s="2"/>
      <c r="K25" s="2"/>
      <c r="S25" s="146" t="s">
        <v>38</v>
      </c>
      <c r="AI25" s="146" t="s">
        <v>98</v>
      </c>
      <c r="AJ25" s="146" t="s">
        <v>38</v>
      </c>
    </row>
    <row r="26" s="131" customFormat="1" spans="1:36">
      <c r="A26" s="135">
        <v>20</v>
      </c>
      <c r="B26" s="146" t="s">
        <v>99</v>
      </c>
      <c r="C26" s="154">
        <f t="shared" ref="C26:G26" si="18">C24-C25</f>
        <v>503261.105358557</v>
      </c>
      <c r="D26" s="154">
        <f t="shared" si="18"/>
        <v>350493.11083872</v>
      </c>
      <c r="E26" s="154">
        <f t="shared" si="18"/>
        <v>124632.657696</v>
      </c>
      <c r="F26" s="154">
        <f t="shared" si="18"/>
        <v>407499.537621009</v>
      </c>
      <c r="G26" s="154">
        <f t="shared" si="18"/>
        <v>204483.761461373</v>
      </c>
      <c r="H26" s="149">
        <f>+SUM(C26:G26)</f>
        <v>1590370.17297566</v>
      </c>
      <c r="I26" s="2"/>
      <c r="J26" s="2"/>
      <c r="K26" s="2"/>
      <c r="S26" s="146" t="s">
        <v>99</v>
      </c>
      <c r="AI26" s="146" t="s">
        <v>100</v>
      </c>
      <c r="AJ26" s="146" t="s">
        <v>99</v>
      </c>
    </row>
    <row r="27" s="131" customFormat="1" spans="1:36">
      <c r="A27" s="135">
        <v>21</v>
      </c>
      <c r="B27" s="146" t="s">
        <v>103</v>
      </c>
      <c r="C27" s="156">
        <f t="shared" ref="C27:H27" si="19">C26/C7</f>
        <v>0.570510937933926</v>
      </c>
      <c r="D27" s="156">
        <f t="shared" si="19"/>
        <v>0.539402654588406</v>
      </c>
      <c r="E27" s="156">
        <f t="shared" si="19"/>
        <v>0.398590197365581</v>
      </c>
      <c r="F27" s="156">
        <f t="shared" si="19"/>
        <v>0.659937516593211</v>
      </c>
      <c r="G27" s="156">
        <f t="shared" si="19"/>
        <v>0.331157445012766</v>
      </c>
      <c r="H27" s="157">
        <f t="shared" si="19"/>
        <v>0.516429186607692</v>
      </c>
      <c r="I27" s="2"/>
      <c r="J27" s="2"/>
      <c r="K27" s="2"/>
      <c r="S27" s="146" t="s">
        <v>103</v>
      </c>
      <c r="AI27" s="146" t="s">
        <v>102</v>
      </c>
      <c r="AJ27" s="146" t="s">
        <v>103</v>
      </c>
    </row>
    <row r="28" s="131" customFormat="1" spans="3:19">
      <c r="C28" s="134"/>
      <c r="D28" s="134"/>
      <c r="E28" s="134"/>
      <c r="F28" s="134"/>
      <c r="G28" s="134"/>
      <c r="H28" s="134"/>
      <c r="I28" s="2"/>
      <c r="J28" s="2"/>
      <c r="K28" s="2"/>
      <c r="S28" s="146"/>
    </row>
    <row r="29" s="131" customFormat="1" spans="1:35">
      <c r="A29" s="131" t="s">
        <v>104</v>
      </c>
      <c r="C29" s="134"/>
      <c r="D29" s="134"/>
      <c r="E29" s="134"/>
      <c r="F29" s="134"/>
      <c r="G29" s="134"/>
      <c r="H29" s="134" t="s">
        <v>171</v>
      </c>
      <c r="I29" s="2"/>
      <c r="J29" s="2"/>
      <c r="K29" s="2"/>
      <c r="S29" s="146"/>
      <c r="AI29" s="131" t="s">
        <v>104</v>
      </c>
    </row>
    <row r="30" s="131" customFormat="1" spans="1:36">
      <c r="A30" s="146" t="s">
        <v>105</v>
      </c>
      <c r="B30" s="150" t="s">
        <v>106</v>
      </c>
      <c r="C30" s="154"/>
      <c r="D30" s="154"/>
      <c r="E30" s="154"/>
      <c r="F30" s="154"/>
      <c r="G30" s="154"/>
      <c r="H30" s="154"/>
      <c r="I30" s="2"/>
      <c r="J30" s="2"/>
      <c r="K30" s="2"/>
      <c r="M30" s="2"/>
      <c r="S30" s="150" t="s">
        <v>106</v>
      </c>
      <c r="AI30" s="146" t="s">
        <v>107</v>
      </c>
      <c r="AJ30" s="150" t="s">
        <v>106</v>
      </c>
    </row>
    <row r="31" s="131" customFormat="1" spans="1:36">
      <c r="A31" s="135">
        <v>1</v>
      </c>
      <c r="B31" s="152" t="s">
        <v>108</v>
      </c>
      <c r="C31" s="158">
        <f>销量!C8</f>
        <v>991.15</v>
      </c>
      <c r="D31" s="158">
        <f>销量!D8</f>
        <v>730.09</v>
      </c>
      <c r="E31" s="158">
        <f>销量!E8</f>
        <v>351.33</v>
      </c>
      <c r="F31" s="158">
        <f>销量!F8</f>
        <v>693.8</v>
      </c>
      <c r="G31" s="158">
        <f>销量!G8</f>
        <v>693.8</v>
      </c>
      <c r="H31" s="154"/>
      <c r="I31" s="2"/>
      <c r="J31" s="2"/>
      <c r="K31" s="2"/>
      <c r="M31" s="2"/>
      <c r="S31" s="146" t="s">
        <v>108</v>
      </c>
      <c r="AI31" s="146" t="s">
        <v>62</v>
      </c>
      <c r="AJ31" s="146" t="s">
        <v>108</v>
      </c>
    </row>
    <row r="32" s="131" customFormat="1" spans="1:36">
      <c r="A32" s="135">
        <v>2</v>
      </c>
      <c r="B32" s="146" t="s">
        <v>172</v>
      </c>
      <c r="C32" s="149">
        <f t="shared" ref="C32:G32" si="20">C31*1</f>
        <v>991.15</v>
      </c>
      <c r="D32" s="149">
        <f t="shared" si="20"/>
        <v>730.09</v>
      </c>
      <c r="E32" s="149">
        <f t="shared" si="20"/>
        <v>351.33</v>
      </c>
      <c r="F32" s="149">
        <f t="shared" si="20"/>
        <v>693.8</v>
      </c>
      <c r="G32" s="149">
        <f t="shared" si="20"/>
        <v>693.8</v>
      </c>
      <c r="H32" s="154"/>
      <c r="I32" s="2"/>
      <c r="J32" s="2"/>
      <c r="K32" s="2"/>
      <c r="L32" s="2"/>
      <c r="M32" s="2"/>
      <c r="N32" s="2"/>
      <c r="O32" s="2"/>
      <c r="AI32" s="146"/>
      <c r="AJ32" s="146"/>
    </row>
    <row r="33" s="131" customFormat="1" spans="1:36">
      <c r="A33" s="135">
        <v>3</v>
      </c>
      <c r="B33" s="152" t="s">
        <v>109</v>
      </c>
      <c r="C33" s="149">
        <f>材料成本!D27</f>
        <v>336.8102649961</v>
      </c>
      <c r="D33" s="149">
        <f>材料成本!E27</f>
        <v>263.57094</v>
      </c>
      <c r="E33" s="149">
        <f>材料成本!F27</f>
        <v>161.192</v>
      </c>
      <c r="F33" s="149">
        <f>材料成本!G27</f>
        <v>184.8158568</v>
      </c>
      <c r="G33" s="149">
        <f>材料成本!H27</f>
        <v>305.4940808</v>
      </c>
      <c r="H33" s="154"/>
      <c r="J33" s="2"/>
      <c r="K33" s="2"/>
      <c r="L33" s="2"/>
      <c r="M33" s="2"/>
      <c r="N33" s="2"/>
      <c r="O33" s="2"/>
      <c r="S33" s="146" t="s">
        <v>109</v>
      </c>
      <c r="AI33" s="146" t="s">
        <v>64</v>
      </c>
      <c r="AJ33" s="146" t="s">
        <v>109</v>
      </c>
    </row>
    <row r="34" s="131" customFormat="1" ht="17.25" customHeight="1" spans="1:36">
      <c r="A34" s="135">
        <v>4</v>
      </c>
      <c r="B34" s="146" t="s">
        <v>111</v>
      </c>
      <c r="C34" s="159">
        <f t="shared" ref="C34:G34" si="21">C32-C33</f>
        <v>654.3397350039</v>
      </c>
      <c r="D34" s="159">
        <f t="shared" si="21"/>
        <v>466.51906</v>
      </c>
      <c r="E34" s="159">
        <f t="shared" si="21"/>
        <v>190.138</v>
      </c>
      <c r="F34" s="159">
        <f t="shared" si="21"/>
        <v>508.9841432</v>
      </c>
      <c r="G34" s="159">
        <f t="shared" si="21"/>
        <v>388.3059192</v>
      </c>
      <c r="H34" s="154"/>
      <c r="J34" s="2"/>
      <c r="K34" s="2"/>
      <c r="L34" s="2"/>
      <c r="M34" s="2"/>
      <c r="N34" s="2"/>
      <c r="O34" s="2"/>
      <c r="S34" s="146" t="s">
        <v>111</v>
      </c>
      <c r="AI34" s="146" t="s">
        <v>110</v>
      </c>
      <c r="AJ34" s="146" t="s">
        <v>111</v>
      </c>
    </row>
    <row r="35" s="131" customFormat="1" spans="1:36">
      <c r="A35" s="146" t="s">
        <v>107</v>
      </c>
      <c r="B35" s="150" t="s">
        <v>10</v>
      </c>
      <c r="C35" s="154"/>
      <c r="D35" s="154"/>
      <c r="E35" s="154"/>
      <c r="F35" s="154"/>
      <c r="G35" s="154"/>
      <c r="H35" s="154"/>
      <c r="I35" s="2"/>
      <c r="J35" s="2"/>
      <c r="K35" s="2"/>
      <c r="L35" s="2"/>
      <c r="M35" s="2"/>
      <c r="N35" s="2"/>
      <c r="O35" s="2"/>
      <c r="P35" s="2"/>
      <c r="Q35" s="2"/>
      <c r="R35" s="2"/>
      <c r="S35" s="150" t="s">
        <v>10</v>
      </c>
      <c r="AI35" s="146" t="s">
        <v>113</v>
      </c>
      <c r="AJ35" s="150" t="s">
        <v>10</v>
      </c>
    </row>
    <row r="36" s="131" customFormat="1" spans="1:36">
      <c r="A36" s="135">
        <v>1</v>
      </c>
      <c r="B36" s="146" t="s">
        <v>114</v>
      </c>
      <c r="C36" s="153">
        <f>标准成本!E4</f>
        <v>14.5165224213319</v>
      </c>
      <c r="D36" s="153">
        <f>标准成本!E16</f>
        <v>11.359907514</v>
      </c>
      <c r="E36" s="153">
        <f>标准成本!E29</f>
        <v>6.9473752</v>
      </c>
      <c r="F36" s="153">
        <f>标准成本!E42</f>
        <v>7.96556342808</v>
      </c>
      <c r="G36" s="153">
        <f>标准成本!E55</f>
        <v>13.16679488248</v>
      </c>
      <c r="H36" s="158"/>
      <c r="I36" s="2"/>
      <c r="J36" s="2"/>
      <c r="K36" s="2"/>
      <c r="L36" s="2"/>
      <c r="M36" s="2"/>
      <c r="N36" s="2"/>
      <c r="O36" s="2"/>
      <c r="P36" s="2"/>
      <c r="Q36" s="2"/>
      <c r="R36" s="2"/>
      <c r="S36" s="146" t="s">
        <v>114</v>
      </c>
      <c r="AI36" s="146" t="s">
        <v>110</v>
      </c>
      <c r="AJ36" s="146" t="s">
        <v>114</v>
      </c>
    </row>
    <row r="37" s="131" customFormat="1" spans="1:36">
      <c r="A37" s="135">
        <v>2</v>
      </c>
      <c r="B37" s="146" t="s">
        <v>115</v>
      </c>
      <c r="C37" s="153">
        <f>标准成本!E6</f>
        <v>7.30878275041537</v>
      </c>
      <c r="D37" s="153">
        <f>标准成本!E18</f>
        <v>5.719489398</v>
      </c>
      <c r="E37" s="153">
        <f>标准成本!E31</f>
        <v>3.4978664</v>
      </c>
      <c r="F37" s="153">
        <f>标准成本!E44</f>
        <v>3.4978664</v>
      </c>
      <c r="G37" s="153">
        <f>标准成本!E57</f>
        <v>6.62922155336</v>
      </c>
      <c r="H37" s="158"/>
      <c r="I37" s="2"/>
      <c r="J37" s="2"/>
      <c r="K37" s="2"/>
      <c r="L37" s="2"/>
      <c r="M37" s="2"/>
      <c r="N37" s="2"/>
      <c r="O37" s="2"/>
      <c r="P37" s="2"/>
      <c r="Q37" s="2"/>
      <c r="R37" s="2"/>
      <c r="S37" s="146" t="s">
        <v>115</v>
      </c>
      <c r="AI37" s="146" t="s">
        <v>67</v>
      </c>
      <c r="AJ37" s="146" t="s">
        <v>115</v>
      </c>
    </row>
    <row r="38" s="131" customFormat="1" spans="1:36">
      <c r="A38" s="135">
        <v>3</v>
      </c>
      <c r="B38" s="146" t="s">
        <v>116</v>
      </c>
      <c r="C38" s="153">
        <f>标准成本!E10</f>
        <v>14.8196516598284</v>
      </c>
      <c r="D38" s="153">
        <f>标准成本!E22</f>
        <v>11.59712136</v>
      </c>
      <c r="E38" s="153">
        <f>标准成本!E35</f>
        <v>7.092448</v>
      </c>
      <c r="F38" s="153">
        <f>标准成本!E48</f>
        <v>7.092448</v>
      </c>
      <c r="G38" s="153">
        <f>标准成本!E61</f>
        <v>13.4417395552</v>
      </c>
      <c r="H38" s="158"/>
      <c r="I38" s="2"/>
      <c r="J38" s="2"/>
      <c r="K38" s="2"/>
      <c r="L38" s="2"/>
      <c r="M38" s="2"/>
      <c r="N38" s="2"/>
      <c r="O38" s="2"/>
      <c r="P38" s="2"/>
      <c r="Q38" s="2"/>
      <c r="R38" s="2"/>
      <c r="S38" s="146" t="s">
        <v>116</v>
      </c>
      <c r="AI38" s="146" t="s">
        <v>74</v>
      </c>
      <c r="AJ38" s="146" t="s">
        <v>116</v>
      </c>
    </row>
    <row r="39" s="131" customFormat="1" spans="1:36">
      <c r="A39" s="146" t="s">
        <v>113</v>
      </c>
      <c r="B39" s="150" t="s">
        <v>118</v>
      </c>
      <c r="C39" s="154"/>
      <c r="D39" s="154"/>
      <c r="E39" s="154"/>
      <c r="F39" s="154"/>
      <c r="G39" s="154"/>
      <c r="H39" s="154"/>
      <c r="S39" s="150" t="s">
        <v>118</v>
      </c>
      <c r="AI39" s="146" t="s">
        <v>117</v>
      </c>
      <c r="AJ39" s="150" t="s">
        <v>118</v>
      </c>
    </row>
    <row r="40" s="131" customFormat="1" spans="1:36">
      <c r="A40" s="135">
        <v>1</v>
      </c>
      <c r="B40" s="146" t="s">
        <v>120</v>
      </c>
      <c r="C40" s="154">
        <f t="shared" ref="C40:G40" si="22">C34-C36-C37-C38</f>
        <v>617.694778172324</v>
      </c>
      <c r="D40" s="154">
        <f t="shared" si="22"/>
        <v>437.842541728</v>
      </c>
      <c r="E40" s="154">
        <f t="shared" si="22"/>
        <v>172.6003104</v>
      </c>
      <c r="F40" s="154">
        <f t="shared" si="22"/>
        <v>490.42826537192</v>
      </c>
      <c r="G40" s="154">
        <f t="shared" si="22"/>
        <v>355.06816320896</v>
      </c>
      <c r="H40" s="154"/>
      <c r="S40" s="146" t="s">
        <v>120</v>
      </c>
      <c r="AI40" s="146" t="s">
        <v>62</v>
      </c>
      <c r="AJ40" s="146" t="s">
        <v>120</v>
      </c>
    </row>
    <row r="41" s="131" customFormat="1" spans="1:36">
      <c r="A41" s="135">
        <v>2</v>
      </c>
      <c r="B41" s="146" t="s">
        <v>121</v>
      </c>
      <c r="C41" s="154"/>
      <c r="D41" s="154"/>
      <c r="E41" s="154"/>
      <c r="F41" s="154"/>
      <c r="G41" s="154"/>
      <c r="H41" s="154"/>
      <c r="S41" s="146" t="s">
        <v>121</v>
      </c>
      <c r="AI41" s="146" t="s">
        <v>64</v>
      </c>
      <c r="AJ41" s="146" t="s">
        <v>121</v>
      </c>
    </row>
    <row r="42" s="131" customFormat="1" spans="1:36">
      <c r="A42" s="146" t="s">
        <v>117</v>
      </c>
      <c r="B42" s="150" t="s">
        <v>123</v>
      </c>
      <c r="C42" s="154"/>
      <c r="D42" s="154"/>
      <c r="E42" s="154"/>
      <c r="F42" s="154"/>
      <c r="G42" s="154"/>
      <c r="H42" s="154"/>
      <c r="S42" s="150" t="s">
        <v>123</v>
      </c>
      <c r="AI42" s="146" t="s">
        <v>122</v>
      </c>
      <c r="AJ42" s="150" t="s">
        <v>123</v>
      </c>
    </row>
    <row r="43" s="131" customFormat="1" spans="1:36">
      <c r="A43" s="135">
        <v>1</v>
      </c>
      <c r="B43" s="155" t="s">
        <v>124</v>
      </c>
      <c r="C43" s="153">
        <f>标准成本!E5</f>
        <v>13.8092208648401</v>
      </c>
      <c r="D43" s="153">
        <f>标准成本!E17</f>
        <v>10.80640854</v>
      </c>
      <c r="E43" s="153">
        <f>标准成本!E30</f>
        <v>6.608872</v>
      </c>
      <c r="F43" s="153">
        <f>标准成本!E43</f>
        <v>6.608872</v>
      </c>
      <c r="G43" s="153">
        <f>标准成本!E56</f>
        <v>12.5252573128</v>
      </c>
      <c r="H43" s="154"/>
      <c r="S43" s="146" t="s">
        <v>124</v>
      </c>
      <c r="AI43" s="146" t="s">
        <v>62</v>
      </c>
      <c r="AJ43" s="146" t="s">
        <v>124</v>
      </c>
    </row>
    <row r="44" s="131" customFormat="1" spans="1:36">
      <c r="A44" s="135">
        <v>2</v>
      </c>
      <c r="B44" s="155" t="s">
        <v>125</v>
      </c>
      <c r="C44" s="153">
        <f>标准成本!E9</f>
        <v>2.3576718549727</v>
      </c>
      <c r="D44" s="153">
        <f>标准成本!E21</f>
        <v>1.84499658</v>
      </c>
      <c r="E44" s="153">
        <f>标准成本!E34</f>
        <v>1.128344</v>
      </c>
      <c r="F44" s="153">
        <f>标准成本!E47</f>
        <v>1.128344</v>
      </c>
      <c r="G44" s="153">
        <f>标准成本!E60</f>
        <v>2.1384585656</v>
      </c>
      <c r="H44" s="154"/>
      <c r="S44" s="146" t="s">
        <v>125</v>
      </c>
      <c r="AI44" s="146" t="s">
        <v>64</v>
      </c>
      <c r="AJ44" s="146" t="s">
        <v>125</v>
      </c>
    </row>
    <row r="45" s="131" customFormat="1" spans="1:36">
      <c r="A45" s="135">
        <v>3</v>
      </c>
      <c r="B45" s="155" t="s">
        <v>126</v>
      </c>
      <c r="C45" s="153">
        <f>标准成本!E8</f>
        <v>11.4515490098674</v>
      </c>
      <c r="D45" s="153">
        <f>标准成本!E20</f>
        <v>8.96141196</v>
      </c>
      <c r="E45" s="153">
        <f>标准成本!E33</f>
        <v>5.480528</v>
      </c>
      <c r="F45" s="153">
        <f>标准成本!E46</f>
        <v>5.480528</v>
      </c>
      <c r="G45" s="153">
        <f>标准成本!E59</f>
        <v>10.3867987472</v>
      </c>
      <c r="H45" s="154"/>
      <c r="S45" s="146" t="s">
        <v>126</v>
      </c>
      <c r="AI45" s="146" t="s">
        <v>110</v>
      </c>
      <c r="AJ45" s="146" t="s">
        <v>126</v>
      </c>
    </row>
    <row r="46" s="133" customFormat="1" spans="1:36">
      <c r="A46" s="135">
        <v>4</v>
      </c>
      <c r="B46" s="155" t="s">
        <v>127</v>
      </c>
      <c r="C46" s="160">
        <f t="shared" ref="C46:G46" si="23">C21/C6</f>
        <v>3.70786516853933</v>
      </c>
      <c r="D46" s="160">
        <f t="shared" si="23"/>
        <v>3.70786516853933</v>
      </c>
      <c r="E46" s="160">
        <f t="shared" si="23"/>
        <v>3.70786516853933</v>
      </c>
      <c r="F46" s="160">
        <f t="shared" si="23"/>
        <v>3.70786516853933</v>
      </c>
      <c r="G46" s="160">
        <f t="shared" si="23"/>
        <v>3.70786516853933</v>
      </c>
      <c r="H46" s="160"/>
      <c r="S46" s="155" t="s">
        <v>129</v>
      </c>
      <c r="AI46" s="155" t="s">
        <v>70</v>
      </c>
      <c r="AJ46" s="155" t="s">
        <v>129</v>
      </c>
    </row>
    <row r="47" s="133" customFormat="1" spans="1:36">
      <c r="A47" s="135">
        <v>5</v>
      </c>
      <c r="B47" s="155" t="s">
        <v>129</v>
      </c>
      <c r="C47" s="160">
        <f>标准成本!E11</f>
        <v>10.104307949883</v>
      </c>
      <c r="D47" s="160">
        <f>标准成本!E23</f>
        <v>7.9071282</v>
      </c>
      <c r="E47" s="160">
        <f>标准成本!E36</f>
        <v>4.83576</v>
      </c>
      <c r="F47" s="160">
        <f>标准成本!E49</f>
        <v>4.83576</v>
      </c>
      <c r="G47" s="160">
        <f>标准成本!E62</f>
        <v>9.164822424</v>
      </c>
      <c r="H47" s="160"/>
      <c r="S47" s="155" t="s">
        <v>129</v>
      </c>
      <c r="AI47" s="155" t="s">
        <v>70</v>
      </c>
      <c r="AJ47" s="155" t="s">
        <v>129</v>
      </c>
    </row>
    <row r="48" s="131" customFormat="1" spans="1:36">
      <c r="A48" s="146" t="s">
        <v>122</v>
      </c>
      <c r="B48" s="150" t="s">
        <v>140</v>
      </c>
      <c r="C48" s="154">
        <f t="shared" ref="C48:G48" si="24">C40-C43-C44-C45-C47-C46</f>
        <v>576.264163324222</v>
      </c>
      <c r="D48" s="154">
        <f t="shared" si="24"/>
        <v>404.614731279461</v>
      </c>
      <c r="E48" s="154">
        <f t="shared" si="24"/>
        <v>150.838941231461</v>
      </c>
      <c r="F48" s="154">
        <f t="shared" si="24"/>
        <v>468.666896203381</v>
      </c>
      <c r="G48" s="154">
        <f t="shared" si="24"/>
        <v>317.144960990821</v>
      </c>
      <c r="H48" s="154"/>
      <c r="S48" s="150" t="s">
        <v>140</v>
      </c>
      <c r="AI48" s="146" t="s">
        <v>139</v>
      </c>
      <c r="AJ48" s="150" t="s">
        <v>140</v>
      </c>
    </row>
    <row r="49" s="131" customFormat="1" spans="3:8">
      <c r="C49" s="134"/>
      <c r="D49" s="134"/>
      <c r="E49" s="134"/>
      <c r="F49" s="134"/>
      <c r="G49" s="134"/>
      <c r="H49" s="134"/>
    </row>
    <row r="50" s="131" customFormat="1" spans="3:8">
      <c r="C50" s="134"/>
      <c r="D50" s="134"/>
      <c r="E50" s="134"/>
      <c r="F50" s="134"/>
      <c r="G50" s="134"/>
      <c r="H50" s="134"/>
    </row>
    <row r="51" s="131" customFormat="1" spans="3:8">
      <c r="C51" s="161"/>
      <c r="D51" s="161"/>
      <c r="E51" s="161"/>
      <c r="F51" s="161"/>
      <c r="G51" s="161"/>
      <c r="H51" s="134"/>
    </row>
    <row r="52" s="131" customFormat="1" spans="3:8">
      <c r="C52" s="134"/>
      <c r="D52" s="134"/>
      <c r="E52" s="134"/>
      <c r="F52" s="134"/>
      <c r="G52" s="134"/>
      <c r="H52" s="134"/>
    </row>
    <row r="53" s="131" customFormat="1" spans="3:8">
      <c r="C53" s="134"/>
      <c r="D53" s="134"/>
      <c r="E53" s="134"/>
      <c r="F53" s="134"/>
      <c r="G53" s="134"/>
      <c r="H53" s="134"/>
    </row>
    <row r="54" s="131" customFormat="1" spans="2:13">
      <c r="B54" s="2"/>
      <c r="C54" s="162"/>
      <c r="D54" s="162"/>
      <c r="E54" s="162"/>
      <c r="F54" s="162"/>
      <c r="G54" s="162"/>
      <c r="H54" s="162"/>
      <c r="I54" s="2"/>
      <c r="J54" s="2"/>
      <c r="K54" s="2"/>
      <c r="L54" s="2"/>
      <c r="M54" s="2"/>
    </row>
    <row r="55" s="131" customFormat="1" spans="2:13">
      <c r="B55" s="2"/>
      <c r="C55" s="162"/>
      <c r="D55" s="162"/>
      <c r="E55" s="162"/>
      <c r="F55" s="162"/>
      <c r="G55" s="162"/>
      <c r="H55" s="162"/>
      <c r="I55" s="2"/>
      <c r="J55" s="2"/>
      <c r="K55" s="2"/>
      <c r="L55" s="2"/>
      <c r="M55" s="2"/>
    </row>
    <row r="56" s="131" customFormat="1" spans="2:13">
      <c r="B56" s="2"/>
      <c r="C56" s="162"/>
      <c r="D56" s="162"/>
      <c r="E56" s="162"/>
      <c r="F56" s="162"/>
      <c r="G56" s="162"/>
      <c r="H56" s="162"/>
      <c r="I56" s="2"/>
      <c r="J56" s="2"/>
      <c r="K56" s="2"/>
      <c r="L56" s="2"/>
      <c r="M56" s="2"/>
    </row>
    <row r="57" s="131" customFormat="1" spans="2:13">
      <c r="B57" s="2"/>
      <c r="C57" s="162"/>
      <c r="D57" s="162"/>
      <c r="E57" s="162"/>
      <c r="F57" s="162"/>
      <c r="G57" s="162"/>
      <c r="H57" s="162"/>
      <c r="I57" s="2"/>
      <c r="J57" s="2"/>
      <c r="K57" s="2"/>
      <c r="L57" s="2"/>
      <c r="M57" s="2"/>
    </row>
    <row r="58" s="131" customFormat="1" spans="2:13">
      <c r="B58" s="2"/>
      <c r="C58" s="162"/>
      <c r="D58" s="162"/>
      <c r="E58" s="162"/>
      <c r="F58" s="162"/>
      <c r="G58" s="162"/>
      <c r="H58" s="162"/>
      <c r="I58" s="2"/>
      <c r="J58" s="2"/>
      <c r="K58" s="2"/>
      <c r="L58" s="2"/>
      <c r="M58" s="2"/>
    </row>
    <row r="59" s="131" customFormat="1" spans="2:13">
      <c r="B59" s="2"/>
      <c r="C59" s="162"/>
      <c r="D59" s="162"/>
      <c r="E59" s="162"/>
      <c r="F59" s="162"/>
      <c r="G59" s="162"/>
      <c r="H59" s="162"/>
      <c r="I59" s="2"/>
      <c r="J59" s="2"/>
      <c r="K59" s="2"/>
      <c r="L59" s="2"/>
      <c r="M59" s="2"/>
    </row>
    <row r="60" s="131" customFormat="1" spans="2:13">
      <c r="B60" s="2"/>
      <c r="C60" s="162"/>
      <c r="D60" s="162"/>
      <c r="E60" s="162"/>
      <c r="F60" s="162"/>
      <c r="G60" s="162"/>
      <c r="H60" s="162"/>
      <c r="I60" s="2"/>
      <c r="J60" s="2"/>
      <c r="K60" s="2"/>
      <c r="L60" s="2"/>
      <c r="M60" s="2"/>
    </row>
    <row r="61" s="131" customFormat="1" spans="2:13">
      <c r="B61" s="2"/>
      <c r="C61" s="162"/>
      <c r="D61" s="162"/>
      <c r="E61" s="162"/>
      <c r="F61" s="162"/>
      <c r="G61" s="162"/>
      <c r="H61" s="162"/>
      <c r="I61" s="2"/>
      <c r="J61" s="2"/>
      <c r="K61" s="2"/>
      <c r="L61" s="2"/>
      <c r="M61" s="2"/>
    </row>
    <row r="62" s="131" customFormat="1" spans="2:13">
      <c r="B62" s="2"/>
      <c r="C62" s="162"/>
      <c r="D62" s="162"/>
      <c r="E62" s="162"/>
      <c r="F62" s="162"/>
      <c r="G62" s="162"/>
      <c r="H62" s="162"/>
      <c r="I62" s="2"/>
      <c r="J62" s="2"/>
      <c r="K62" s="2"/>
      <c r="L62" s="2"/>
      <c r="M62" s="2"/>
    </row>
    <row r="63" s="131" customFormat="1" spans="2:13">
      <c r="B63" s="2"/>
      <c r="C63" s="162"/>
      <c r="D63" s="162"/>
      <c r="E63" s="162"/>
      <c r="F63" s="162"/>
      <c r="G63" s="162"/>
      <c r="H63" s="162"/>
      <c r="I63" s="2"/>
      <c r="J63" s="2"/>
      <c r="K63" s="2"/>
      <c r="L63" s="2"/>
      <c r="M63" s="2"/>
    </row>
    <row r="64" s="131" customFormat="1" spans="2:13">
      <c r="B64" s="2"/>
      <c r="C64" s="162"/>
      <c r="D64" s="162"/>
      <c r="E64" s="162"/>
      <c r="F64" s="162"/>
      <c r="G64" s="162"/>
      <c r="H64" s="162"/>
      <c r="I64" s="2"/>
      <c r="J64" s="2"/>
      <c r="K64" s="2"/>
      <c r="L64" s="2"/>
      <c r="M64" s="2"/>
    </row>
    <row r="65" s="131" customFormat="1" spans="2:13">
      <c r="B65" s="2"/>
      <c r="C65" s="162"/>
      <c r="D65" s="162"/>
      <c r="E65" s="162"/>
      <c r="F65" s="162"/>
      <c r="G65" s="162"/>
      <c r="H65" s="162"/>
      <c r="I65" s="2"/>
      <c r="J65" s="2"/>
      <c r="K65" s="2"/>
      <c r="L65" s="2"/>
      <c r="M65" s="2"/>
    </row>
    <row r="66" s="131" customFormat="1" spans="2:13">
      <c r="B66" s="2"/>
      <c r="C66" s="162"/>
      <c r="D66" s="162"/>
      <c r="E66" s="162"/>
      <c r="F66" s="162"/>
      <c r="G66" s="162"/>
      <c r="H66" s="162"/>
      <c r="I66" s="2"/>
      <c r="J66" s="2"/>
      <c r="K66" s="2"/>
      <c r="L66" s="2"/>
      <c r="M66" s="2"/>
    </row>
    <row r="67" s="131" customFormat="1" spans="2:9">
      <c r="B67" s="2"/>
      <c r="C67" s="162"/>
      <c r="D67" s="162"/>
      <c r="E67" s="162"/>
      <c r="F67" s="162"/>
      <c r="G67" s="162"/>
      <c r="H67" s="162"/>
      <c r="I67" s="2"/>
    </row>
    <row r="68" s="131" customFormat="1" spans="2:9">
      <c r="B68" s="2"/>
      <c r="C68" s="162"/>
      <c r="D68" s="162"/>
      <c r="E68" s="162"/>
      <c r="F68" s="162"/>
      <c r="G68" s="162"/>
      <c r="H68" s="162"/>
      <c r="I68" s="2"/>
    </row>
    <row r="69" s="131" customFormat="1" spans="2:9">
      <c r="B69" s="2"/>
      <c r="C69" s="162"/>
      <c r="D69" s="162"/>
      <c r="E69" s="162"/>
      <c r="F69" s="162"/>
      <c r="G69" s="162"/>
      <c r="H69" s="162"/>
      <c r="I69" s="2"/>
    </row>
    <row r="70" s="131" customFormat="1" spans="2:9">
      <c r="B70" s="2"/>
      <c r="C70" s="162"/>
      <c r="D70" s="162"/>
      <c r="E70" s="162"/>
      <c r="F70" s="162"/>
      <c r="G70" s="162"/>
      <c r="H70" s="162"/>
      <c r="I70" s="2"/>
    </row>
    <row r="71" s="131" customFormat="1" spans="2:9">
      <c r="B71" s="2"/>
      <c r="C71" s="162"/>
      <c r="D71" s="162"/>
      <c r="E71" s="162"/>
      <c r="F71" s="162"/>
      <c r="G71" s="162"/>
      <c r="H71" s="162"/>
      <c r="I71" s="2"/>
    </row>
    <row r="72" s="131" customFormat="1" spans="2:9">
      <c r="B72" s="2"/>
      <c r="C72" s="162"/>
      <c r="D72" s="162"/>
      <c r="E72" s="162"/>
      <c r="F72" s="162"/>
      <c r="G72" s="162"/>
      <c r="H72" s="162"/>
      <c r="I72" s="2"/>
    </row>
    <row r="73" s="131" customFormat="1" spans="2:9">
      <c r="B73" s="2"/>
      <c r="C73" s="162"/>
      <c r="D73" s="162"/>
      <c r="E73" s="162"/>
      <c r="F73" s="162"/>
      <c r="G73" s="162"/>
      <c r="H73" s="162"/>
      <c r="I73" s="2"/>
    </row>
    <row r="74" s="131" customFormat="1" spans="2:9">
      <c r="B74" s="2"/>
      <c r="C74" s="162"/>
      <c r="D74" s="162"/>
      <c r="E74" s="162"/>
      <c r="F74" s="162"/>
      <c r="G74" s="162"/>
      <c r="H74" s="162"/>
      <c r="I74" s="2"/>
    </row>
  </sheetData>
  <mergeCells count="8">
    <mergeCell ref="A1:B1"/>
    <mergeCell ref="C1:H1"/>
    <mergeCell ref="A2:B2"/>
    <mergeCell ref="C2:H2"/>
    <mergeCell ref="A3:B3"/>
    <mergeCell ref="A4:B4"/>
    <mergeCell ref="A5:B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4"/>
  <cols>
    <col min="1" max="1" width="19.5" customWidth="1"/>
    <col min="2" max="2" width="14.8727272727273" style="90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5.1818181818182" customWidth="1"/>
    <col min="8" max="8" width="13" customWidth="1"/>
    <col min="9" max="9" width="14.8727272727273" customWidth="1"/>
    <col min="10" max="10" width="13" customWidth="1"/>
  </cols>
  <sheetData>
    <row r="1" ht="21" spans="1:8">
      <c r="A1" s="91" t="s">
        <v>177</v>
      </c>
      <c r="B1" s="91"/>
      <c r="C1" s="91"/>
      <c r="E1" s="92" t="s">
        <v>178</v>
      </c>
      <c r="F1" s="93"/>
      <c r="G1" s="93"/>
      <c r="H1" s="94"/>
    </row>
    <row r="2" ht="23.45" customHeight="1" spans="1:8">
      <c r="A2" s="95" t="s">
        <v>1</v>
      </c>
      <c r="B2" s="96" t="s">
        <v>179</v>
      </c>
      <c r="C2" s="97" t="s">
        <v>180</v>
      </c>
      <c r="E2" s="98" t="s">
        <v>181</v>
      </c>
      <c r="F2" s="98" t="s">
        <v>1</v>
      </c>
      <c r="G2" s="99" t="s">
        <v>182</v>
      </c>
      <c r="H2" s="98" t="s">
        <v>180</v>
      </c>
    </row>
    <row r="3" ht="15.75" customHeight="1" spans="1:8">
      <c r="A3" s="100" t="s">
        <v>183</v>
      </c>
      <c r="B3" s="101"/>
      <c r="C3" s="102"/>
      <c r="E3" s="103" t="s">
        <v>184</v>
      </c>
      <c r="F3" s="104" t="s">
        <v>185</v>
      </c>
      <c r="G3" s="105">
        <v>0</v>
      </c>
      <c r="H3" s="104"/>
    </row>
    <row r="4" ht="15.75" customHeight="1" spans="1:8">
      <c r="A4" s="100" t="s">
        <v>186</v>
      </c>
      <c r="B4" s="101"/>
      <c r="C4" s="106"/>
      <c r="E4" s="107"/>
      <c r="F4" s="104" t="s">
        <v>187</v>
      </c>
      <c r="G4" s="105">
        <v>0</v>
      </c>
      <c r="H4" s="104"/>
    </row>
    <row r="5" ht="15.75" customHeight="1" spans="1:8">
      <c r="A5" s="100" t="s">
        <v>188</v>
      </c>
      <c r="B5" s="108">
        <f>SUM(G3:G4)</f>
        <v>0</v>
      </c>
      <c r="C5" s="102"/>
      <c r="E5" s="109" t="s">
        <v>189</v>
      </c>
      <c r="F5" s="110" t="s">
        <v>190</v>
      </c>
      <c r="G5" s="105">
        <v>0</v>
      </c>
      <c r="H5" s="110"/>
    </row>
    <row r="6" ht="15.75" customHeight="1" spans="1:10">
      <c r="A6" s="100" t="s">
        <v>191</v>
      </c>
      <c r="B6" s="101"/>
      <c r="C6" s="102"/>
      <c r="E6" s="111"/>
      <c r="F6" s="110" t="s">
        <v>192</v>
      </c>
      <c r="G6" s="105">
        <v>4</v>
      </c>
      <c r="H6" s="104"/>
      <c r="J6">
        <v>10000</v>
      </c>
    </row>
    <row r="7" ht="15.75" customHeight="1" spans="1:8">
      <c r="A7" s="112" t="s">
        <v>193</v>
      </c>
      <c r="B7" s="108">
        <f>SUM(B3:B6)</f>
        <v>0</v>
      </c>
      <c r="C7" s="102"/>
      <c r="E7" s="111"/>
      <c r="F7" s="110" t="s">
        <v>194</v>
      </c>
      <c r="G7" s="105">
        <v>17.4</v>
      </c>
      <c r="H7" s="104"/>
    </row>
    <row r="8" ht="15.75" customHeight="1" spans="1:8">
      <c r="A8" s="113" t="s">
        <v>195</v>
      </c>
      <c r="B8" s="108">
        <f>SUM(G5:G12)</f>
        <v>25.3</v>
      </c>
      <c r="C8" s="114"/>
      <c r="E8" s="111"/>
      <c r="F8" s="110" t="s">
        <v>196</v>
      </c>
      <c r="G8" s="105">
        <v>0</v>
      </c>
      <c r="H8" s="104"/>
    </row>
    <row r="9" ht="15.75" customHeight="1" spans="1:8">
      <c r="A9" s="100" t="s">
        <v>197</v>
      </c>
      <c r="B9" s="108">
        <f>SUM(G13:G21)</f>
        <v>4.95</v>
      </c>
      <c r="C9" s="102"/>
      <c r="E9" s="111"/>
      <c r="F9" s="104" t="s">
        <v>198</v>
      </c>
      <c r="G9" s="105">
        <v>0</v>
      </c>
      <c r="H9" s="115"/>
    </row>
    <row r="10" ht="15.75" customHeight="1" spans="1:8">
      <c r="A10" s="106" t="s">
        <v>58</v>
      </c>
      <c r="B10" s="108">
        <f>B7+B8+B9</f>
        <v>30.25</v>
      </c>
      <c r="C10" s="102"/>
      <c r="E10" s="111"/>
      <c r="F10" s="104" t="s">
        <v>199</v>
      </c>
      <c r="G10" s="105">
        <v>0</v>
      </c>
      <c r="H10" s="104"/>
    </row>
    <row r="11" ht="15.75" customHeight="1" spans="5:8">
      <c r="E11" s="111"/>
      <c r="F11" s="104" t="s">
        <v>200</v>
      </c>
      <c r="G11" s="105">
        <v>0</v>
      </c>
      <c r="H11" s="104"/>
    </row>
    <row r="12" ht="15.75" customHeight="1" spans="5:8">
      <c r="E12" s="116"/>
      <c r="F12" s="104" t="s">
        <v>201</v>
      </c>
      <c r="G12" s="105">
        <v>3.9</v>
      </c>
      <c r="H12" s="115"/>
    </row>
    <row r="13" ht="15.75" customHeight="1" spans="5:8">
      <c r="E13" s="103" t="s">
        <v>91</v>
      </c>
      <c r="F13" s="104" t="s">
        <v>202</v>
      </c>
      <c r="G13" s="105">
        <v>4.95</v>
      </c>
      <c r="H13" s="117"/>
    </row>
    <row r="14" ht="15.75" customHeight="1" spans="5:8">
      <c r="E14" s="107"/>
      <c r="F14" s="104" t="s">
        <v>203</v>
      </c>
      <c r="G14" s="105">
        <v>0</v>
      </c>
      <c r="H14" s="104"/>
    </row>
    <row r="15" ht="15.75" customHeight="1" spans="5:8">
      <c r="E15" s="107"/>
      <c r="F15" s="104" t="s">
        <v>204</v>
      </c>
      <c r="G15" s="105">
        <v>0</v>
      </c>
      <c r="H15" s="104"/>
    </row>
    <row r="16" ht="15.75" customHeight="1" spans="5:8">
      <c r="E16" s="107"/>
      <c r="F16" s="104" t="s">
        <v>205</v>
      </c>
      <c r="G16" s="105">
        <v>0</v>
      </c>
      <c r="H16" s="104"/>
    </row>
    <row r="17" ht="15.75" customHeight="1" spans="5:8">
      <c r="E17" s="107"/>
      <c r="F17" s="104" t="s">
        <v>206</v>
      </c>
      <c r="G17" s="105">
        <v>0</v>
      </c>
      <c r="H17" s="104"/>
    </row>
    <row r="18" ht="15.75" customHeight="1" spans="5:8">
      <c r="E18" s="107"/>
      <c r="F18" s="104" t="s">
        <v>207</v>
      </c>
      <c r="G18" s="105">
        <v>0</v>
      </c>
      <c r="H18" s="104"/>
    </row>
    <row r="19" ht="15.75" customHeight="1" spans="5:8">
      <c r="E19" s="107"/>
      <c r="F19" s="104" t="s">
        <v>208</v>
      </c>
      <c r="G19" s="105">
        <v>0</v>
      </c>
      <c r="H19" s="104"/>
    </row>
    <row r="20" ht="15.75" customHeight="1" spans="5:8">
      <c r="E20" s="107"/>
      <c r="F20" s="104" t="s">
        <v>209</v>
      </c>
      <c r="G20" s="105">
        <v>0</v>
      </c>
      <c r="H20" s="104"/>
    </row>
    <row r="21" ht="15.75" customHeight="1" spans="5:8">
      <c r="E21" s="118"/>
      <c r="F21" s="104" t="s">
        <v>39</v>
      </c>
      <c r="G21" s="105">
        <v>0</v>
      </c>
      <c r="H21" s="104"/>
    </row>
    <row r="22" ht="15.75" customHeight="1" spans="5:8">
      <c r="E22" s="98" t="s">
        <v>58</v>
      </c>
      <c r="F22" s="104"/>
      <c r="G22" s="99">
        <f>SUM(G3:G21)</f>
        <v>30.25</v>
      </c>
      <c r="H22" s="104"/>
    </row>
    <row r="23" ht="30.75" customHeight="1" spans="5:8">
      <c r="E23" s="119" t="s">
        <v>210</v>
      </c>
      <c r="F23" s="119"/>
      <c r="G23" s="119"/>
      <c r="H23" s="119"/>
    </row>
    <row r="25" ht="16.5" spans="1:10">
      <c r="A25" s="120" t="s">
        <v>1</v>
      </c>
      <c r="B25" s="120" t="s">
        <v>179</v>
      </c>
      <c r="C25" s="120" t="s">
        <v>211</v>
      </c>
      <c r="D25" s="121" t="s">
        <v>53</v>
      </c>
      <c r="E25" s="121" t="s">
        <v>54</v>
      </c>
      <c r="F25" s="121" t="s">
        <v>55</v>
      </c>
      <c r="G25" s="121" t="s">
        <v>212</v>
      </c>
      <c r="H25" s="121" t="s">
        <v>213</v>
      </c>
      <c r="I25" s="121" t="s">
        <v>58</v>
      </c>
      <c r="J25" s="129" t="s">
        <v>214</v>
      </c>
    </row>
    <row r="26" ht="16.5" spans="1:10">
      <c r="A26" s="122" t="s">
        <v>168</v>
      </c>
      <c r="B26" s="123">
        <f>(B5+B8)*10000</f>
        <v>253000</v>
      </c>
      <c r="C26" s="124">
        <v>0.05</v>
      </c>
      <c r="D26" s="125">
        <f>B26*(1-C26)/5</f>
        <v>48070</v>
      </c>
      <c r="E26" s="125">
        <f>D26</f>
        <v>48070</v>
      </c>
      <c r="F26" s="125">
        <f>E26</f>
        <v>48070</v>
      </c>
      <c r="G26" s="125">
        <f>F26</f>
        <v>48070</v>
      </c>
      <c r="H26" s="125">
        <f>G26</f>
        <v>48070</v>
      </c>
      <c r="I26" s="125">
        <f>SUM(D26:H26)</f>
        <v>240350</v>
      </c>
      <c r="J26" s="125">
        <f>B26*0.05</f>
        <v>12650</v>
      </c>
    </row>
    <row r="27" ht="16.5" spans="1:10">
      <c r="A27" s="122" t="s">
        <v>215</v>
      </c>
      <c r="B27" s="123">
        <f>B9*10000</f>
        <v>49500</v>
      </c>
      <c r="C27" s="125"/>
      <c r="D27" s="125">
        <f>B27/3</f>
        <v>16500</v>
      </c>
      <c r="E27" s="125">
        <f t="shared" ref="E26:F27" si="0">D27</f>
        <v>16500</v>
      </c>
      <c r="F27" s="125">
        <f t="shared" si="0"/>
        <v>16500</v>
      </c>
      <c r="G27" s="125">
        <f>F27</f>
        <v>16500</v>
      </c>
      <c r="H27" s="125">
        <f>G27</f>
        <v>16500</v>
      </c>
      <c r="I27" s="125">
        <f>SUM(D27:H27)</f>
        <v>82500</v>
      </c>
      <c r="J27" s="125"/>
    </row>
    <row r="28" ht="16.5" spans="1:10">
      <c r="A28" s="126" t="s">
        <v>148</v>
      </c>
      <c r="B28" s="127"/>
      <c r="C28" s="128"/>
      <c r="D28" s="125">
        <f>SUM(D26:D27)</f>
        <v>64570</v>
      </c>
      <c r="E28" s="125">
        <f t="shared" ref="E28:H28" si="1">SUM(E26:E27)</f>
        <v>64570</v>
      </c>
      <c r="F28" s="125">
        <f t="shared" si="1"/>
        <v>64570</v>
      </c>
      <c r="G28" s="125">
        <f t="shared" si="1"/>
        <v>64570</v>
      </c>
      <c r="H28" s="125">
        <f t="shared" si="1"/>
        <v>64570</v>
      </c>
      <c r="I28" s="130"/>
      <c r="J28" s="130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2024-06-28T06:19:32Z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9545D4B7266740A89BCEAE7E60B7E103</vt:lpwstr>
  </property>
</Properties>
</file>