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90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  <externalReference r:id="rId13"/>
  </externalReferences>
  <definedNames>
    <definedName name="_xlnm.Print_Area" localSheetId="3">'2025年'!$A$1:$E$48</definedName>
    <definedName name="_xlnm.Print_Area" localSheetId="4">'2026年'!$A$1:$E$48</definedName>
    <definedName name="_xlnm.Print_Area" localSheetId="5">'2027年'!$A$1:$E$48</definedName>
    <definedName name="_xlnm.Print_Area" localSheetId="6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N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<sst xmlns="http://schemas.openxmlformats.org/spreadsheetml/2006/main" count="1184" uniqueCount="278">
  <si>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</si>
  <si>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</si>
  <si>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</si>
  <si>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</si>
  <si>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</si>
  <si>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</si>
  <si>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</si>
  <si>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</si>
  <si>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</si>
  <si>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</si>
  <si>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</si>
  <si>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</si>
  <si>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</si>
  <si>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</si>
  <si>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</si>
  <si>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</si>
  <si>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</si>
  <si>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</si>
  <si>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</si>
  <si>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</si>
  <si>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</si>
  <si>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</si>
  <si>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</si>
  <si>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</si>
  <si>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</si>
  <si>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</si>
  <si>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</si>
  <si>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</si>
  <si>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</si>
  <si>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</si>
  <si>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</si>
  <si>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</si>
  <si>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</si>
  <si>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</si>
  <si>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</si>
  <si>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</si>
  <si>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</si>
  <si>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</si>
  <si>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</si>
  <si>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</si>
  <si>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</si>
  <si>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</si>
  <si>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</si>
  <si>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</si>
  <si>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</si>
  <si>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</si>
  <si>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</si>
  <si>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</si>
  <si>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</si>
  <si>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</si>
  <si>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</si>
  <si>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欧航中卡高端座椅项目可行性分析            单位：元</t>
  </si>
  <si>
    <t>面套、骨架、底支架自制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</si>
  <si>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</si>
  <si>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</si>
  <si>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</si>
  <si>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</si>
  <si>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</si>
  <si>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</si>
  <si>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</si>
  <si>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</si>
  <si>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</si>
  <si>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</si>
  <si>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</si>
  <si>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</si>
  <si>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</si>
  <si>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</si>
  <si>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charset val="134"/>
      </rPr>
      <t xml:space="preserve">直接材料  </t>
    </r>
    <r>
      <rPr>
        <b/>
        <sz val="10"/>
        <color rgb="FFFF0000"/>
        <rFont val="微软雅黑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</si>
  <si>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</si>
  <si>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</si>
  <si>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</si>
  <si>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</si>
  <si>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</si>
  <si>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</si>
  <si>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</si>
  <si>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</si>
  <si>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</si>
  <si>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</si>
  <si>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</si>
  <si>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</si>
  <si>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</si>
  <si>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</si>
  <si>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</si>
  <si>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</si>
  <si>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</si>
  <si>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</si>
  <si>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</si>
  <si>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</si>
  <si>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</si>
  <si>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</si>
  <si>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</si>
  <si>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</si>
  <si>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</si>
  <si>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</si>
  <si>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</si>
  <si>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</si>
  <si>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</si>
  <si>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</si>
  <si>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</si>
  <si>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</si>
  <si>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</si>
  <si>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</si>
  <si>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</si>
  <si>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</si>
  <si>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</si>
  <si>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</si>
  <si>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</si>
  <si>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</si>
  <si>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</si>
  <si>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</si>
  <si>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</si>
  <si>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</si>
  <si>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</si>
  <si>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</si>
  <si>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</si>
  <si>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</si>
  <si>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</si>
  <si>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</si>
  <si>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</si>
  <si>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</si>
  <si>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</si>
  <si>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</si>
  <si>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</si>
  <si>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</si>
  <si>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</si>
  <si>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</si>
  <si>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</si>
  <si>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</si>
  <si>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</si>
  <si>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</si>
  <si>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</si>
  <si>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</si>
  <si>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</si>
  <si>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</si>
  <si>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</si>
  <si>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</si>
  <si>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</si>
  <si>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</si>
  <si>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</si>
  <si>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</si>
  <si>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</si>
  <si>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</si>
  <si>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</si>
  <si>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</si>
  <si>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</si>
  <si>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</si>
  <si>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</si>
  <si>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</si>
  <si>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</si>
  <si>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</si>
  <si>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</si>
  <si>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欧航中卡高端座椅</t>
  </si>
  <si>
    <t>产品名称</t>
  </si>
  <si>
    <t>驾驶员座椅总成</t>
  </si>
  <si>
    <t>副驾驶员座椅总成</t>
  </si>
  <si>
    <t>产品图号</t>
  </si>
  <si>
    <t>M468100000292</t>
  </si>
  <si>
    <t>M468100000293</t>
  </si>
  <si>
    <t>车型</t>
  </si>
  <si>
    <t>气囊减震、整体靠背、三点式安全带、按摩、靠背可调、高度可调，集成安全带锁扣</t>
  </si>
  <si>
    <t>整体靠背，无滑轨，集成三点式安全带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</si>
  <si>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</si>
  <si>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</si>
  <si>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</si>
  <si>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</si>
  <si>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</si>
  <si>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</si>
  <si>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2026年  </t>
  </si>
  <si>
    <t xml:space="preserve">2027年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</si>
  <si>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</si>
  <si>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欧航中卡高端驾驶员座椅项目研发费用预算表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</si>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</sst>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6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name val="宋体"/>
      <charset val="134"/>
    </font>
    <font>
      <sz val="11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19" applyNumberFormat="0" applyAlignment="0" applyProtection="0">
      <alignment vertical="center"/>
    </xf>
    <xf numFmtId="0" fontId="45" fillId="12" borderId="20" applyNumberFormat="0" applyAlignment="0" applyProtection="0">
      <alignment vertical="center"/>
    </xf>
    <xf numFmtId="0" fontId="46" fillId="12" borderId="19" applyNumberFormat="0" applyAlignment="0" applyProtection="0">
      <alignment vertical="center"/>
    </xf>
    <xf numFmtId="0" fontId="47" fillId="13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5" fillId="0" borderId="0"/>
    <xf numFmtId="0" fontId="56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0"/>
    <xf numFmtId="0" fontId="58" fillId="0" borderId="0"/>
    <xf numFmtId="1" fontId="59" fillId="0" borderId="2" applyBorder="0"/>
    <xf numFmtId="43" fontId="60" fillId="0" borderId="0" applyFont="0" applyFill="0" applyBorder="0" applyAlignment="0" applyProtection="0">
      <alignment vertical="center"/>
    </xf>
    <xf numFmtId="0" fontId="57" fillId="0" borderId="0"/>
  </cellStyleXfs>
  <cellXfs count="2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1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1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3" fontId="13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 readingOrder="1"/>
    </xf>
    <xf numFmtId="176" fontId="14" fillId="0" borderId="2" xfId="0" applyNumberFormat="1" applyFont="1" applyFill="1" applyBorder="1" applyAlignment="1">
      <alignment horizontal="center" vertical="center" wrapText="1" readingOrder="1"/>
    </xf>
    <xf numFmtId="176" fontId="15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6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3" applyNumberFormat="1" applyFont="1" applyFill="1">
      <alignment vertical="center"/>
    </xf>
    <xf numFmtId="178" fontId="3" fillId="5" borderId="0" xfId="3" applyNumberFormat="1" applyFont="1" applyFill="1">
      <alignment vertical="center"/>
    </xf>
    <xf numFmtId="0" fontId="14" fillId="0" borderId="6" xfId="0" applyFont="1" applyFill="1" applyBorder="1" applyAlignment="1">
      <alignment horizontal="center" vertical="center" wrapText="1" readingOrder="1"/>
    </xf>
    <xf numFmtId="0" fontId="14" fillId="0" borderId="10" xfId="0" applyFont="1" applyFill="1" applyBorder="1" applyAlignment="1">
      <alignment horizontal="center" vertical="center" wrapText="1" readingOrder="1"/>
    </xf>
    <xf numFmtId="0" fontId="14" fillId="0" borderId="7" xfId="0" applyFont="1" applyFill="1" applyBorder="1" applyAlignment="1">
      <alignment horizontal="center" vertical="center" wrapText="1" readingOrder="1"/>
    </xf>
    <xf numFmtId="177" fontId="14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0" fontId="17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18" fillId="7" borderId="2" xfId="53" applyNumberFormat="1" applyFont="1" applyFill="1" applyBorder="1" applyAlignment="1">
      <alignment horizontal="center" vertical="center" wrapText="1"/>
    </xf>
    <xf numFmtId="43" fontId="18" fillId="7" borderId="2" xfId="1" applyFont="1" applyFill="1" applyBorder="1" applyAlignment="1">
      <alignment horizontal="center" vertical="center" wrapText="1"/>
    </xf>
    <xf numFmtId="0" fontId="18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9" fillId="0" borderId="2" xfId="53" applyNumberFormat="1" applyFont="1" applyFill="1" applyBorder="1" applyAlignment="1">
      <alignment horizontal="left" vertical="center"/>
    </xf>
    <xf numFmtId="43" fontId="19" fillId="4" borderId="2" xfId="1" applyFont="1" applyFill="1" applyBorder="1" applyAlignment="1">
      <alignment horizontal="center" vertical="center"/>
    </xf>
    <xf numFmtId="0" fontId="20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1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19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79" fontId="19" fillId="0" borderId="3" xfId="53" applyNumberFormat="1" applyFont="1" applyFill="1" applyBorder="1" applyAlignment="1">
      <alignment horizontal="center" vertical="center"/>
    </xf>
    <xf numFmtId="179" fontId="19" fillId="0" borderId="3" xfId="53" applyNumberFormat="1" applyFont="1" applyFill="1" applyBorder="1" applyAlignment="1">
      <alignment horizontal="left" vertical="center" wrapText="1"/>
    </xf>
    <xf numFmtId="0" fontId="20" fillId="6" borderId="2" xfId="49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43" fontId="24" fillId="0" borderId="0" xfId="1" applyFont="1" applyFill="1">
      <alignment vertical="center"/>
    </xf>
    <xf numFmtId="0" fontId="24" fillId="0" borderId="2" xfId="0" applyFont="1" applyFill="1" applyBorder="1" applyAlignment="1">
      <alignment horizontal="center" vertical="center"/>
    </xf>
    <xf numFmtId="43" fontId="24" fillId="0" borderId="3" xfId="1" applyFont="1" applyFill="1" applyBorder="1" applyAlignment="1">
      <alignment horizontal="center" vertical="center"/>
    </xf>
    <xf numFmtId="43" fontId="24" fillId="0" borderId="4" xfId="1" applyFont="1" applyFill="1" applyBorder="1" applyAlignment="1">
      <alignment horizontal="center" vertical="center"/>
    </xf>
    <xf numFmtId="43" fontId="24" fillId="0" borderId="5" xfId="1" applyFont="1" applyFill="1" applyBorder="1" applyAlignment="1">
      <alignment horizontal="center" vertical="center"/>
    </xf>
    <xf numFmtId="43" fontId="24" fillId="4" borderId="2" xfId="1" applyFont="1" applyFill="1" applyBorder="1" applyAlignment="1">
      <alignment horizontal="center" vertical="center"/>
    </xf>
    <xf numFmtId="43" fontId="25" fillId="0" borderId="6" xfId="1" applyFont="1" applyFill="1" applyBorder="1" applyAlignment="1">
      <alignment horizontal="center" vertical="center" wrapText="1"/>
    </xf>
    <xf numFmtId="43" fontId="25" fillId="0" borderId="10" xfId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0" fontId="24" fillId="0" borderId="2" xfId="0" applyFont="1" applyFill="1" applyBorder="1">
      <alignment vertical="center"/>
    </xf>
    <xf numFmtId="0" fontId="27" fillId="0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 readingOrder="1"/>
    </xf>
    <xf numFmtId="43" fontId="24" fillId="0" borderId="2" xfId="1" applyFont="1" applyFill="1" applyBorder="1" applyAlignment="1">
      <alignment horizontal="center" vertical="center"/>
    </xf>
    <xf numFmtId="43" fontId="24" fillId="0" borderId="0" xfId="0" applyNumberFormat="1" applyFont="1" applyFill="1">
      <alignment vertical="center"/>
    </xf>
    <xf numFmtId="0" fontId="27" fillId="0" borderId="2" xfId="0" applyFont="1" applyFill="1" applyBorder="1">
      <alignment vertical="center"/>
    </xf>
    <xf numFmtId="10" fontId="24" fillId="0" borderId="2" xfId="3" applyNumberFormat="1" applyFont="1" applyFill="1" applyBorder="1" applyAlignment="1">
      <alignment horizontal="center" vertical="center"/>
    </xf>
    <xf numFmtId="10" fontId="24" fillId="0" borderId="0" xfId="0" applyNumberFormat="1" applyFont="1" applyFill="1">
      <alignment vertical="center"/>
    </xf>
    <xf numFmtId="0" fontId="22" fillId="0" borderId="2" xfId="0" applyFont="1" applyFill="1" applyBorder="1">
      <alignment vertical="center"/>
    </xf>
    <xf numFmtId="43" fontId="22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4" fillId="0" borderId="2" xfId="1" applyFont="1" applyFill="1" applyBorder="1">
      <alignment vertical="center"/>
    </xf>
    <xf numFmtId="0" fontId="23" fillId="0" borderId="2" xfId="0" applyFont="1" applyFill="1" applyBorder="1">
      <alignment vertical="center"/>
    </xf>
    <xf numFmtId="180" fontId="24" fillId="0" borderId="0" xfId="0" applyNumberFormat="1" applyFont="1" applyFill="1">
      <alignment vertical="center"/>
    </xf>
    <xf numFmtId="9" fontId="24" fillId="0" borderId="2" xfId="3" applyFont="1" applyFill="1" applyBorder="1">
      <alignment vertical="center"/>
    </xf>
    <xf numFmtId="10" fontId="24" fillId="0" borderId="2" xfId="3" applyNumberFormat="1" applyFont="1" applyFill="1" applyBorder="1">
      <alignment vertical="center"/>
    </xf>
    <xf numFmtId="43" fontId="22" fillId="0" borderId="2" xfId="1" applyFont="1" applyFill="1" applyBorder="1" applyAlignment="1">
      <alignment horizontal="center" vertical="center"/>
    </xf>
    <xf numFmtId="43" fontId="24" fillId="0" borderId="2" xfId="0" applyNumberFormat="1" applyFont="1" applyFill="1" applyBorder="1">
      <alignment vertical="center"/>
    </xf>
    <xf numFmtId="43" fontId="23" fillId="0" borderId="2" xfId="1" applyFont="1" applyFill="1" applyBorder="1">
      <alignment vertical="center"/>
    </xf>
    <xf numFmtId="43" fontId="24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23" fillId="0" borderId="0" xfId="0" applyFont="1">
      <alignment vertical="center"/>
    </xf>
    <xf numFmtId="0" fontId="24" fillId="0" borderId="0" xfId="0" applyFont="1" applyBorder="1">
      <alignment vertical="center"/>
    </xf>
    <xf numFmtId="0" fontId="24" fillId="0" borderId="0" xfId="0" applyFont="1">
      <alignment vertical="center"/>
    </xf>
    <xf numFmtId="43" fontId="24" fillId="0" borderId="0" xfId="1" applyFont="1">
      <alignment vertical="center"/>
    </xf>
    <xf numFmtId="0" fontId="29" fillId="0" borderId="1" xfId="0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43" fontId="30" fillId="0" borderId="2" xfId="1" applyFont="1" applyFill="1" applyBorder="1" applyAlignment="1">
      <alignment horizontal="center" vertical="center" wrapText="1"/>
    </xf>
    <xf numFmtId="43" fontId="25" fillId="0" borderId="2" xfId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177" fontId="24" fillId="0" borderId="2" xfId="1" applyNumberFormat="1" applyFont="1" applyFill="1" applyBorder="1" applyAlignment="1">
      <alignment horizontal="center" vertical="center"/>
    </xf>
    <xf numFmtId="177" fontId="23" fillId="0" borderId="2" xfId="1" applyNumberFormat="1" applyFont="1" applyFill="1" applyBorder="1" applyAlignment="1">
      <alignment horizontal="center" vertical="center"/>
    </xf>
    <xf numFmtId="0" fontId="27" fillId="9" borderId="2" xfId="0" applyFont="1" applyFill="1" applyBorder="1">
      <alignment vertical="center"/>
    </xf>
    <xf numFmtId="177" fontId="23" fillId="9" borderId="2" xfId="1" applyNumberFormat="1" applyFont="1" applyFill="1" applyBorder="1" applyAlignment="1">
      <alignment horizontal="center" vertical="center"/>
    </xf>
    <xf numFmtId="0" fontId="31" fillId="0" borderId="2" xfId="0" applyFont="1" applyFill="1" applyBorder="1">
      <alignment vertical="center"/>
    </xf>
    <xf numFmtId="0" fontId="24" fillId="0" borderId="2" xfId="0" applyFont="1" applyBorder="1">
      <alignment vertical="center"/>
    </xf>
    <xf numFmtId="10" fontId="23" fillId="0" borderId="2" xfId="3" applyNumberFormat="1" applyFont="1" applyBorder="1" applyAlignment="1">
      <alignment vertical="center"/>
    </xf>
    <xf numFmtId="177" fontId="23" fillId="0" borderId="2" xfId="1" applyNumberFormat="1" applyFont="1" applyBorder="1" applyAlignment="1">
      <alignment horizontal="center" vertical="center"/>
    </xf>
    <xf numFmtId="177" fontId="24" fillId="0" borderId="2" xfId="1" applyNumberFormat="1" applyFont="1" applyFill="1" applyBorder="1">
      <alignment vertical="center"/>
    </xf>
    <xf numFmtId="0" fontId="31" fillId="9" borderId="2" xfId="0" applyFont="1" applyFill="1" applyBorder="1">
      <alignment vertical="center"/>
    </xf>
    <xf numFmtId="177" fontId="24" fillId="0" borderId="2" xfId="1" applyNumberFormat="1" applyFont="1" applyBorder="1" applyAlignment="1">
      <alignment horizontal="center" vertical="center"/>
    </xf>
    <xf numFmtId="43" fontId="22" fillId="0" borderId="0" xfId="0" applyNumberFormat="1" applyFont="1" applyFill="1">
      <alignment vertical="center"/>
    </xf>
    <xf numFmtId="10" fontId="24" fillId="0" borderId="2" xfId="3" applyNumberFormat="1" applyFont="1" applyBorder="1">
      <alignment vertical="center"/>
    </xf>
    <xf numFmtId="10" fontId="24" fillId="0" borderId="0" xfId="3" applyNumberFormat="1" applyFont="1" applyBorder="1">
      <alignment vertical="center"/>
    </xf>
    <xf numFmtId="43" fontId="24" fillId="0" borderId="0" xfId="0" applyNumberFormat="1" applyFont="1" applyFill="1" applyBorder="1">
      <alignment vertical="center"/>
    </xf>
    <xf numFmtId="43" fontId="24" fillId="0" borderId="0" xfId="1" applyFont="1" applyBorder="1">
      <alignment vertical="center"/>
    </xf>
    <xf numFmtId="0" fontId="24" fillId="0" borderId="2" xfId="0" applyFont="1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43" fontId="24" fillId="0" borderId="2" xfId="1" applyFont="1" applyBorder="1">
      <alignment vertical="center"/>
    </xf>
    <xf numFmtId="177" fontId="24" fillId="0" borderId="2" xfId="1" applyNumberFormat="1" applyFont="1" applyBorder="1">
      <alignment vertical="center"/>
    </xf>
    <xf numFmtId="0" fontId="23" fillId="0" borderId="2" xfId="0" applyFont="1" applyBorder="1">
      <alignment vertical="center"/>
    </xf>
    <xf numFmtId="0" fontId="31" fillId="0" borderId="2" xfId="0" applyFont="1" applyBorder="1">
      <alignment vertical="center"/>
    </xf>
    <xf numFmtId="0" fontId="24" fillId="0" borderId="6" xfId="0" applyFont="1" applyBorder="1">
      <alignment vertical="center"/>
    </xf>
    <xf numFmtId="1" fontId="19" fillId="6" borderId="0" xfId="49" applyNumberFormat="1" applyFont="1" applyFill="1" applyProtection="1"/>
    <xf numFmtId="0" fontId="19" fillId="6" borderId="0" xfId="49" applyFont="1" applyFill="1" applyProtection="1"/>
    <xf numFmtId="0" fontId="32" fillId="6" borderId="0" xfId="49" applyFont="1" applyFill="1" applyAlignment="1" applyProtection="1">
      <alignment horizontal="centerContinuous"/>
    </xf>
    <xf numFmtId="0" fontId="19" fillId="6" borderId="0" xfId="49" applyFont="1" applyFill="1" applyAlignment="1">
      <alignment horizontal="centerContinuous"/>
    </xf>
    <xf numFmtId="0" fontId="19" fillId="6" borderId="0" xfId="49" applyFont="1" applyFill="1" applyAlignment="1" applyProtection="1">
      <alignment horizontal="centerContinuous"/>
    </xf>
    <xf numFmtId="9" fontId="19" fillId="6" borderId="0" xfId="49" applyNumberFormat="1" applyFont="1" applyFill="1" applyProtection="1"/>
    <xf numFmtId="0" fontId="19" fillId="6" borderId="6" xfId="49" applyFont="1" applyFill="1" applyBorder="1" applyAlignment="1" applyProtection="1">
      <alignment horizontal="center"/>
    </xf>
    <xf numFmtId="0" fontId="21" fillId="6" borderId="2" xfId="49" applyFont="1" applyFill="1" applyBorder="1" applyAlignment="1" applyProtection="1">
      <alignment horizontal="center"/>
    </xf>
    <xf numFmtId="0" fontId="21" fillId="6" borderId="4" xfId="49" applyFont="1" applyFill="1" applyBorder="1" applyAlignment="1" applyProtection="1">
      <alignment horizontal="center"/>
    </xf>
    <xf numFmtId="1" fontId="21" fillId="6" borderId="4" xfId="54" applyFont="1" applyFill="1" applyBorder="1"/>
    <xf numFmtId="1" fontId="19" fillId="6" borderId="4" xfId="54" applyFont="1" applyFill="1" applyBorder="1"/>
    <xf numFmtId="0" fontId="19" fillId="6" borderId="7" xfId="49" applyFont="1" applyFill="1" applyBorder="1" applyProtection="1"/>
    <xf numFmtId="0" fontId="19" fillId="6" borderId="2" xfId="49" applyFont="1" applyFill="1" applyBorder="1" applyAlignment="1" applyProtection="1">
      <alignment horizontal="center"/>
    </xf>
    <xf numFmtId="0" fontId="19" fillId="6" borderId="2" xfId="49" applyFont="1" applyFill="1" applyBorder="1" applyAlignment="1" applyProtection="1">
      <alignment horizontal="left"/>
    </xf>
    <xf numFmtId="0" fontId="19" fillId="9" borderId="2" xfId="49" applyFont="1" applyFill="1" applyBorder="1" applyProtection="1"/>
    <xf numFmtId="177" fontId="19" fillId="9" borderId="2" xfId="1" applyNumberFormat="1" applyFont="1" applyFill="1" applyBorder="1" applyAlignment="1" applyProtection="1"/>
    <xf numFmtId="0" fontId="19" fillId="6" borderId="2" xfId="49" applyFont="1" applyFill="1" applyBorder="1" applyProtection="1"/>
    <xf numFmtId="177" fontId="19" fillId="6" borderId="2" xfId="1" applyNumberFormat="1" applyFont="1" applyFill="1" applyBorder="1" applyAlignment="1" applyProtection="1"/>
    <xf numFmtId="0" fontId="19" fillId="6" borderId="2" xfId="49" applyNumberFormat="1" applyFont="1" applyFill="1" applyBorder="1" applyAlignment="1" applyProtection="1">
      <alignment horizontal="left"/>
    </xf>
    <xf numFmtId="1" fontId="19" fillId="6" borderId="2" xfId="49" applyNumberFormat="1" applyFont="1" applyFill="1" applyBorder="1" applyProtection="1"/>
    <xf numFmtId="1" fontId="19" fillId="6" borderId="2" xfId="49" applyNumberFormat="1" applyFont="1" applyFill="1" applyBorder="1" applyAlignment="1" applyProtection="1">
      <alignment horizontal="left"/>
    </xf>
    <xf numFmtId="0" fontId="19" fillId="6" borderId="9" xfId="49" applyFont="1" applyFill="1" applyBorder="1" applyProtection="1"/>
    <xf numFmtId="0" fontId="19" fillId="6" borderId="11" xfId="49" applyFont="1" applyFill="1" applyBorder="1" applyProtection="1"/>
    <xf numFmtId="0" fontId="19" fillId="6" borderId="12" xfId="49" applyFont="1" applyFill="1" applyBorder="1" applyProtection="1"/>
    <xf numFmtId="0" fontId="19" fillId="6" borderId="0" xfId="49" applyFont="1" applyFill="1" applyBorder="1" applyProtection="1"/>
    <xf numFmtId="181" fontId="19" fillId="6" borderId="0" xfId="49" applyNumberFormat="1" applyFont="1" applyFill="1" applyBorder="1" applyProtection="1"/>
    <xf numFmtId="10" fontId="19" fillId="6" borderId="0" xfId="49" applyNumberFormat="1" applyFont="1" applyFill="1" applyBorder="1" applyProtection="1"/>
    <xf numFmtId="1" fontId="19" fillId="6" borderId="0" xfId="49" applyNumberFormat="1" applyFont="1" applyFill="1" applyBorder="1" applyProtection="1"/>
    <xf numFmtId="0" fontId="19" fillId="6" borderId="13" xfId="49" applyFont="1" applyFill="1" applyBorder="1" applyProtection="1"/>
    <xf numFmtId="0" fontId="19" fillId="6" borderId="1" xfId="49" applyFont="1" applyFill="1" applyBorder="1" applyProtection="1"/>
    <xf numFmtId="2" fontId="19" fillId="6" borderId="1" xfId="49" applyNumberFormat="1" applyFont="1" applyFill="1" applyBorder="1" applyProtection="1"/>
    <xf numFmtId="0" fontId="19" fillId="6" borderId="5" xfId="49" applyFont="1" applyFill="1" applyBorder="1"/>
    <xf numFmtId="1" fontId="19" fillId="6" borderId="7" xfId="54" applyFont="1" applyFill="1" applyBorder="1" applyAlignment="1">
      <alignment horizontal="center"/>
    </xf>
    <xf numFmtId="0" fontId="19" fillId="6" borderId="8" xfId="49" applyFont="1" applyFill="1" applyBorder="1" applyProtection="1"/>
    <xf numFmtId="0" fontId="19" fillId="6" borderId="14" xfId="49" applyFont="1" applyFill="1" applyBorder="1" applyProtection="1"/>
    <xf numFmtId="0" fontId="19" fillId="6" borderId="15" xfId="49" applyFont="1" applyFill="1" applyBorder="1" applyProtection="1"/>
    <xf numFmtId="0" fontId="33" fillId="0" borderId="0" xfId="0" applyFont="1">
      <alignment vertical="center"/>
    </xf>
    <xf numFmtId="0" fontId="34" fillId="0" borderId="2" xfId="0" applyFont="1" applyBorder="1" applyAlignment="1">
      <alignment horizontal="center" vertical="center" wrapText="1" readingOrder="1"/>
    </xf>
    <xf numFmtId="0" fontId="33" fillId="0" borderId="0" xfId="0" applyFont="1" applyFill="1">
      <alignment vertical="center"/>
    </xf>
    <xf numFmtId="0" fontId="14" fillId="0" borderId="2" xfId="0" applyFont="1" applyBorder="1" applyAlignment="1">
      <alignment horizontal="center" vertical="center" wrapText="1" readingOrder="1"/>
    </xf>
    <xf numFmtId="0" fontId="35" fillId="0" borderId="2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35" fillId="0" borderId="2" xfId="0" applyFont="1" applyFill="1" applyBorder="1" applyAlignment="1">
      <alignment horizontal="left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35" fillId="0" borderId="2" xfId="0" applyFont="1" applyBorder="1" applyAlignment="1">
      <alignment horizontal="center" vertical="center" wrapText="1" readingOrder="1"/>
    </xf>
    <xf numFmtId="0" fontId="35" fillId="0" borderId="0" xfId="0" applyFont="1" applyFill="1" applyBorder="1" applyAlignment="1">
      <alignment horizontal="left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40" customFormat="1" ht="35.25" customHeight="1" spans="1:4">
      <c r="A2" s="241" t="s">
        <v>0</v>
      </c>
      <c r="B2" s="241" t="s">
        <v>1</v>
      </c>
      <c r="C2" s="241" t="s">
        <v>2</v>
      </c>
      <c r="D2" s="242"/>
    </row>
    <row r="3" s="240" customFormat="1" ht="33.75" customHeight="1" spans="1:4">
      <c r="A3" s="243">
        <v>1</v>
      </c>
      <c r="B3" s="243" t="s">
        <v>3</v>
      </c>
      <c r="C3" s="244" t="s">
        <v>4</v>
      </c>
      <c r="D3" s="242"/>
    </row>
    <row r="4" s="240" customFormat="1" ht="33.75" customHeight="1" spans="1:3">
      <c r="A4" s="243">
        <v>2</v>
      </c>
      <c r="B4" s="243" t="s">
        <v>5</v>
      </c>
      <c r="C4" s="244" t="s">
        <v>6</v>
      </c>
    </row>
    <row r="5" s="240" customFormat="1" ht="33.75" customHeight="1" spans="1:3">
      <c r="A5" s="243">
        <v>3</v>
      </c>
      <c r="B5" s="245" t="s">
        <v>7</v>
      </c>
      <c r="C5" s="246" t="s">
        <v>8</v>
      </c>
    </row>
    <row r="6" s="240" customFormat="1" ht="33.75" customHeight="1" spans="1:3">
      <c r="A6" s="243">
        <v>4</v>
      </c>
      <c r="B6" s="247"/>
      <c r="C6" s="244" t="s">
        <v>9</v>
      </c>
    </row>
    <row r="7" s="240" customFormat="1" ht="33.75" customHeight="1" spans="1:3">
      <c r="A7" s="243">
        <v>5</v>
      </c>
      <c r="B7" s="248" t="s">
        <v>10</v>
      </c>
      <c r="C7" s="244" t="s">
        <v>11</v>
      </c>
    </row>
    <row r="8" s="240" customFormat="1" ht="33.75" customHeight="1" spans="1:3">
      <c r="A8" s="243">
        <v>6</v>
      </c>
      <c r="B8" s="245" t="s">
        <v>12</v>
      </c>
      <c r="C8" s="244" t="s">
        <v>13</v>
      </c>
    </row>
    <row r="9" s="240" customFormat="1" ht="33.75" customHeight="1" spans="1:3">
      <c r="A9" s="243">
        <v>7</v>
      </c>
      <c r="B9" s="247"/>
      <c r="C9" s="244" t="s">
        <v>14</v>
      </c>
    </row>
    <row r="10" s="240" customFormat="1" ht="33.75" customHeight="1" spans="1:3">
      <c r="A10" s="243">
        <v>8</v>
      </c>
      <c r="B10" s="247"/>
      <c r="C10" s="246" t="s">
        <v>15</v>
      </c>
    </row>
    <row r="11" s="240" customFormat="1" ht="33.75" customHeight="1" spans="1:3">
      <c r="A11" s="243">
        <v>9</v>
      </c>
      <c r="B11" s="247"/>
      <c r="C11" s="244" t="s">
        <v>16</v>
      </c>
    </row>
    <row r="12" s="240" customFormat="1" ht="33.75" customHeight="1" spans="1:3">
      <c r="A12" s="243">
        <v>10</v>
      </c>
      <c r="B12" s="248" t="s">
        <v>17</v>
      </c>
      <c r="C12" s="244" t="s">
        <v>18</v>
      </c>
    </row>
    <row r="13" ht="33.75" customHeight="1"/>
    <row r="14" ht="33.75" customHeight="1"/>
    <row r="15" ht="33.75" customHeight="1" spans="3:3">
      <c r="C15" s="249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4" outlineLevelCol="3"/>
  <cols>
    <col min="1" max="1" width="9" style="24"/>
    <col min="2" max="2" width="29.6272727272727" style="24" customWidth="1"/>
    <col min="3" max="3" width="25.5" style="24" customWidth="1"/>
    <col min="4" max="4" width="22" style="24" customWidth="1"/>
    <col min="5" max="16384" width="9" style="24"/>
  </cols>
  <sheetData>
    <row r="1" ht="27" customHeight="1" spans="1:4">
      <c r="A1" s="25" t="s">
        <v>21</v>
      </c>
      <c r="B1" s="25" t="s">
        <v>242</v>
      </c>
      <c r="C1" s="25" t="s">
        <v>243</v>
      </c>
      <c r="D1" s="25" t="s">
        <v>244</v>
      </c>
    </row>
    <row r="2" ht="19.5" customHeight="1" spans="1:4">
      <c r="A2" s="25">
        <v>1</v>
      </c>
      <c r="B2" s="26" t="s">
        <v>245</v>
      </c>
      <c r="C2" s="27"/>
      <c r="D2" s="25"/>
    </row>
    <row r="3" ht="36" customHeight="1" spans="1:4">
      <c r="A3" s="25">
        <v>2</v>
      </c>
      <c r="B3" s="26" t="s">
        <v>246</v>
      </c>
      <c r="C3" s="28"/>
      <c r="D3" s="25" t="s">
        <v>247</v>
      </c>
    </row>
    <row r="4" ht="19.5" customHeight="1" spans="1:4">
      <c r="A4" s="25">
        <v>3</v>
      </c>
      <c r="B4" s="26" t="s">
        <v>248</v>
      </c>
      <c r="C4" s="27"/>
      <c r="D4" s="25"/>
    </row>
    <row r="5" ht="42.75" customHeight="1" spans="1:4">
      <c r="A5" s="25">
        <v>4</v>
      </c>
      <c r="B5" s="26" t="s">
        <v>249</v>
      </c>
      <c r="C5" s="27"/>
      <c r="D5" s="25"/>
    </row>
    <row r="6" ht="39" customHeight="1" spans="1:4">
      <c r="A6" s="25">
        <v>5</v>
      </c>
      <c r="B6" s="26" t="s">
        <v>250</v>
      </c>
      <c r="C6" s="27"/>
      <c r="D6" s="25"/>
    </row>
    <row r="7" ht="27.75" customHeight="1" spans="1:3">
      <c r="A7" s="25">
        <v>6</v>
      </c>
      <c r="B7" s="25" t="s">
        <v>251</v>
      </c>
      <c r="C7" s="28"/>
    </row>
    <row r="8" ht="36" customHeight="1" spans="1:4">
      <c r="A8" s="25">
        <v>7</v>
      </c>
      <c r="B8" s="26" t="s">
        <v>252</v>
      </c>
      <c r="C8" s="29"/>
      <c r="D8" s="25"/>
    </row>
    <row r="9" ht="34.5" customHeight="1" spans="1:4">
      <c r="A9" s="25">
        <v>8</v>
      </c>
      <c r="B9" s="25" t="s">
        <v>253</v>
      </c>
      <c r="C9" s="30"/>
      <c r="D9" s="25"/>
    </row>
    <row r="10" ht="34.5" customHeight="1" spans="1:4">
      <c r="A10" s="25">
        <v>9</v>
      </c>
      <c r="B10" s="25" t="s">
        <v>254</v>
      </c>
      <c r="C10" s="29"/>
      <c r="D10" s="25"/>
    </row>
    <row r="11" ht="34.5" customHeight="1" spans="1:4">
      <c r="A11" s="25">
        <v>10</v>
      </c>
      <c r="B11" s="25" t="s">
        <v>255</v>
      </c>
      <c r="C11" s="29"/>
      <c r="D11" s="25" t="s">
        <v>256</v>
      </c>
    </row>
    <row r="12" ht="34.5" customHeight="1" spans="1:4">
      <c r="A12" s="25">
        <v>11</v>
      </c>
      <c r="B12" s="25" t="s">
        <v>257</v>
      </c>
      <c r="C12" s="29"/>
      <c r="D12" s="25"/>
    </row>
    <row r="13" ht="24" customHeight="1" spans="1:4">
      <c r="A13" s="25">
        <v>12</v>
      </c>
      <c r="B13" s="26" t="s">
        <v>258</v>
      </c>
      <c r="C13" s="29"/>
      <c r="D13" s="25"/>
    </row>
    <row r="14" ht="24" customHeight="1" spans="1:4">
      <c r="A14" s="25">
        <v>13</v>
      </c>
      <c r="B14" s="26" t="s">
        <v>259</v>
      </c>
      <c r="C14" s="29"/>
      <c r="D14" s="25"/>
    </row>
    <row r="15" ht="24" customHeight="1" spans="1:4">
      <c r="A15" s="25">
        <v>14</v>
      </c>
      <c r="B15" s="26" t="s">
        <v>260</v>
      </c>
      <c r="C15" s="29"/>
      <c r="D15" s="25"/>
    </row>
    <row r="16" ht="24" customHeight="1" spans="1:4">
      <c r="A16" s="25">
        <v>15</v>
      </c>
      <c r="B16" s="25" t="s">
        <v>39</v>
      </c>
      <c r="C16" s="25"/>
      <c r="D16" s="25"/>
    </row>
    <row r="17" ht="16.5" spans="2:2">
      <c r="B17" s="31" t="s">
        <v>261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27"/>
  <sheetViews>
    <sheetView zoomScale="85" zoomScaleNormal="85" workbookViewId="0">
      <selection activeCell="I16" sqref="I16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18.5" style="3" customWidth="1"/>
    <col min="10" max="16384" width="9" style="2"/>
  </cols>
  <sheetData>
    <row r="1" s="1" customFormat="1" ht="18.75" customHeight="1" spans="7:9">
      <c r="G1" s="4" t="s">
        <v>262</v>
      </c>
      <c r="H1" s="4"/>
      <c r="I1" s="21" t="s">
        <v>156</v>
      </c>
    </row>
    <row r="2" ht="39" customHeight="1" spans="1:9">
      <c r="A2" s="5" t="s">
        <v>263</v>
      </c>
      <c r="B2" s="5"/>
      <c r="C2" s="6" t="s">
        <v>264</v>
      </c>
      <c r="D2" s="7"/>
      <c r="E2" s="7"/>
      <c r="F2" s="7"/>
      <c r="G2" s="7"/>
      <c r="H2" s="8"/>
      <c r="I2" s="3" t="s">
        <v>265</v>
      </c>
    </row>
    <row r="3" ht="34.5" customHeight="1" spans="1:9">
      <c r="A3" s="5"/>
      <c r="B3" s="5"/>
      <c r="C3" s="9" t="s">
        <v>266</v>
      </c>
      <c r="D3" s="9" t="s">
        <v>267</v>
      </c>
      <c r="E3" s="9" t="s">
        <v>268</v>
      </c>
      <c r="F3" s="10" t="s">
        <v>269</v>
      </c>
      <c r="G3" s="10" t="s">
        <v>270</v>
      </c>
      <c r="H3" s="10" t="s">
        <v>271</v>
      </c>
      <c r="I3" s="22">
        <f>材料成本!D23</f>
        <v>1403.29</v>
      </c>
    </row>
    <row r="4" ht="24" customHeight="1" spans="1:9">
      <c r="A4" s="11" t="s">
        <v>272</v>
      </c>
      <c r="B4" s="11"/>
      <c r="C4" s="12"/>
      <c r="D4" s="13"/>
      <c r="E4" s="14">
        <f>I3*I4</f>
        <v>60.481799</v>
      </c>
      <c r="F4" s="14"/>
      <c r="G4" s="14"/>
      <c r="H4" s="15">
        <v>0.0448</v>
      </c>
      <c r="I4" s="3">
        <v>0.0431</v>
      </c>
    </row>
    <row r="5" ht="24" customHeight="1" spans="1:9">
      <c r="A5" s="11" t="s">
        <v>273</v>
      </c>
      <c r="B5" s="11" t="s">
        <v>274</v>
      </c>
      <c r="C5" s="12"/>
      <c r="D5" s="13"/>
      <c r="E5" s="14">
        <f>$I$3*I5</f>
        <v>57.53489</v>
      </c>
      <c r="F5" s="14"/>
      <c r="G5" s="14"/>
      <c r="H5" s="15">
        <v>0.0404</v>
      </c>
      <c r="I5" s="3">
        <v>0.041</v>
      </c>
    </row>
    <row r="6" ht="24" customHeight="1" spans="1:9">
      <c r="A6" s="11"/>
      <c r="B6" s="11" t="s">
        <v>275</v>
      </c>
      <c r="C6" s="12"/>
      <c r="D6" s="13"/>
      <c r="E6" s="14">
        <f>$I$3*I6</f>
        <v>30.451393</v>
      </c>
      <c r="F6" s="14"/>
      <c r="G6" s="14"/>
      <c r="H6" s="15">
        <v>0.0166</v>
      </c>
      <c r="I6" s="3">
        <v>0.0217</v>
      </c>
    </row>
    <row r="7" ht="24" customHeight="1" spans="1:9">
      <c r="A7" s="6" t="s">
        <v>276</v>
      </c>
      <c r="B7" s="8"/>
      <c r="C7" s="16"/>
      <c r="D7" s="17"/>
      <c r="E7" s="14">
        <f t="shared" ref="E7:E11" si="0">$I$3*I7</f>
        <v>148.468082</v>
      </c>
      <c r="F7" s="14"/>
      <c r="G7" s="14"/>
      <c r="H7" s="18">
        <f>SUM(H4:H6)</f>
        <v>0.1018</v>
      </c>
      <c r="I7" s="3">
        <f>SUM(I4:I6)</f>
        <v>0.1058</v>
      </c>
    </row>
    <row r="8" ht="24" customHeight="1" spans="1:9">
      <c r="A8" s="11" t="s">
        <v>87</v>
      </c>
      <c r="B8" s="11"/>
      <c r="C8" s="12"/>
      <c r="D8" s="13"/>
      <c r="E8" s="14">
        <f t="shared" si="0"/>
        <v>47.71186</v>
      </c>
      <c r="F8" s="14"/>
      <c r="G8" s="14"/>
      <c r="H8" s="15">
        <f>1.97%+0.75%</f>
        <v>0.0272</v>
      </c>
      <c r="I8" s="3">
        <v>0.034</v>
      </c>
    </row>
    <row r="9" ht="24" customHeight="1" spans="1:9">
      <c r="A9" s="19" t="s">
        <v>277</v>
      </c>
      <c r="B9" s="11" t="s">
        <v>274</v>
      </c>
      <c r="C9" s="12"/>
      <c r="D9" s="13"/>
      <c r="E9" s="14">
        <f t="shared" si="0"/>
        <v>9.82303</v>
      </c>
      <c r="F9" s="14"/>
      <c r="G9" s="14"/>
      <c r="H9" s="15">
        <v>0.0053</v>
      </c>
      <c r="I9" s="3">
        <v>0.007</v>
      </c>
    </row>
    <row r="10" ht="24" customHeight="1" spans="1:9">
      <c r="A10" s="20"/>
      <c r="B10" s="11" t="s">
        <v>275</v>
      </c>
      <c r="C10" s="12"/>
      <c r="D10" s="13"/>
      <c r="E10" s="14">
        <f t="shared" si="0"/>
        <v>61.74476</v>
      </c>
      <c r="F10" s="14"/>
      <c r="G10" s="14"/>
      <c r="H10" s="15">
        <v>0.0341</v>
      </c>
      <c r="I10" s="3">
        <f>2.8%+1.6%</f>
        <v>0.044</v>
      </c>
    </row>
    <row r="11" ht="24" customHeight="1" spans="1:9">
      <c r="A11" s="11" t="s">
        <v>90</v>
      </c>
      <c r="B11" s="11"/>
      <c r="C11" s="12"/>
      <c r="D11" s="13"/>
      <c r="E11" s="14">
        <f t="shared" si="0"/>
        <v>42.0987</v>
      </c>
      <c r="F11" s="14"/>
      <c r="G11" s="14"/>
      <c r="H11" s="15">
        <v>0.011</v>
      </c>
      <c r="I11" s="3">
        <v>0.03</v>
      </c>
    </row>
    <row r="13" s="1" customFormat="1" ht="18.75" customHeight="1" spans="7:9">
      <c r="G13" s="4" t="s">
        <v>262</v>
      </c>
      <c r="H13" s="4"/>
      <c r="I13" s="23" t="s">
        <v>157</v>
      </c>
    </row>
    <row r="14" ht="39" customHeight="1" spans="1:9">
      <c r="A14" s="5" t="s">
        <v>263</v>
      </c>
      <c r="B14" s="5"/>
      <c r="C14" s="6" t="s">
        <v>264</v>
      </c>
      <c r="D14" s="7"/>
      <c r="E14" s="7"/>
      <c r="F14" s="7"/>
      <c r="G14" s="7"/>
      <c r="H14" s="8"/>
      <c r="I14" s="3" t="s">
        <v>265</v>
      </c>
    </row>
    <row r="15" ht="34.5" customHeight="1" spans="1:9">
      <c r="A15" s="5"/>
      <c r="B15" s="5"/>
      <c r="C15" s="9" t="s">
        <v>266</v>
      </c>
      <c r="D15" s="9" t="s">
        <v>267</v>
      </c>
      <c r="E15" s="9" t="s">
        <v>268</v>
      </c>
      <c r="F15" s="10" t="s">
        <v>269</v>
      </c>
      <c r="G15" s="10" t="s">
        <v>270</v>
      </c>
      <c r="H15" s="10" t="s">
        <v>271</v>
      </c>
      <c r="I15" s="22">
        <f>材料成本!E23</f>
        <v>128.08</v>
      </c>
    </row>
    <row r="16" ht="24" customHeight="1" spans="1:9">
      <c r="A16" s="11" t="s">
        <v>272</v>
      </c>
      <c r="B16" s="11"/>
      <c r="C16" s="12"/>
      <c r="D16" s="13"/>
      <c r="E16" s="14">
        <f>I15*I16</f>
        <v>5.520248</v>
      </c>
      <c r="F16" s="14"/>
      <c r="G16" s="14"/>
      <c r="H16" s="15">
        <v>0.0448</v>
      </c>
      <c r="I16" s="3">
        <v>0.0431</v>
      </c>
    </row>
    <row r="17" ht="24" customHeight="1" spans="1:9">
      <c r="A17" s="11" t="s">
        <v>273</v>
      </c>
      <c r="B17" s="11" t="s">
        <v>274</v>
      </c>
      <c r="C17" s="12"/>
      <c r="D17" s="13"/>
      <c r="E17" s="14">
        <f>$I$15*I17</f>
        <v>5.25128</v>
      </c>
      <c r="F17" s="14"/>
      <c r="G17" s="14"/>
      <c r="H17" s="15">
        <v>0.0404</v>
      </c>
      <c r="I17" s="3">
        <v>0.041</v>
      </c>
    </row>
    <row r="18" ht="24" customHeight="1" spans="1:9">
      <c r="A18" s="11"/>
      <c r="B18" s="11" t="s">
        <v>275</v>
      </c>
      <c r="C18" s="12"/>
      <c r="D18" s="13"/>
      <c r="E18" s="14">
        <f t="shared" ref="E18:E23" si="1">$I$15*I18</f>
        <v>2.779336</v>
      </c>
      <c r="F18" s="14"/>
      <c r="G18" s="14"/>
      <c r="H18" s="15">
        <v>0.0166</v>
      </c>
      <c r="I18" s="3">
        <v>0.0217</v>
      </c>
    </row>
    <row r="19" ht="24" customHeight="1" spans="1:9">
      <c r="A19" s="6" t="s">
        <v>276</v>
      </c>
      <c r="B19" s="8"/>
      <c r="C19" s="16"/>
      <c r="D19" s="17"/>
      <c r="E19" s="14">
        <f t="shared" si="1"/>
        <v>13.550864</v>
      </c>
      <c r="F19" s="14"/>
      <c r="G19" s="14"/>
      <c r="H19" s="18">
        <f>SUM(H16:H18)</f>
        <v>0.1018</v>
      </c>
      <c r="I19" s="3">
        <f>SUM(I16:I18)</f>
        <v>0.1058</v>
      </c>
    </row>
    <row r="20" ht="24" customHeight="1" spans="1:9">
      <c r="A20" s="11" t="s">
        <v>87</v>
      </c>
      <c r="B20" s="11"/>
      <c r="C20" s="12"/>
      <c r="D20" s="13"/>
      <c r="E20" s="14">
        <f t="shared" si="1"/>
        <v>4.35472</v>
      </c>
      <c r="F20" s="14"/>
      <c r="G20" s="14"/>
      <c r="H20" s="15">
        <f>1.97%+0.75%</f>
        <v>0.0272</v>
      </c>
      <c r="I20" s="3">
        <v>0.034</v>
      </c>
    </row>
    <row r="21" ht="24" customHeight="1" spans="1:9">
      <c r="A21" s="19" t="s">
        <v>277</v>
      </c>
      <c r="B21" s="11" t="s">
        <v>274</v>
      </c>
      <c r="C21" s="12"/>
      <c r="D21" s="13"/>
      <c r="E21" s="14">
        <f t="shared" si="1"/>
        <v>0.89656</v>
      </c>
      <c r="F21" s="14"/>
      <c r="G21" s="14"/>
      <c r="H21" s="15">
        <v>0.0053</v>
      </c>
      <c r="I21" s="3">
        <v>0.007</v>
      </c>
    </row>
    <row r="22" ht="24" customHeight="1" spans="1:9">
      <c r="A22" s="20"/>
      <c r="B22" s="11" t="s">
        <v>275</v>
      </c>
      <c r="C22" s="12"/>
      <c r="D22" s="13"/>
      <c r="E22" s="14">
        <f t="shared" si="1"/>
        <v>5.63552</v>
      </c>
      <c r="F22" s="14"/>
      <c r="G22" s="14"/>
      <c r="H22" s="15">
        <v>0.0341</v>
      </c>
      <c r="I22" s="3">
        <f>2.8%+1.6%</f>
        <v>0.044</v>
      </c>
    </row>
    <row r="23" ht="24" customHeight="1" spans="1:9">
      <c r="A23" s="11" t="s">
        <v>90</v>
      </c>
      <c r="B23" s="11"/>
      <c r="C23" s="12"/>
      <c r="D23" s="13"/>
      <c r="E23" s="14">
        <f t="shared" si="1"/>
        <v>3.8424</v>
      </c>
      <c r="F23" s="14"/>
      <c r="G23" s="14"/>
      <c r="H23" s="15">
        <v>0.011</v>
      </c>
      <c r="I23" s="3">
        <v>0.03</v>
      </c>
    </row>
    <row r="26" s="1" customFormat="1" ht="18.75" customHeight="1" spans="7:9">
      <c r="G26" s="4" t="s">
        <v>262</v>
      </c>
      <c r="H26" s="4"/>
      <c r="I26" s="23"/>
    </row>
    <row r="27" ht="39" customHeight="1" spans="1:9">
      <c r="A27" s="5" t="s">
        <v>263</v>
      </c>
      <c r="B27" s="5"/>
      <c r="C27" s="6" t="s">
        <v>264</v>
      </c>
      <c r="D27" s="7"/>
      <c r="E27" s="7"/>
      <c r="F27" s="7"/>
      <c r="G27" s="7"/>
      <c r="H27" s="8"/>
      <c r="I27" s="3" t="s">
        <v>265</v>
      </c>
    </row>
    <row r="28" ht="34.5" customHeight="1" spans="1:9">
      <c r="A28" s="5"/>
      <c r="B28" s="5"/>
      <c r="C28" s="9" t="s">
        <v>266</v>
      </c>
      <c r="D28" s="9" t="s">
        <v>267</v>
      </c>
      <c r="E28" s="9" t="s">
        <v>268</v>
      </c>
      <c r="F28" s="10" t="s">
        <v>269</v>
      </c>
      <c r="G28" s="10" t="s">
        <v>270</v>
      </c>
      <c r="H28" s="10" t="s">
        <v>271</v>
      </c>
      <c r="I28" s="22"/>
    </row>
    <row r="29" ht="24" customHeight="1" spans="1:9">
      <c r="A29" s="11" t="s">
        <v>272</v>
      </c>
      <c r="B29" s="11"/>
      <c r="C29" s="12"/>
      <c r="D29" s="13"/>
      <c r="E29" s="14">
        <f>I28*I29</f>
        <v>0</v>
      </c>
      <c r="F29" s="14"/>
      <c r="G29" s="14"/>
      <c r="H29" s="15">
        <v>0.0448</v>
      </c>
      <c r="I29" s="3">
        <v>0.0431</v>
      </c>
    </row>
    <row r="30" ht="24" customHeight="1" spans="1:9">
      <c r="A30" s="11" t="s">
        <v>273</v>
      </c>
      <c r="B30" s="11" t="s">
        <v>274</v>
      </c>
      <c r="C30" s="12"/>
      <c r="D30" s="13"/>
      <c r="E30" s="14">
        <f t="shared" ref="E30:E36" si="2">$I$28*I30</f>
        <v>0</v>
      </c>
      <c r="F30" s="14"/>
      <c r="G30" s="14"/>
      <c r="H30" s="15">
        <v>0.0404</v>
      </c>
      <c r="I30" s="3">
        <v>0.041</v>
      </c>
    </row>
    <row r="31" ht="24" customHeight="1" spans="1:9">
      <c r="A31" s="11"/>
      <c r="B31" s="11" t="s">
        <v>275</v>
      </c>
      <c r="C31" s="12"/>
      <c r="D31" s="13"/>
      <c r="E31" s="14">
        <f t="shared" si="2"/>
        <v>0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276</v>
      </c>
      <c r="B32" s="8"/>
      <c r="C32" s="16"/>
      <c r="D32" s="17"/>
      <c r="E32" s="14">
        <f t="shared" si="2"/>
        <v>0</v>
      </c>
      <c r="F32" s="14"/>
      <c r="G32" s="14"/>
      <c r="H32" s="18">
        <f>SUM(H29:H31)</f>
        <v>0.1018</v>
      </c>
      <c r="I32" s="3">
        <f>SUM(I29:I31)</f>
        <v>0.1058</v>
      </c>
    </row>
    <row r="33" ht="24" customHeight="1" spans="1:9">
      <c r="A33" s="11" t="s">
        <v>87</v>
      </c>
      <c r="B33" s="11"/>
      <c r="C33" s="12"/>
      <c r="D33" s="13"/>
      <c r="E33" s="14">
        <f t="shared" si="2"/>
        <v>0</v>
      </c>
      <c r="F33" s="14"/>
      <c r="G33" s="14"/>
      <c r="H33" s="15">
        <f>1.97%+0.75%</f>
        <v>0.0272</v>
      </c>
      <c r="I33" s="3">
        <v>0.034</v>
      </c>
    </row>
    <row r="34" ht="24" customHeight="1" spans="1:9">
      <c r="A34" s="19" t="s">
        <v>277</v>
      </c>
      <c r="B34" s="11" t="s">
        <v>274</v>
      </c>
      <c r="C34" s="12"/>
      <c r="D34" s="13"/>
      <c r="E34" s="14">
        <f t="shared" si="2"/>
        <v>0</v>
      </c>
      <c r="F34" s="14"/>
      <c r="G34" s="14"/>
      <c r="H34" s="15">
        <v>0.0053</v>
      </c>
      <c r="I34" s="3">
        <v>0.007</v>
      </c>
    </row>
    <row r="35" ht="24" customHeight="1" spans="1:9">
      <c r="A35" s="20"/>
      <c r="B35" s="11" t="s">
        <v>275</v>
      </c>
      <c r="C35" s="12"/>
      <c r="D35" s="13"/>
      <c r="E35" s="14">
        <f t="shared" si="2"/>
        <v>0</v>
      </c>
      <c r="F35" s="14"/>
      <c r="G35" s="14"/>
      <c r="H35" s="15">
        <v>0.0341</v>
      </c>
      <c r="I35" s="3">
        <f>2.8%+1.6%</f>
        <v>0.044</v>
      </c>
    </row>
    <row r="36" ht="24" customHeight="1" spans="1:9">
      <c r="A36" s="11" t="s">
        <v>90</v>
      </c>
      <c r="B36" s="11"/>
      <c r="C36" s="12"/>
      <c r="D36" s="13"/>
      <c r="E36" s="14">
        <f t="shared" si="2"/>
        <v>0</v>
      </c>
      <c r="F36" s="14"/>
      <c r="G36" s="14"/>
      <c r="H36" s="15">
        <v>0.011</v>
      </c>
      <c r="I36" s="3">
        <v>0.03</v>
      </c>
    </row>
    <row r="39" s="1" customFormat="1" ht="18.75" customHeight="1" spans="7:9">
      <c r="G39" s="4" t="s">
        <v>262</v>
      </c>
      <c r="H39" s="4"/>
      <c r="I39" s="23"/>
    </row>
    <row r="40" ht="39" customHeight="1" spans="1:9">
      <c r="A40" s="5" t="s">
        <v>263</v>
      </c>
      <c r="B40" s="5"/>
      <c r="C40" s="6" t="s">
        <v>264</v>
      </c>
      <c r="D40" s="7"/>
      <c r="E40" s="7"/>
      <c r="F40" s="7"/>
      <c r="G40" s="7"/>
      <c r="H40" s="8"/>
      <c r="I40" s="3" t="s">
        <v>265</v>
      </c>
    </row>
    <row r="41" ht="34.5" customHeight="1" spans="1:9">
      <c r="A41" s="5"/>
      <c r="B41" s="5"/>
      <c r="C41" s="9" t="s">
        <v>266</v>
      </c>
      <c r="D41" s="9" t="s">
        <v>267</v>
      </c>
      <c r="E41" s="9" t="s">
        <v>268</v>
      </c>
      <c r="F41" s="10" t="s">
        <v>269</v>
      </c>
      <c r="G41" s="10" t="s">
        <v>270</v>
      </c>
      <c r="H41" s="10" t="s">
        <v>271</v>
      </c>
      <c r="I41" s="22"/>
    </row>
    <row r="42" ht="24" customHeight="1" spans="1:9">
      <c r="A42" s="11" t="s">
        <v>272</v>
      </c>
      <c r="B42" s="11"/>
      <c r="C42" s="12"/>
      <c r="D42" s="13"/>
      <c r="E42" s="14">
        <f>I41*I42</f>
        <v>0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273</v>
      </c>
      <c r="B43" s="11" t="s">
        <v>274</v>
      </c>
      <c r="C43" s="12"/>
      <c r="D43" s="13"/>
      <c r="E43" s="14">
        <f>$I$28*I43</f>
        <v>0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275</v>
      </c>
      <c r="C44" s="12"/>
      <c r="D44" s="13"/>
      <c r="E44" s="14">
        <f t="shared" ref="E44:E49" si="3">$I$28*I44</f>
        <v>0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276</v>
      </c>
      <c r="B45" s="8"/>
      <c r="C45" s="16"/>
      <c r="D45" s="17"/>
      <c r="E45" s="14">
        <f t="shared" si="3"/>
        <v>0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87</v>
      </c>
      <c r="B46" s="11"/>
      <c r="C46" s="12"/>
      <c r="D46" s="13"/>
      <c r="E46" s="14">
        <f t="shared" si="3"/>
        <v>0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277</v>
      </c>
      <c r="B47" s="11" t="s">
        <v>274</v>
      </c>
      <c r="C47" s="12"/>
      <c r="D47" s="13"/>
      <c r="E47" s="14">
        <f t="shared" si="3"/>
        <v>0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275</v>
      </c>
      <c r="C48" s="12"/>
      <c r="D48" s="13"/>
      <c r="E48" s="14">
        <f t="shared" si="3"/>
        <v>0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90</v>
      </c>
      <c r="B49" s="11"/>
      <c r="C49" s="12"/>
      <c r="D49" s="13"/>
      <c r="E49" s="14">
        <f t="shared" si="3"/>
        <v>0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262</v>
      </c>
      <c r="H52" s="4"/>
      <c r="I52" s="23"/>
    </row>
    <row r="53" ht="39" customHeight="1" spans="1:9">
      <c r="A53" s="5" t="s">
        <v>263</v>
      </c>
      <c r="B53" s="5"/>
      <c r="C53" s="6" t="s">
        <v>264</v>
      </c>
      <c r="D53" s="7"/>
      <c r="E53" s="7"/>
      <c r="F53" s="7"/>
      <c r="G53" s="7"/>
      <c r="H53" s="8"/>
      <c r="I53" s="3" t="s">
        <v>265</v>
      </c>
    </row>
    <row r="54" ht="34.5" customHeight="1" spans="1:9">
      <c r="A54" s="5"/>
      <c r="B54" s="5"/>
      <c r="C54" s="9" t="s">
        <v>266</v>
      </c>
      <c r="D54" s="9" t="s">
        <v>267</v>
      </c>
      <c r="E54" s="9" t="s">
        <v>268</v>
      </c>
      <c r="F54" s="10" t="s">
        <v>269</v>
      </c>
      <c r="G54" s="10" t="s">
        <v>270</v>
      </c>
      <c r="H54" s="10" t="s">
        <v>271</v>
      </c>
      <c r="I54" s="22"/>
    </row>
    <row r="55" ht="24" customHeight="1" spans="1:9">
      <c r="A55" s="11" t="s">
        <v>272</v>
      </c>
      <c r="B55" s="11"/>
      <c r="C55" s="12"/>
      <c r="D55" s="13"/>
      <c r="E55" s="14">
        <f>I54*I55</f>
        <v>0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273</v>
      </c>
      <c r="B56" s="11" t="s">
        <v>274</v>
      </c>
      <c r="C56" s="12"/>
      <c r="D56" s="13"/>
      <c r="E56" s="14">
        <f>$I$54*I56</f>
        <v>0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275</v>
      </c>
      <c r="C57" s="12"/>
      <c r="D57" s="13"/>
      <c r="E57" s="14">
        <f t="shared" ref="E57:E62" si="4">$I$54*I57</f>
        <v>0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276</v>
      </c>
      <c r="B58" s="8"/>
      <c r="C58" s="16"/>
      <c r="D58" s="17"/>
      <c r="E58" s="14">
        <f t="shared" si="4"/>
        <v>0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87</v>
      </c>
      <c r="B59" s="11"/>
      <c r="C59" s="12"/>
      <c r="D59" s="13"/>
      <c r="E59" s="14">
        <f t="shared" si="4"/>
        <v>0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277</v>
      </c>
      <c r="B60" s="11" t="s">
        <v>274</v>
      </c>
      <c r="C60" s="12"/>
      <c r="D60" s="13"/>
      <c r="E60" s="14">
        <f t="shared" si="4"/>
        <v>0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275</v>
      </c>
      <c r="C61" s="12"/>
      <c r="D61" s="13"/>
      <c r="E61" s="14">
        <f t="shared" si="4"/>
        <v>0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90</v>
      </c>
      <c r="B62" s="11"/>
      <c r="C62" s="12"/>
      <c r="D62" s="13"/>
      <c r="E62" s="14">
        <f t="shared" si="4"/>
        <v>0</v>
      </c>
      <c r="F62" s="14"/>
      <c r="G62" s="14"/>
      <c r="H62" s="15">
        <v>0.011</v>
      </c>
      <c r="I62" s="3">
        <v>0.03</v>
      </c>
    </row>
    <row r="65" s="1" customFormat="1" ht="18.75" customHeight="1" spans="7:9">
      <c r="G65" s="4" t="s">
        <v>262</v>
      </c>
      <c r="H65" s="4"/>
      <c r="I65" s="23"/>
    </row>
    <row r="66" ht="39" customHeight="1" spans="1:9">
      <c r="A66" s="5" t="s">
        <v>263</v>
      </c>
      <c r="B66" s="5"/>
      <c r="C66" s="6" t="s">
        <v>264</v>
      </c>
      <c r="D66" s="7"/>
      <c r="E66" s="7"/>
      <c r="F66" s="7"/>
      <c r="G66" s="7"/>
      <c r="H66" s="8"/>
      <c r="I66" s="3" t="s">
        <v>265</v>
      </c>
    </row>
    <row r="67" ht="34.5" customHeight="1" spans="1:9">
      <c r="A67" s="5"/>
      <c r="B67" s="5"/>
      <c r="C67" s="9" t="s">
        <v>266</v>
      </c>
      <c r="D67" s="9" t="s">
        <v>267</v>
      </c>
      <c r="E67" s="9" t="s">
        <v>268</v>
      </c>
      <c r="F67" s="10" t="s">
        <v>269</v>
      </c>
      <c r="G67" s="10" t="s">
        <v>270</v>
      </c>
      <c r="H67" s="10" t="s">
        <v>271</v>
      </c>
      <c r="I67" s="22"/>
    </row>
    <row r="68" ht="24" customHeight="1" spans="1:9">
      <c r="A68" s="11" t="s">
        <v>272</v>
      </c>
      <c r="B68" s="11"/>
      <c r="C68" s="12"/>
      <c r="D68" s="13"/>
      <c r="E68" s="14">
        <f>I67*I68</f>
        <v>0</v>
      </c>
      <c r="F68" s="14"/>
      <c r="G68" s="14"/>
      <c r="H68" s="15">
        <v>0.0448</v>
      </c>
      <c r="I68" s="3">
        <v>0.0431</v>
      </c>
    </row>
    <row r="69" ht="24" customHeight="1" spans="1:9">
      <c r="A69" s="11" t="s">
        <v>273</v>
      </c>
      <c r="B69" s="11" t="s">
        <v>274</v>
      </c>
      <c r="C69" s="12"/>
      <c r="D69" s="13"/>
      <c r="E69" s="14">
        <f t="shared" ref="E69:E75" si="5">$I$67*I69</f>
        <v>0</v>
      </c>
      <c r="F69" s="14"/>
      <c r="G69" s="14"/>
      <c r="H69" s="15">
        <v>0.0404</v>
      </c>
      <c r="I69" s="3">
        <v>0.041</v>
      </c>
    </row>
    <row r="70" ht="24" customHeight="1" spans="1:9">
      <c r="A70" s="11"/>
      <c r="B70" s="11" t="s">
        <v>275</v>
      </c>
      <c r="C70" s="12"/>
      <c r="D70" s="13"/>
      <c r="E70" s="14">
        <f t="shared" si="5"/>
        <v>0</v>
      </c>
      <c r="F70" s="14"/>
      <c r="G70" s="14"/>
      <c r="H70" s="15">
        <v>0.0166</v>
      </c>
      <c r="I70" s="3">
        <v>0.0217</v>
      </c>
    </row>
    <row r="71" ht="24" customHeight="1" spans="1:9">
      <c r="A71" s="6" t="s">
        <v>276</v>
      </c>
      <c r="B71" s="8"/>
      <c r="C71" s="16"/>
      <c r="D71" s="17"/>
      <c r="E71" s="14">
        <f t="shared" si="5"/>
        <v>0</v>
      </c>
      <c r="F71" s="14"/>
      <c r="G71" s="14"/>
      <c r="H71" s="18">
        <f>SUM(H68:H70)</f>
        <v>0.1018</v>
      </c>
      <c r="I71" s="3">
        <f>SUM(I68:I70)</f>
        <v>0.1058</v>
      </c>
    </row>
    <row r="72" ht="24" customHeight="1" spans="1:9">
      <c r="A72" s="11" t="s">
        <v>87</v>
      </c>
      <c r="B72" s="11"/>
      <c r="C72" s="12"/>
      <c r="D72" s="13"/>
      <c r="E72" s="14">
        <f t="shared" si="5"/>
        <v>0</v>
      </c>
      <c r="F72" s="14"/>
      <c r="G72" s="14"/>
      <c r="H72" s="15">
        <f>1.97%+0.75%</f>
        <v>0.0272</v>
      </c>
      <c r="I72" s="3">
        <v>0.034</v>
      </c>
    </row>
    <row r="73" ht="24" customHeight="1" spans="1:9">
      <c r="A73" s="19" t="s">
        <v>277</v>
      </c>
      <c r="B73" s="11" t="s">
        <v>274</v>
      </c>
      <c r="C73" s="12"/>
      <c r="D73" s="13"/>
      <c r="E73" s="14">
        <f t="shared" si="5"/>
        <v>0</v>
      </c>
      <c r="F73" s="14"/>
      <c r="G73" s="14"/>
      <c r="H73" s="15">
        <v>0.0053</v>
      </c>
      <c r="I73" s="3">
        <v>0.007</v>
      </c>
    </row>
    <row r="74" ht="24" customHeight="1" spans="1:9">
      <c r="A74" s="20"/>
      <c r="B74" s="11" t="s">
        <v>275</v>
      </c>
      <c r="C74" s="12"/>
      <c r="D74" s="13"/>
      <c r="E74" s="14">
        <f t="shared" si="5"/>
        <v>0</v>
      </c>
      <c r="F74" s="14"/>
      <c r="G74" s="14"/>
      <c r="H74" s="15">
        <v>0.0341</v>
      </c>
      <c r="I74" s="3">
        <f>2.8%+1.6%</f>
        <v>0.044</v>
      </c>
    </row>
    <row r="75" ht="24" customHeight="1" spans="1:9">
      <c r="A75" s="11" t="s">
        <v>90</v>
      </c>
      <c r="B75" s="11"/>
      <c r="C75" s="12"/>
      <c r="D75" s="13"/>
      <c r="E75" s="14">
        <f t="shared" si="5"/>
        <v>0</v>
      </c>
      <c r="F75" s="14"/>
      <c r="G75" s="14"/>
      <c r="H75" s="15">
        <v>0.011</v>
      </c>
      <c r="I75" s="3">
        <v>0.03</v>
      </c>
    </row>
    <row r="78" s="1" customFormat="1" ht="18.75" customHeight="1" spans="7:9">
      <c r="G78" s="4" t="s">
        <v>262</v>
      </c>
      <c r="H78" s="4"/>
      <c r="I78" s="23"/>
    </row>
    <row r="79" ht="39" customHeight="1" spans="1:9">
      <c r="A79" s="5" t="s">
        <v>263</v>
      </c>
      <c r="B79" s="5"/>
      <c r="C79" s="6" t="s">
        <v>264</v>
      </c>
      <c r="D79" s="7"/>
      <c r="E79" s="7"/>
      <c r="F79" s="7"/>
      <c r="G79" s="7"/>
      <c r="H79" s="8"/>
      <c r="I79" s="3" t="s">
        <v>265</v>
      </c>
    </row>
    <row r="80" ht="34.5" customHeight="1" spans="1:9">
      <c r="A80" s="5"/>
      <c r="B80" s="5"/>
      <c r="C80" s="9" t="s">
        <v>266</v>
      </c>
      <c r="D80" s="9" t="s">
        <v>267</v>
      </c>
      <c r="E80" s="9" t="s">
        <v>268</v>
      </c>
      <c r="F80" s="10" t="s">
        <v>269</v>
      </c>
      <c r="G80" s="10" t="s">
        <v>270</v>
      </c>
      <c r="H80" s="10" t="s">
        <v>271</v>
      </c>
      <c r="I80" s="22"/>
    </row>
    <row r="81" ht="24" customHeight="1" spans="1:9">
      <c r="A81" s="11" t="s">
        <v>272</v>
      </c>
      <c r="B81" s="11"/>
      <c r="C81" s="12"/>
      <c r="D81" s="13"/>
      <c r="E81" s="14">
        <f>I80*I81</f>
        <v>0</v>
      </c>
      <c r="F81" s="14"/>
      <c r="G81" s="14"/>
      <c r="H81" s="15">
        <v>0.0448</v>
      </c>
      <c r="I81" s="3">
        <v>0.0431</v>
      </c>
    </row>
    <row r="82" ht="24" customHeight="1" spans="1:9">
      <c r="A82" s="11" t="s">
        <v>273</v>
      </c>
      <c r="B82" s="11" t="s">
        <v>274</v>
      </c>
      <c r="C82" s="12"/>
      <c r="D82" s="13"/>
      <c r="E82" s="14">
        <f t="shared" ref="E82:E88" si="6">$I$80*I82</f>
        <v>0</v>
      </c>
      <c r="F82" s="14"/>
      <c r="G82" s="14"/>
      <c r="H82" s="15">
        <v>0.0404</v>
      </c>
      <c r="I82" s="3">
        <v>0.041</v>
      </c>
    </row>
    <row r="83" ht="24" customHeight="1" spans="1:9">
      <c r="A83" s="11"/>
      <c r="B83" s="11" t="s">
        <v>275</v>
      </c>
      <c r="C83" s="12"/>
      <c r="D83" s="13"/>
      <c r="E83" s="14">
        <f t="shared" si="6"/>
        <v>0</v>
      </c>
      <c r="F83" s="14"/>
      <c r="G83" s="14"/>
      <c r="H83" s="15">
        <v>0.0166</v>
      </c>
      <c r="I83" s="3">
        <v>0.0217</v>
      </c>
    </row>
    <row r="84" ht="24" customHeight="1" spans="1:9">
      <c r="A84" s="6" t="s">
        <v>276</v>
      </c>
      <c r="B84" s="8"/>
      <c r="C84" s="16"/>
      <c r="D84" s="17"/>
      <c r="E84" s="14">
        <f t="shared" si="6"/>
        <v>0</v>
      </c>
      <c r="F84" s="14"/>
      <c r="G84" s="14"/>
      <c r="H84" s="18">
        <f>SUM(H81:H83)</f>
        <v>0.1018</v>
      </c>
      <c r="I84" s="3">
        <f>SUM(I81:I83)</f>
        <v>0.1058</v>
      </c>
    </row>
    <row r="85" ht="24" customHeight="1" spans="1:9">
      <c r="A85" s="11" t="s">
        <v>87</v>
      </c>
      <c r="B85" s="11"/>
      <c r="C85" s="12"/>
      <c r="D85" s="13"/>
      <c r="E85" s="14">
        <f t="shared" si="6"/>
        <v>0</v>
      </c>
      <c r="F85" s="14"/>
      <c r="G85" s="14"/>
      <c r="H85" s="15">
        <f>1.97%+0.75%</f>
        <v>0.0272</v>
      </c>
      <c r="I85" s="3">
        <v>0.034</v>
      </c>
    </row>
    <row r="86" ht="24" customHeight="1" spans="1:9">
      <c r="A86" s="19" t="s">
        <v>277</v>
      </c>
      <c r="B86" s="11" t="s">
        <v>274</v>
      </c>
      <c r="C86" s="12"/>
      <c r="D86" s="13"/>
      <c r="E86" s="14">
        <f t="shared" si="6"/>
        <v>0</v>
      </c>
      <c r="F86" s="14"/>
      <c r="G86" s="14"/>
      <c r="H86" s="15">
        <v>0.0053</v>
      </c>
      <c r="I86" s="3">
        <v>0.007</v>
      </c>
    </row>
    <row r="87" ht="24" customHeight="1" spans="1:9">
      <c r="A87" s="20"/>
      <c r="B87" s="11" t="s">
        <v>275</v>
      </c>
      <c r="C87" s="12"/>
      <c r="D87" s="13"/>
      <c r="E87" s="14">
        <f t="shared" si="6"/>
        <v>0</v>
      </c>
      <c r="F87" s="14"/>
      <c r="G87" s="14"/>
      <c r="H87" s="15">
        <v>0.0341</v>
      </c>
      <c r="I87" s="3">
        <f>2.8%+1.6%</f>
        <v>0.044</v>
      </c>
    </row>
    <row r="88" ht="24" customHeight="1" spans="1:9">
      <c r="A88" s="11" t="s">
        <v>90</v>
      </c>
      <c r="B88" s="11"/>
      <c r="C88" s="12"/>
      <c r="D88" s="13"/>
      <c r="E88" s="14">
        <f t="shared" si="6"/>
        <v>0</v>
      </c>
      <c r="F88" s="14"/>
      <c r="G88" s="14"/>
      <c r="H88" s="15">
        <v>0.011</v>
      </c>
      <c r="I88" s="3">
        <v>0.03</v>
      </c>
    </row>
    <row r="91" s="1" customFormat="1" ht="18.75" customHeight="1" spans="7:9">
      <c r="G91" s="4" t="s">
        <v>262</v>
      </c>
      <c r="H91" s="4"/>
      <c r="I91" s="23"/>
    </row>
    <row r="92" ht="39" customHeight="1" spans="1:9">
      <c r="A92" s="5" t="s">
        <v>263</v>
      </c>
      <c r="B92" s="5"/>
      <c r="C92" s="6" t="s">
        <v>264</v>
      </c>
      <c r="D92" s="7"/>
      <c r="E92" s="7"/>
      <c r="F92" s="7"/>
      <c r="G92" s="7"/>
      <c r="H92" s="8"/>
      <c r="I92" s="3" t="s">
        <v>265</v>
      </c>
    </row>
    <row r="93" ht="34.5" customHeight="1" spans="1:9">
      <c r="A93" s="5"/>
      <c r="B93" s="5"/>
      <c r="C93" s="9" t="s">
        <v>266</v>
      </c>
      <c r="D93" s="9" t="s">
        <v>267</v>
      </c>
      <c r="E93" s="9" t="s">
        <v>268</v>
      </c>
      <c r="F93" s="10" t="s">
        <v>269</v>
      </c>
      <c r="G93" s="10" t="s">
        <v>270</v>
      </c>
      <c r="H93" s="10" t="s">
        <v>271</v>
      </c>
      <c r="I93" s="22"/>
    </row>
    <row r="94" ht="24" customHeight="1" spans="1:9">
      <c r="A94" s="11" t="s">
        <v>272</v>
      </c>
      <c r="B94" s="11"/>
      <c r="C94" s="12"/>
      <c r="D94" s="13"/>
      <c r="E94" s="14">
        <f>I93*I94</f>
        <v>0</v>
      </c>
      <c r="F94" s="14"/>
      <c r="G94" s="14"/>
      <c r="H94" s="15">
        <v>0.0448</v>
      </c>
      <c r="I94" s="3">
        <v>0.0431</v>
      </c>
    </row>
    <row r="95" ht="24" customHeight="1" spans="1:9">
      <c r="A95" s="11" t="s">
        <v>273</v>
      </c>
      <c r="B95" s="11" t="s">
        <v>274</v>
      </c>
      <c r="C95" s="12"/>
      <c r="D95" s="13"/>
      <c r="E95" s="14">
        <f>$I$93*I95</f>
        <v>0</v>
      </c>
      <c r="F95" s="14"/>
      <c r="G95" s="14"/>
      <c r="H95" s="15">
        <v>0.0404</v>
      </c>
      <c r="I95" s="3">
        <v>0.041</v>
      </c>
    </row>
    <row r="96" ht="24" customHeight="1" spans="1:9">
      <c r="A96" s="11"/>
      <c r="B96" s="11" t="s">
        <v>275</v>
      </c>
      <c r="C96" s="12"/>
      <c r="D96" s="13"/>
      <c r="E96" s="14">
        <f t="shared" ref="E96:E101" si="7">$I$93*I96</f>
        <v>0</v>
      </c>
      <c r="F96" s="14"/>
      <c r="G96" s="14"/>
      <c r="H96" s="15">
        <v>0.0166</v>
      </c>
      <c r="I96" s="3">
        <v>0.0217</v>
      </c>
    </row>
    <row r="97" ht="24" customHeight="1" spans="1:9">
      <c r="A97" s="6" t="s">
        <v>276</v>
      </c>
      <c r="B97" s="8"/>
      <c r="C97" s="16"/>
      <c r="D97" s="17"/>
      <c r="E97" s="14">
        <f t="shared" si="7"/>
        <v>0</v>
      </c>
      <c r="F97" s="14"/>
      <c r="G97" s="14"/>
      <c r="H97" s="18">
        <f>SUM(H94:H96)</f>
        <v>0.1018</v>
      </c>
      <c r="I97" s="3">
        <f>SUM(I94:I96)</f>
        <v>0.1058</v>
      </c>
    </row>
    <row r="98" ht="24" customHeight="1" spans="1:9">
      <c r="A98" s="11" t="s">
        <v>87</v>
      </c>
      <c r="B98" s="11"/>
      <c r="C98" s="12"/>
      <c r="D98" s="13"/>
      <c r="E98" s="14">
        <f t="shared" si="7"/>
        <v>0</v>
      </c>
      <c r="F98" s="14"/>
      <c r="G98" s="14"/>
      <c r="H98" s="15">
        <f>1.97%+0.75%</f>
        <v>0.0272</v>
      </c>
      <c r="I98" s="3">
        <v>0.034</v>
      </c>
    </row>
    <row r="99" ht="24" customHeight="1" spans="1:9">
      <c r="A99" s="19" t="s">
        <v>277</v>
      </c>
      <c r="B99" s="11" t="s">
        <v>274</v>
      </c>
      <c r="C99" s="12"/>
      <c r="D99" s="13"/>
      <c r="E99" s="14">
        <f t="shared" si="7"/>
        <v>0</v>
      </c>
      <c r="F99" s="14"/>
      <c r="G99" s="14"/>
      <c r="H99" s="15">
        <v>0.0053</v>
      </c>
      <c r="I99" s="3">
        <v>0.007</v>
      </c>
    </row>
    <row r="100" ht="24" customHeight="1" spans="1:9">
      <c r="A100" s="20"/>
      <c r="B100" s="11" t="s">
        <v>275</v>
      </c>
      <c r="C100" s="12"/>
      <c r="D100" s="13"/>
      <c r="E100" s="14">
        <f t="shared" si="7"/>
        <v>0</v>
      </c>
      <c r="F100" s="14"/>
      <c r="G100" s="14"/>
      <c r="H100" s="15">
        <v>0.0341</v>
      </c>
      <c r="I100" s="3">
        <f>2.8%+1.6%</f>
        <v>0.044</v>
      </c>
    </row>
    <row r="101" ht="24" customHeight="1" spans="1:9">
      <c r="A101" s="11" t="s">
        <v>90</v>
      </c>
      <c r="B101" s="11"/>
      <c r="C101" s="12"/>
      <c r="D101" s="13"/>
      <c r="E101" s="14">
        <f t="shared" si="7"/>
        <v>0</v>
      </c>
      <c r="F101" s="14"/>
      <c r="G101" s="14"/>
      <c r="H101" s="15">
        <v>0.011</v>
      </c>
      <c r="I101" s="3">
        <v>0.03</v>
      </c>
    </row>
    <row r="104" s="1" customFormat="1" ht="18.75" customHeight="1" spans="7:9">
      <c r="G104" s="4" t="s">
        <v>262</v>
      </c>
      <c r="H104" s="4"/>
      <c r="I104" s="23"/>
    </row>
    <row r="105" ht="39" customHeight="1" spans="1:9">
      <c r="A105" s="5" t="s">
        <v>263</v>
      </c>
      <c r="B105" s="5"/>
      <c r="C105" s="6" t="s">
        <v>264</v>
      </c>
      <c r="D105" s="7"/>
      <c r="E105" s="7"/>
      <c r="F105" s="7"/>
      <c r="G105" s="7"/>
      <c r="H105" s="8"/>
      <c r="I105" s="3" t="s">
        <v>265</v>
      </c>
    </row>
    <row r="106" ht="34.5" customHeight="1" spans="1:9">
      <c r="A106" s="5"/>
      <c r="B106" s="5"/>
      <c r="C106" s="9" t="s">
        <v>266</v>
      </c>
      <c r="D106" s="9" t="s">
        <v>267</v>
      </c>
      <c r="E106" s="9" t="s">
        <v>268</v>
      </c>
      <c r="F106" s="10" t="s">
        <v>269</v>
      </c>
      <c r="G106" s="10" t="s">
        <v>270</v>
      </c>
      <c r="H106" s="10" t="s">
        <v>271</v>
      </c>
      <c r="I106" s="22"/>
    </row>
    <row r="107" ht="24" customHeight="1" spans="1:9">
      <c r="A107" s="11" t="s">
        <v>272</v>
      </c>
      <c r="B107" s="11"/>
      <c r="C107" s="12"/>
      <c r="D107" s="13"/>
      <c r="E107" s="14">
        <f>I106*I107</f>
        <v>0</v>
      </c>
      <c r="F107" s="14"/>
      <c r="G107" s="14"/>
      <c r="H107" s="15">
        <v>0.0448</v>
      </c>
      <c r="I107" s="3">
        <v>0.0431</v>
      </c>
    </row>
    <row r="108" ht="24" customHeight="1" spans="1:9">
      <c r="A108" s="11" t="s">
        <v>273</v>
      </c>
      <c r="B108" s="11" t="s">
        <v>274</v>
      </c>
      <c r="C108" s="12"/>
      <c r="D108" s="13"/>
      <c r="E108" s="14">
        <f>$I$106*I108</f>
        <v>0</v>
      </c>
      <c r="F108" s="14"/>
      <c r="G108" s="14"/>
      <c r="H108" s="15">
        <v>0.0404</v>
      </c>
      <c r="I108" s="3">
        <v>0.041</v>
      </c>
    </row>
    <row r="109" ht="24" customHeight="1" spans="1:9">
      <c r="A109" s="11"/>
      <c r="B109" s="11" t="s">
        <v>275</v>
      </c>
      <c r="C109" s="12"/>
      <c r="D109" s="13"/>
      <c r="E109" s="14">
        <f t="shared" ref="E109:E114" si="8">$I$106*I109</f>
        <v>0</v>
      </c>
      <c r="F109" s="14"/>
      <c r="G109" s="14"/>
      <c r="H109" s="15">
        <v>0.0166</v>
      </c>
      <c r="I109" s="3">
        <v>0.0217</v>
      </c>
    </row>
    <row r="110" ht="24" customHeight="1" spans="1:9">
      <c r="A110" s="6" t="s">
        <v>276</v>
      </c>
      <c r="B110" s="8"/>
      <c r="C110" s="16"/>
      <c r="D110" s="17"/>
      <c r="E110" s="14">
        <f t="shared" si="8"/>
        <v>0</v>
      </c>
      <c r="F110" s="14"/>
      <c r="G110" s="14"/>
      <c r="H110" s="18">
        <f>SUM(H107:H109)</f>
        <v>0.1018</v>
      </c>
      <c r="I110" s="3">
        <f>SUM(I107:I109)</f>
        <v>0.1058</v>
      </c>
    </row>
    <row r="111" ht="24" customHeight="1" spans="1:9">
      <c r="A111" s="11" t="s">
        <v>87</v>
      </c>
      <c r="B111" s="11"/>
      <c r="C111" s="12"/>
      <c r="D111" s="13"/>
      <c r="E111" s="14">
        <f t="shared" si="8"/>
        <v>0</v>
      </c>
      <c r="F111" s="14"/>
      <c r="G111" s="14"/>
      <c r="H111" s="15">
        <f>1.97%+0.75%</f>
        <v>0.0272</v>
      </c>
      <c r="I111" s="3">
        <v>0.034</v>
      </c>
    </row>
    <row r="112" ht="24" customHeight="1" spans="1:9">
      <c r="A112" s="19" t="s">
        <v>277</v>
      </c>
      <c r="B112" s="11" t="s">
        <v>274</v>
      </c>
      <c r="C112" s="12"/>
      <c r="D112" s="13"/>
      <c r="E112" s="14">
        <f t="shared" si="8"/>
        <v>0</v>
      </c>
      <c r="F112" s="14"/>
      <c r="G112" s="14"/>
      <c r="H112" s="15">
        <v>0.0053</v>
      </c>
      <c r="I112" s="3">
        <v>0.007</v>
      </c>
    </row>
    <row r="113" ht="24" customHeight="1" spans="1:9">
      <c r="A113" s="20"/>
      <c r="B113" s="11" t="s">
        <v>275</v>
      </c>
      <c r="C113" s="12"/>
      <c r="D113" s="13"/>
      <c r="E113" s="14">
        <f t="shared" si="8"/>
        <v>0</v>
      </c>
      <c r="F113" s="14"/>
      <c r="G113" s="14"/>
      <c r="H113" s="15">
        <v>0.0341</v>
      </c>
      <c r="I113" s="3">
        <f>2.8%+1.6%</f>
        <v>0.044</v>
      </c>
    </row>
    <row r="114" ht="24" customHeight="1" spans="1:9">
      <c r="A114" s="11" t="s">
        <v>90</v>
      </c>
      <c r="B114" s="11"/>
      <c r="C114" s="12"/>
      <c r="D114" s="13"/>
      <c r="E114" s="14">
        <f t="shared" si="8"/>
        <v>0</v>
      </c>
      <c r="F114" s="14"/>
      <c r="G114" s="14"/>
      <c r="H114" s="15">
        <v>0.011</v>
      </c>
      <c r="I114" s="3">
        <v>0.03</v>
      </c>
    </row>
    <row r="117" s="1" customFormat="1" ht="18.75" customHeight="1" spans="7:9">
      <c r="G117" s="4" t="s">
        <v>262</v>
      </c>
      <c r="H117" s="4"/>
      <c r="I117" s="23"/>
    </row>
    <row r="118" ht="39" customHeight="1" spans="1:9">
      <c r="A118" s="5" t="s">
        <v>263</v>
      </c>
      <c r="B118" s="5"/>
      <c r="C118" s="6" t="s">
        <v>264</v>
      </c>
      <c r="D118" s="7"/>
      <c r="E118" s="7"/>
      <c r="F118" s="7"/>
      <c r="G118" s="7"/>
      <c r="H118" s="8"/>
      <c r="I118" s="3" t="s">
        <v>265</v>
      </c>
    </row>
    <row r="119" ht="34.5" customHeight="1" spans="1:9">
      <c r="A119" s="5"/>
      <c r="B119" s="5"/>
      <c r="C119" s="9" t="s">
        <v>266</v>
      </c>
      <c r="D119" s="9" t="s">
        <v>267</v>
      </c>
      <c r="E119" s="9" t="s">
        <v>268</v>
      </c>
      <c r="F119" s="10" t="s">
        <v>269</v>
      </c>
      <c r="G119" s="10" t="s">
        <v>270</v>
      </c>
      <c r="H119" s="10" t="s">
        <v>271</v>
      </c>
      <c r="I119" s="22"/>
    </row>
    <row r="120" ht="24" customHeight="1" spans="1:9">
      <c r="A120" s="11" t="s">
        <v>272</v>
      </c>
      <c r="B120" s="11"/>
      <c r="C120" s="12"/>
      <c r="D120" s="13"/>
      <c r="E120" s="14">
        <f>I119*I120</f>
        <v>0</v>
      </c>
      <c r="F120" s="14"/>
      <c r="G120" s="14"/>
      <c r="H120" s="15">
        <v>0.0448</v>
      </c>
      <c r="I120" s="3">
        <v>0.0431</v>
      </c>
    </row>
    <row r="121" ht="24" customHeight="1" spans="1:9">
      <c r="A121" s="11" t="s">
        <v>273</v>
      </c>
      <c r="B121" s="11" t="s">
        <v>274</v>
      </c>
      <c r="C121" s="12"/>
      <c r="D121" s="13"/>
      <c r="E121" s="14">
        <f>$I$119*I121</f>
        <v>0</v>
      </c>
      <c r="F121" s="14"/>
      <c r="G121" s="14"/>
      <c r="H121" s="15">
        <v>0.0404</v>
      </c>
      <c r="I121" s="3">
        <v>0.041</v>
      </c>
    </row>
    <row r="122" ht="24" customHeight="1" spans="1:9">
      <c r="A122" s="11"/>
      <c r="B122" s="11" t="s">
        <v>275</v>
      </c>
      <c r="C122" s="12"/>
      <c r="D122" s="13"/>
      <c r="E122" s="14">
        <f t="shared" ref="E122:E127" si="9">$I$119*I122</f>
        <v>0</v>
      </c>
      <c r="F122" s="14"/>
      <c r="G122" s="14"/>
      <c r="H122" s="15">
        <v>0.0166</v>
      </c>
      <c r="I122" s="3">
        <v>0.0217</v>
      </c>
    </row>
    <row r="123" ht="24" customHeight="1" spans="1:9">
      <c r="A123" s="6" t="s">
        <v>276</v>
      </c>
      <c r="B123" s="8"/>
      <c r="C123" s="16"/>
      <c r="D123" s="17"/>
      <c r="E123" s="14">
        <f t="shared" si="9"/>
        <v>0</v>
      </c>
      <c r="F123" s="14"/>
      <c r="G123" s="14"/>
      <c r="H123" s="18">
        <f>SUM(H120:H122)</f>
        <v>0.1018</v>
      </c>
      <c r="I123" s="3">
        <f>SUM(I120:I122)</f>
        <v>0.1058</v>
      </c>
    </row>
    <row r="124" ht="24" customHeight="1" spans="1:9">
      <c r="A124" s="11" t="s">
        <v>87</v>
      </c>
      <c r="B124" s="11"/>
      <c r="C124" s="12"/>
      <c r="D124" s="13"/>
      <c r="E124" s="14">
        <f t="shared" si="9"/>
        <v>0</v>
      </c>
      <c r="F124" s="14"/>
      <c r="G124" s="14"/>
      <c r="H124" s="15">
        <f>1.97%+0.75%</f>
        <v>0.0272</v>
      </c>
      <c r="I124" s="3">
        <v>0.034</v>
      </c>
    </row>
    <row r="125" ht="24" customHeight="1" spans="1:9">
      <c r="A125" s="19" t="s">
        <v>277</v>
      </c>
      <c r="B125" s="11" t="s">
        <v>274</v>
      </c>
      <c r="C125" s="12"/>
      <c r="D125" s="13"/>
      <c r="E125" s="14">
        <f t="shared" si="9"/>
        <v>0</v>
      </c>
      <c r="F125" s="14"/>
      <c r="G125" s="14"/>
      <c r="H125" s="15">
        <v>0.0053</v>
      </c>
      <c r="I125" s="3">
        <v>0.007</v>
      </c>
    </row>
    <row r="126" ht="24" customHeight="1" spans="1:9">
      <c r="A126" s="20"/>
      <c r="B126" s="11" t="s">
        <v>275</v>
      </c>
      <c r="C126" s="12"/>
      <c r="D126" s="13"/>
      <c r="E126" s="14">
        <f t="shared" si="9"/>
        <v>0</v>
      </c>
      <c r="F126" s="14"/>
      <c r="G126" s="14"/>
      <c r="H126" s="15">
        <v>0.0341</v>
      </c>
      <c r="I126" s="3">
        <f>2.8%+1.6%</f>
        <v>0.044</v>
      </c>
    </row>
    <row r="127" ht="24" customHeight="1" spans="1:9">
      <c r="A127" s="11" t="s">
        <v>90</v>
      </c>
      <c r="B127" s="11"/>
      <c r="C127" s="12"/>
      <c r="D127" s="13"/>
      <c r="E127" s="14">
        <f t="shared" si="9"/>
        <v>0</v>
      </c>
      <c r="F127" s="14"/>
      <c r="G127" s="14"/>
      <c r="H127" s="15">
        <v>0.011</v>
      </c>
      <c r="I127" s="3">
        <v>0.03</v>
      </c>
    </row>
  </sheetData>
  <mergeCells count="90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G65:H65"/>
    <mergeCell ref="C66:H66"/>
    <mergeCell ref="A68:B68"/>
    <mergeCell ref="A71:B71"/>
    <mergeCell ref="A72:B72"/>
    <mergeCell ref="A75:B75"/>
    <mergeCell ref="G78:H78"/>
    <mergeCell ref="C79:H79"/>
    <mergeCell ref="A81:B81"/>
    <mergeCell ref="A84:B84"/>
    <mergeCell ref="A85:B85"/>
    <mergeCell ref="A88:B88"/>
    <mergeCell ref="G91:H91"/>
    <mergeCell ref="C92:H92"/>
    <mergeCell ref="A94:B94"/>
    <mergeCell ref="A97:B97"/>
    <mergeCell ref="A98:B98"/>
    <mergeCell ref="A101:B101"/>
    <mergeCell ref="G104:H104"/>
    <mergeCell ref="C105:H105"/>
    <mergeCell ref="A107:B107"/>
    <mergeCell ref="A110:B110"/>
    <mergeCell ref="A111:B111"/>
    <mergeCell ref="A114:B114"/>
    <mergeCell ref="G117:H117"/>
    <mergeCell ref="C118:H118"/>
    <mergeCell ref="A120:B120"/>
    <mergeCell ref="A123:B123"/>
    <mergeCell ref="A124:B124"/>
    <mergeCell ref="A127:B127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99:A100"/>
    <mergeCell ref="A108:A109"/>
    <mergeCell ref="A112:A113"/>
    <mergeCell ref="A121:A122"/>
    <mergeCell ref="A125:A126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05" customWidth="1"/>
    <col min="2" max="2" width="28.5" style="205" customWidth="1"/>
    <col min="3" max="4" width="9.12727272727273" style="205"/>
    <col min="5" max="5" width="13.8727272727273" style="205" customWidth="1"/>
    <col min="6" max="12" width="16.1272727272727" style="205" customWidth="1"/>
    <col min="13" max="13" width="10.6272727272727" style="205" customWidth="1"/>
    <col min="14" max="254" width="9.12727272727273" style="205"/>
    <col min="255" max="255" width="8" style="205" customWidth="1"/>
    <col min="256" max="256" width="28.5" style="205" customWidth="1"/>
    <col min="257" max="268" width="9.12727272727273" style="205"/>
    <col min="269" max="269" width="10.6272727272727" style="205" customWidth="1"/>
    <col min="270" max="510" width="9.12727272727273" style="205"/>
    <col min="511" max="511" width="8" style="205" customWidth="1"/>
    <col min="512" max="512" width="28.5" style="205" customWidth="1"/>
    <col min="513" max="524" width="9.12727272727273" style="205"/>
    <col min="525" max="525" width="10.6272727272727" style="205" customWidth="1"/>
    <col min="526" max="766" width="9.12727272727273" style="205"/>
    <col min="767" max="767" width="8" style="205" customWidth="1"/>
    <col min="768" max="768" width="28.5" style="205" customWidth="1"/>
    <col min="769" max="780" width="9.12727272727273" style="205"/>
    <col min="781" max="781" width="10.6272727272727" style="205" customWidth="1"/>
    <col min="782" max="1022" width="9.12727272727273" style="205"/>
    <col min="1023" max="1023" width="8" style="205" customWidth="1"/>
    <col min="1024" max="1024" width="28.5" style="205" customWidth="1"/>
    <col min="1025" max="1036" width="9.12727272727273" style="205"/>
    <col min="1037" max="1037" width="10.6272727272727" style="205" customWidth="1"/>
    <col min="1038" max="1278" width="9.12727272727273" style="205"/>
    <col min="1279" max="1279" width="8" style="205" customWidth="1"/>
    <col min="1280" max="1280" width="28.5" style="205" customWidth="1"/>
    <col min="1281" max="1292" width="9.12727272727273" style="205"/>
    <col min="1293" max="1293" width="10.6272727272727" style="205" customWidth="1"/>
    <col min="1294" max="1534" width="9.12727272727273" style="205"/>
    <col min="1535" max="1535" width="8" style="205" customWidth="1"/>
    <col min="1536" max="1536" width="28.5" style="205" customWidth="1"/>
    <col min="1537" max="1548" width="9.12727272727273" style="205"/>
    <col min="1549" max="1549" width="10.6272727272727" style="205" customWidth="1"/>
    <col min="1550" max="1790" width="9.12727272727273" style="205"/>
    <col min="1791" max="1791" width="8" style="205" customWidth="1"/>
    <col min="1792" max="1792" width="28.5" style="205" customWidth="1"/>
    <col min="1793" max="1804" width="9.12727272727273" style="205"/>
    <col min="1805" max="1805" width="10.6272727272727" style="205" customWidth="1"/>
    <col min="1806" max="2046" width="9.12727272727273" style="205"/>
    <col min="2047" max="2047" width="8" style="205" customWidth="1"/>
    <col min="2048" max="2048" width="28.5" style="205" customWidth="1"/>
    <col min="2049" max="2060" width="9.12727272727273" style="205"/>
    <col min="2061" max="2061" width="10.6272727272727" style="205" customWidth="1"/>
    <col min="2062" max="2302" width="9.12727272727273" style="205"/>
    <col min="2303" max="2303" width="8" style="205" customWidth="1"/>
    <col min="2304" max="2304" width="28.5" style="205" customWidth="1"/>
    <col min="2305" max="2316" width="9.12727272727273" style="205"/>
    <col min="2317" max="2317" width="10.6272727272727" style="205" customWidth="1"/>
    <col min="2318" max="2558" width="9.12727272727273" style="205"/>
    <col min="2559" max="2559" width="8" style="205" customWidth="1"/>
    <col min="2560" max="2560" width="28.5" style="205" customWidth="1"/>
    <col min="2561" max="2572" width="9.12727272727273" style="205"/>
    <col min="2573" max="2573" width="10.6272727272727" style="205" customWidth="1"/>
    <col min="2574" max="2814" width="9.12727272727273" style="205"/>
    <col min="2815" max="2815" width="8" style="205" customWidth="1"/>
    <col min="2816" max="2816" width="28.5" style="205" customWidth="1"/>
    <col min="2817" max="2828" width="9.12727272727273" style="205"/>
    <col min="2829" max="2829" width="10.6272727272727" style="205" customWidth="1"/>
    <col min="2830" max="3070" width="9.12727272727273" style="205"/>
    <col min="3071" max="3071" width="8" style="205" customWidth="1"/>
    <col min="3072" max="3072" width="28.5" style="205" customWidth="1"/>
    <col min="3073" max="3084" width="9.12727272727273" style="205"/>
    <col min="3085" max="3085" width="10.6272727272727" style="205" customWidth="1"/>
    <col min="3086" max="3326" width="9.12727272727273" style="205"/>
    <col min="3327" max="3327" width="8" style="205" customWidth="1"/>
    <col min="3328" max="3328" width="28.5" style="205" customWidth="1"/>
    <col min="3329" max="3340" width="9.12727272727273" style="205"/>
    <col min="3341" max="3341" width="10.6272727272727" style="205" customWidth="1"/>
    <col min="3342" max="3582" width="9.12727272727273" style="205"/>
    <col min="3583" max="3583" width="8" style="205" customWidth="1"/>
    <col min="3584" max="3584" width="28.5" style="205" customWidth="1"/>
    <col min="3585" max="3596" width="9.12727272727273" style="205"/>
    <col min="3597" max="3597" width="10.6272727272727" style="205" customWidth="1"/>
    <col min="3598" max="3838" width="9.12727272727273" style="205"/>
    <col min="3839" max="3839" width="8" style="205" customWidth="1"/>
    <col min="3840" max="3840" width="28.5" style="205" customWidth="1"/>
    <col min="3841" max="3852" width="9.12727272727273" style="205"/>
    <col min="3853" max="3853" width="10.6272727272727" style="205" customWidth="1"/>
    <col min="3854" max="4094" width="9.12727272727273" style="205"/>
    <col min="4095" max="4095" width="8" style="205" customWidth="1"/>
    <col min="4096" max="4096" width="28.5" style="205" customWidth="1"/>
    <col min="4097" max="4108" width="9.12727272727273" style="205"/>
    <col min="4109" max="4109" width="10.6272727272727" style="205" customWidth="1"/>
    <col min="4110" max="4350" width="9.12727272727273" style="205"/>
    <col min="4351" max="4351" width="8" style="205" customWidth="1"/>
    <col min="4352" max="4352" width="28.5" style="205" customWidth="1"/>
    <col min="4353" max="4364" width="9.12727272727273" style="205"/>
    <col min="4365" max="4365" width="10.6272727272727" style="205" customWidth="1"/>
    <col min="4366" max="4606" width="9.12727272727273" style="205"/>
    <col min="4607" max="4607" width="8" style="205" customWidth="1"/>
    <col min="4608" max="4608" width="28.5" style="205" customWidth="1"/>
    <col min="4609" max="4620" width="9.12727272727273" style="205"/>
    <col min="4621" max="4621" width="10.6272727272727" style="205" customWidth="1"/>
    <col min="4622" max="4862" width="9.12727272727273" style="205"/>
    <col min="4863" max="4863" width="8" style="205" customWidth="1"/>
    <col min="4864" max="4864" width="28.5" style="205" customWidth="1"/>
    <col min="4865" max="4876" width="9.12727272727273" style="205"/>
    <col min="4877" max="4877" width="10.6272727272727" style="205" customWidth="1"/>
    <col min="4878" max="5118" width="9.12727272727273" style="205"/>
    <col min="5119" max="5119" width="8" style="205" customWidth="1"/>
    <col min="5120" max="5120" width="28.5" style="205" customWidth="1"/>
    <col min="5121" max="5132" width="9.12727272727273" style="205"/>
    <col min="5133" max="5133" width="10.6272727272727" style="205" customWidth="1"/>
    <col min="5134" max="5374" width="9.12727272727273" style="205"/>
    <col min="5375" max="5375" width="8" style="205" customWidth="1"/>
    <col min="5376" max="5376" width="28.5" style="205" customWidth="1"/>
    <col min="5377" max="5388" width="9.12727272727273" style="205"/>
    <col min="5389" max="5389" width="10.6272727272727" style="205" customWidth="1"/>
    <col min="5390" max="5630" width="9.12727272727273" style="205"/>
    <col min="5631" max="5631" width="8" style="205" customWidth="1"/>
    <col min="5632" max="5632" width="28.5" style="205" customWidth="1"/>
    <col min="5633" max="5644" width="9.12727272727273" style="205"/>
    <col min="5645" max="5645" width="10.6272727272727" style="205" customWidth="1"/>
    <col min="5646" max="5886" width="9.12727272727273" style="205"/>
    <col min="5887" max="5887" width="8" style="205" customWidth="1"/>
    <col min="5888" max="5888" width="28.5" style="205" customWidth="1"/>
    <col min="5889" max="5900" width="9.12727272727273" style="205"/>
    <col min="5901" max="5901" width="10.6272727272727" style="205" customWidth="1"/>
    <col min="5902" max="6142" width="9.12727272727273" style="205"/>
    <col min="6143" max="6143" width="8" style="205" customWidth="1"/>
    <col min="6144" max="6144" width="28.5" style="205" customWidth="1"/>
    <col min="6145" max="6156" width="9.12727272727273" style="205"/>
    <col min="6157" max="6157" width="10.6272727272727" style="205" customWidth="1"/>
    <col min="6158" max="6398" width="9.12727272727273" style="205"/>
    <col min="6399" max="6399" width="8" style="205" customWidth="1"/>
    <col min="6400" max="6400" width="28.5" style="205" customWidth="1"/>
    <col min="6401" max="6412" width="9.12727272727273" style="205"/>
    <col min="6413" max="6413" width="10.6272727272727" style="205" customWidth="1"/>
    <col min="6414" max="6654" width="9.12727272727273" style="205"/>
    <col min="6655" max="6655" width="8" style="205" customWidth="1"/>
    <col min="6656" max="6656" width="28.5" style="205" customWidth="1"/>
    <col min="6657" max="6668" width="9.12727272727273" style="205"/>
    <col min="6669" max="6669" width="10.6272727272727" style="205" customWidth="1"/>
    <col min="6670" max="6910" width="9.12727272727273" style="205"/>
    <col min="6911" max="6911" width="8" style="205" customWidth="1"/>
    <col min="6912" max="6912" width="28.5" style="205" customWidth="1"/>
    <col min="6913" max="6924" width="9.12727272727273" style="205"/>
    <col min="6925" max="6925" width="10.6272727272727" style="205" customWidth="1"/>
    <col min="6926" max="7166" width="9.12727272727273" style="205"/>
    <col min="7167" max="7167" width="8" style="205" customWidth="1"/>
    <col min="7168" max="7168" width="28.5" style="205" customWidth="1"/>
    <col min="7169" max="7180" width="9.12727272727273" style="205"/>
    <col min="7181" max="7181" width="10.6272727272727" style="205" customWidth="1"/>
    <col min="7182" max="7422" width="9.12727272727273" style="205"/>
    <col min="7423" max="7423" width="8" style="205" customWidth="1"/>
    <col min="7424" max="7424" width="28.5" style="205" customWidth="1"/>
    <col min="7425" max="7436" width="9.12727272727273" style="205"/>
    <col min="7437" max="7437" width="10.6272727272727" style="205" customWidth="1"/>
    <col min="7438" max="7678" width="9.12727272727273" style="205"/>
    <col min="7679" max="7679" width="8" style="205" customWidth="1"/>
    <col min="7680" max="7680" width="28.5" style="205" customWidth="1"/>
    <col min="7681" max="7692" width="9.12727272727273" style="205"/>
    <col min="7693" max="7693" width="10.6272727272727" style="205" customWidth="1"/>
    <col min="7694" max="7934" width="9.12727272727273" style="205"/>
    <col min="7935" max="7935" width="8" style="205" customWidth="1"/>
    <col min="7936" max="7936" width="28.5" style="205" customWidth="1"/>
    <col min="7937" max="7948" width="9.12727272727273" style="205"/>
    <col min="7949" max="7949" width="10.6272727272727" style="205" customWidth="1"/>
    <col min="7950" max="8190" width="9.12727272727273" style="205"/>
    <col min="8191" max="8191" width="8" style="205" customWidth="1"/>
    <col min="8192" max="8192" width="28.5" style="205" customWidth="1"/>
    <col min="8193" max="8204" width="9.12727272727273" style="205"/>
    <col min="8205" max="8205" width="10.6272727272727" style="205" customWidth="1"/>
    <col min="8206" max="8446" width="9.12727272727273" style="205"/>
    <col min="8447" max="8447" width="8" style="205" customWidth="1"/>
    <col min="8448" max="8448" width="28.5" style="205" customWidth="1"/>
    <col min="8449" max="8460" width="9.12727272727273" style="205"/>
    <col min="8461" max="8461" width="10.6272727272727" style="205" customWidth="1"/>
    <col min="8462" max="8702" width="9.12727272727273" style="205"/>
    <col min="8703" max="8703" width="8" style="205" customWidth="1"/>
    <col min="8704" max="8704" width="28.5" style="205" customWidth="1"/>
    <col min="8705" max="8716" width="9.12727272727273" style="205"/>
    <col min="8717" max="8717" width="10.6272727272727" style="205" customWidth="1"/>
    <col min="8718" max="8958" width="9.12727272727273" style="205"/>
    <col min="8959" max="8959" width="8" style="205" customWidth="1"/>
    <col min="8960" max="8960" width="28.5" style="205" customWidth="1"/>
    <col min="8961" max="8972" width="9.12727272727273" style="205"/>
    <col min="8973" max="8973" width="10.6272727272727" style="205" customWidth="1"/>
    <col min="8974" max="9214" width="9.12727272727273" style="205"/>
    <col min="9215" max="9215" width="8" style="205" customWidth="1"/>
    <col min="9216" max="9216" width="28.5" style="205" customWidth="1"/>
    <col min="9217" max="9228" width="9.12727272727273" style="205"/>
    <col min="9229" max="9229" width="10.6272727272727" style="205" customWidth="1"/>
    <col min="9230" max="9470" width="9.12727272727273" style="205"/>
    <col min="9471" max="9471" width="8" style="205" customWidth="1"/>
    <col min="9472" max="9472" width="28.5" style="205" customWidth="1"/>
    <col min="9473" max="9484" width="9.12727272727273" style="205"/>
    <col min="9485" max="9485" width="10.6272727272727" style="205" customWidth="1"/>
    <col min="9486" max="9726" width="9.12727272727273" style="205"/>
    <col min="9727" max="9727" width="8" style="205" customWidth="1"/>
    <col min="9728" max="9728" width="28.5" style="205" customWidth="1"/>
    <col min="9729" max="9740" width="9.12727272727273" style="205"/>
    <col min="9741" max="9741" width="10.6272727272727" style="205" customWidth="1"/>
    <col min="9742" max="9982" width="9.12727272727273" style="205"/>
    <col min="9983" max="9983" width="8" style="205" customWidth="1"/>
    <col min="9984" max="9984" width="28.5" style="205" customWidth="1"/>
    <col min="9985" max="9996" width="9.12727272727273" style="205"/>
    <col min="9997" max="9997" width="10.6272727272727" style="205" customWidth="1"/>
    <col min="9998" max="10238" width="9.12727272727273" style="205"/>
    <col min="10239" max="10239" width="8" style="205" customWidth="1"/>
    <col min="10240" max="10240" width="28.5" style="205" customWidth="1"/>
    <col min="10241" max="10252" width="9.12727272727273" style="205"/>
    <col min="10253" max="10253" width="10.6272727272727" style="205" customWidth="1"/>
    <col min="10254" max="10494" width="9.12727272727273" style="205"/>
    <col min="10495" max="10495" width="8" style="205" customWidth="1"/>
    <col min="10496" max="10496" width="28.5" style="205" customWidth="1"/>
    <col min="10497" max="10508" width="9.12727272727273" style="205"/>
    <col min="10509" max="10509" width="10.6272727272727" style="205" customWidth="1"/>
    <col min="10510" max="10750" width="9.12727272727273" style="205"/>
    <col min="10751" max="10751" width="8" style="205" customWidth="1"/>
    <col min="10752" max="10752" width="28.5" style="205" customWidth="1"/>
    <col min="10753" max="10764" width="9.12727272727273" style="205"/>
    <col min="10765" max="10765" width="10.6272727272727" style="205" customWidth="1"/>
    <col min="10766" max="11006" width="9.12727272727273" style="205"/>
    <col min="11007" max="11007" width="8" style="205" customWidth="1"/>
    <col min="11008" max="11008" width="28.5" style="205" customWidth="1"/>
    <col min="11009" max="11020" width="9.12727272727273" style="205"/>
    <col min="11021" max="11021" width="10.6272727272727" style="205" customWidth="1"/>
    <col min="11022" max="11262" width="9.12727272727273" style="205"/>
    <col min="11263" max="11263" width="8" style="205" customWidth="1"/>
    <col min="11264" max="11264" width="28.5" style="205" customWidth="1"/>
    <col min="11265" max="11276" width="9.12727272727273" style="205"/>
    <col min="11277" max="11277" width="10.6272727272727" style="205" customWidth="1"/>
    <col min="11278" max="11518" width="9.12727272727273" style="205"/>
    <col min="11519" max="11519" width="8" style="205" customWidth="1"/>
    <col min="11520" max="11520" width="28.5" style="205" customWidth="1"/>
    <col min="11521" max="11532" width="9.12727272727273" style="205"/>
    <col min="11533" max="11533" width="10.6272727272727" style="205" customWidth="1"/>
    <col min="11534" max="11774" width="9.12727272727273" style="205"/>
    <col min="11775" max="11775" width="8" style="205" customWidth="1"/>
    <col min="11776" max="11776" width="28.5" style="205" customWidth="1"/>
    <col min="11777" max="11788" width="9.12727272727273" style="205"/>
    <col min="11789" max="11789" width="10.6272727272727" style="205" customWidth="1"/>
    <col min="11790" max="12030" width="9.12727272727273" style="205"/>
    <col min="12031" max="12031" width="8" style="205" customWidth="1"/>
    <col min="12032" max="12032" width="28.5" style="205" customWidth="1"/>
    <col min="12033" max="12044" width="9.12727272727273" style="205"/>
    <col min="12045" max="12045" width="10.6272727272727" style="205" customWidth="1"/>
    <col min="12046" max="12286" width="9.12727272727273" style="205"/>
    <col min="12287" max="12287" width="8" style="205" customWidth="1"/>
    <col min="12288" max="12288" width="28.5" style="205" customWidth="1"/>
    <col min="12289" max="12300" width="9.12727272727273" style="205"/>
    <col min="12301" max="12301" width="10.6272727272727" style="205" customWidth="1"/>
    <col min="12302" max="12542" width="9.12727272727273" style="205"/>
    <col min="12543" max="12543" width="8" style="205" customWidth="1"/>
    <col min="12544" max="12544" width="28.5" style="205" customWidth="1"/>
    <col min="12545" max="12556" width="9.12727272727273" style="205"/>
    <col min="12557" max="12557" width="10.6272727272727" style="205" customWidth="1"/>
    <col min="12558" max="12798" width="9.12727272727273" style="205"/>
    <col min="12799" max="12799" width="8" style="205" customWidth="1"/>
    <col min="12800" max="12800" width="28.5" style="205" customWidth="1"/>
    <col min="12801" max="12812" width="9.12727272727273" style="205"/>
    <col min="12813" max="12813" width="10.6272727272727" style="205" customWidth="1"/>
    <col min="12814" max="13054" width="9.12727272727273" style="205"/>
    <col min="13055" max="13055" width="8" style="205" customWidth="1"/>
    <col min="13056" max="13056" width="28.5" style="205" customWidth="1"/>
    <col min="13057" max="13068" width="9.12727272727273" style="205"/>
    <col min="13069" max="13069" width="10.6272727272727" style="205" customWidth="1"/>
    <col min="13070" max="13310" width="9.12727272727273" style="205"/>
    <col min="13311" max="13311" width="8" style="205" customWidth="1"/>
    <col min="13312" max="13312" width="28.5" style="205" customWidth="1"/>
    <col min="13313" max="13324" width="9.12727272727273" style="205"/>
    <col min="13325" max="13325" width="10.6272727272727" style="205" customWidth="1"/>
    <col min="13326" max="13566" width="9.12727272727273" style="205"/>
    <col min="13567" max="13567" width="8" style="205" customWidth="1"/>
    <col min="13568" max="13568" width="28.5" style="205" customWidth="1"/>
    <col min="13569" max="13580" width="9.12727272727273" style="205"/>
    <col min="13581" max="13581" width="10.6272727272727" style="205" customWidth="1"/>
    <col min="13582" max="13822" width="9.12727272727273" style="205"/>
    <col min="13823" max="13823" width="8" style="205" customWidth="1"/>
    <col min="13824" max="13824" width="28.5" style="205" customWidth="1"/>
    <col min="13825" max="13836" width="9.12727272727273" style="205"/>
    <col min="13837" max="13837" width="10.6272727272727" style="205" customWidth="1"/>
    <col min="13838" max="14078" width="9.12727272727273" style="205"/>
    <col min="14079" max="14079" width="8" style="205" customWidth="1"/>
    <col min="14080" max="14080" width="28.5" style="205" customWidth="1"/>
    <col min="14081" max="14092" width="9.12727272727273" style="205"/>
    <col min="14093" max="14093" width="10.6272727272727" style="205" customWidth="1"/>
    <col min="14094" max="14334" width="9.12727272727273" style="205"/>
    <col min="14335" max="14335" width="8" style="205" customWidth="1"/>
    <col min="14336" max="14336" width="28.5" style="205" customWidth="1"/>
    <col min="14337" max="14348" width="9.12727272727273" style="205"/>
    <col min="14349" max="14349" width="10.6272727272727" style="205" customWidth="1"/>
    <col min="14350" max="14590" width="9.12727272727273" style="205"/>
    <col min="14591" max="14591" width="8" style="205" customWidth="1"/>
    <col min="14592" max="14592" width="28.5" style="205" customWidth="1"/>
    <col min="14593" max="14604" width="9.12727272727273" style="205"/>
    <col min="14605" max="14605" width="10.6272727272727" style="205" customWidth="1"/>
    <col min="14606" max="14846" width="9.12727272727273" style="205"/>
    <col min="14847" max="14847" width="8" style="205" customWidth="1"/>
    <col min="14848" max="14848" width="28.5" style="205" customWidth="1"/>
    <col min="14849" max="14860" width="9.12727272727273" style="205"/>
    <col min="14861" max="14861" width="10.6272727272727" style="205" customWidth="1"/>
    <col min="14862" max="15102" width="9.12727272727273" style="205"/>
    <col min="15103" max="15103" width="8" style="205" customWidth="1"/>
    <col min="15104" max="15104" width="28.5" style="205" customWidth="1"/>
    <col min="15105" max="15116" width="9.12727272727273" style="205"/>
    <col min="15117" max="15117" width="10.6272727272727" style="205" customWidth="1"/>
    <col min="15118" max="15358" width="9.12727272727273" style="205"/>
    <col min="15359" max="15359" width="8" style="205" customWidth="1"/>
    <col min="15360" max="15360" width="28.5" style="205" customWidth="1"/>
    <col min="15361" max="15372" width="9.12727272727273" style="205"/>
    <col min="15373" max="15373" width="10.6272727272727" style="205" customWidth="1"/>
    <col min="15374" max="15614" width="9.12727272727273" style="205"/>
    <col min="15615" max="15615" width="8" style="205" customWidth="1"/>
    <col min="15616" max="15616" width="28.5" style="205" customWidth="1"/>
    <col min="15617" max="15628" width="9.12727272727273" style="205"/>
    <col min="15629" max="15629" width="10.6272727272727" style="205" customWidth="1"/>
    <col min="15630" max="15870" width="9.12727272727273" style="205"/>
    <col min="15871" max="15871" width="8" style="205" customWidth="1"/>
    <col min="15872" max="15872" width="28.5" style="205" customWidth="1"/>
    <col min="15873" max="15884" width="9.12727272727273" style="205"/>
    <col min="15885" max="15885" width="10.6272727272727" style="205" customWidth="1"/>
    <col min="15886" max="16126" width="9.12727272727273" style="205"/>
    <col min="16127" max="16127" width="8" style="205" customWidth="1"/>
    <col min="16128" max="16128" width="28.5" style="205" customWidth="1"/>
    <col min="16129" max="16140" width="9.12727272727273" style="205"/>
    <col min="16141" max="16141" width="10.6272727272727" style="205" customWidth="1"/>
    <col min="16142" max="16384" width="9.12727272727273" style="205"/>
  </cols>
  <sheetData>
    <row r="1" ht="17.5" spans="1:13">
      <c r="A1" s="206" t="s">
        <v>19</v>
      </c>
      <c r="B1" s="207"/>
      <c r="C1" s="208"/>
      <c r="D1" s="208"/>
      <c r="E1" s="207"/>
      <c r="F1" s="208"/>
      <c r="G1" s="208"/>
      <c r="H1" s="207"/>
      <c r="I1" s="208"/>
      <c r="J1" s="208"/>
      <c r="K1" s="208"/>
      <c r="L1" s="208"/>
      <c r="M1" s="208"/>
    </row>
    <row r="2" ht="14" spans="1:2">
      <c r="A2" s="205" t="s">
        <v>20</v>
      </c>
      <c r="B2" s="209"/>
    </row>
    <row r="3" ht="16.9" customHeight="1" spans="1:13">
      <c r="A3" s="210" t="s">
        <v>21</v>
      </c>
      <c r="B3" s="210" t="s">
        <v>22</v>
      </c>
      <c r="C3" s="211" t="s">
        <v>23</v>
      </c>
      <c r="D3" s="211"/>
      <c r="E3" s="211"/>
      <c r="F3" s="212"/>
      <c r="G3" s="213"/>
      <c r="H3" s="214"/>
      <c r="I3" s="214"/>
      <c r="J3" s="214" t="s">
        <v>24</v>
      </c>
      <c r="K3" s="214"/>
      <c r="L3" s="214"/>
      <c r="M3" s="235"/>
    </row>
    <row r="4" ht="16.15" customHeight="1" spans="1:13">
      <c r="A4" s="215"/>
      <c r="B4" s="215" t="s">
        <v>25</v>
      </c>
      <c r="C4" s="211">
        <v>2017</v>
      </c>
      <c r="D4" s="211">
        <f t="shared" ref="D4:L4" si="0">C4+1</f>
        <v>2018</v>
      </c>
      <c r="E4" s="211">
        <f t="shared" si="0"/>
        <v>2019</v>
      </c>
      <c r="F4" s="211">
        <f t="shared" si="0"/>
        <v>2020</v>
      </c>
      <c r="G4" s="211">
        <f t="shared" si="0"/>
        <v>2021</v>
      </c>
      <c r="H4" s="216">
        <f t="shared" si="0"/>
        <v>2022</v>
      </c>
      <c r="I4" s="216">
        <f t="shared" si="0"/>
        <v>2023</v>
      </c>
      <c r="J4" s="216">
        <f t="shared" si="0"/>
        <v>2024</v>
      </c>
      <c r="K4" s="216">
        <f t="shared" si="0"/>
        <v>2025</v>
      </c>
      <c r="L4" s="216">
        <f t="shared" si="0"/>
        <v>2026</v>
      </c>
      <c r="M4" s="236" t="s">
        <v>26</v>
      </c>
    </row>
    <row r="5" ht="15.6" customHeight="1" spans="1:13">
      <c r="A5" s="217">
        <v>1</v>
      </c>
      <c r="B5" s="218" t="s">
        <v>27</v>
      </c>
      <c r="C5" s="219">
        <f>SUM(C6:C9)</f>
        <v>0</v>
      </c>
      <c r="D5" s="219">
        <f t="shared" ref="D5:L5" si="1">SUM(D6:D9)</f>
        <v>0</v>
      </c>
      <c r="E5" s="219" t="e">
        <f t="shared" si="1"/>
        <v>#REF!</v>
      </c>
      <c r="F5" s="219" t="e">
        <f t="shared" si="1"/>
        <v>#REF!</v>
      </c>
      <c r="G5" s="219" t="e">
        <f t="shared" si="1"/>
        <v>#REF!</v>
      </c>
      <c r="H5" s="219" t="e">
        <f t="shared" si="1"/>
        <v>#REF!</v>
      </c>
      <c r="I5" s="219" t="e">
        <f t="shared" si="1"/>
        <v>#REF!</v>
      </c>
      <c r="J5" s="219" t="e">
        <f t="shared" si="1"/>
        <v>#REF!</v>
      </c>
      <c r="K5" s="219" t="e">
        <f t="shared" si="1"/>
        <v>#REF!</v>
      </c>
      <c r="L5" s="219" t="e">
        <f t="shared" si="1"/>
        <v>#REF!</v>
      </c>
      <c r="M5" s="223" t="e">
        <f t="shared" ref="M5:M17" si="2">SUM(C5:L5)</f>
        <v>#REF!</v>
      </c>
    </row>
    <row r="6" ht="15.6" customHeight="1" spans="1:13">
      <c r="A6" s="217">
        <v>1.1</v>
      </c>
      <c r="B6" s="220" t="s">
        <v>28</v>
      </c>
      <c r="C6" s="221"/>
      <c r="D6" s="221"/>
      <c r="E6" s="221" t="e">
        <f>#REF!</f>
        <v>#REF!</v>
      </c>
      <c r="F6" s="221" t="e">
        <f>#REF!</f>
        <v>#REF!</v>
      </c>
      <c r="G6" s="221" t="e">
        <f>#REF!</f>
        <v>#REF!</v>
      </c>
      <c r="H6" s="221" t="e">
        <f>#REF!</f>
        <v>#REF!</v>
      </c>
      <c r="I6" s="221" t="e">
        <f>#REF!</f>
        <v>#REF!</v>
      </c>
      <c r="J6" s="221" t="e">
        <f>#REF!</f>
        <v>#REF!</v>
      </c>
      <c r="K6" s="221" t="e">
        <f>#REF!</f>
        <v>#REF!</v>
      </c>
      <c r="L6" s="221" t="e">
        <f>#REF!</f>
        <v>#REF!</v>
      </c>
      <c r="M6" s="223" t="e">
        <f t="shared" si="2"/>
        <v>#REF!</v>
      </c>
    </row>
    <row r="7" ht="15.6" customHeight="1" spans="1:13">
      <c r="A7" s="217">
        <v>1.2</v>
      </c>
      <c r="B7" s="220" t="s">
        <v>29</v>
      </c>
      <c r="C7" s="221"/>
      <c r="D7" s="221"/>
      <c r="E7" s="221">
        <f>[1]折、摊!G18</f>
        <v>0</v>
      </c>
      <c r="F7" s="221">
        <f>[1]折、摊!H18</f>
        <v>0</v>
      </c>
      <c r="G7" s="221">
        <f>[1]折、摊!I18</f>
        <v>0</v>
      </c>
      <c r="H7" s="221">
        <f>[1]折、摊!J18</f>
        <v>0</v>
      </c>
      <c r="I7" s="221">
        <f>[1]折、摊!K18</f>
        <v>0</v>
      </c>
      <c r="J7" s="221">
        <f>[1]折、摊!L18</f>
        <v>0</v>
      </c>
      <c r="K7" s="221">
        <f>[1]折、摊!M18</f>
        <v>0</v>
      </c>
      <c r="L7" s="221">
        <f>[1]折、摊!N18</f>
        <v>0</v>
      </c>
      <c r="M7" s="223">
        <f t="shared" si="2"/>
        <v>0</v>
      </c>
    </row>
    <row r="8" ht="15.6" customHeight="1" spans="1:13">
      <c r="A8" s="217">
        <v>1.3</v>
      </c>
      <c r="B8" s="220" t="s">
        <v>30</v>
      </c>
      <c r="C8" s="221" t="s">
        <v>31</v>
      </c>
      <c r="D8" s="221" t="s">
        <v>31</v>
      </c>
      <c r="E8" s="221" t="s">
        <v>31</v>
      </c>
      <c r="F8" s="221" t="s">
        <v>31</v>
      </c>
      <c r="G8" s="221" t="s">
        <v>31</v>
      </c>
      <c r="H8" s="221" t="s">
        <v>31</v>
      </c>
      <c r="I8" s="221" t="s">
        <v>31</v>
      </c>
      <c r="J8" s="221" t="s">
        <v>31</v>
      </c>
      <c r="K8" s="221" t="s">
        <v>31</v>
      </c>
      <c r="L8" s="221"/>
      <c r="M8" s="223">
        <f t="shared" si="2"/>
        <v>0</v>
      </c>
    </row>
    <row r="9" s="204" customFormat="1" ht="15.6" customHeight="1" spans="1:13">
      <c r="A9" s="222">
        <v>1.4</v>
      </c>
      <c r="B9" s="223" t="s">
        <v>32</v>
      </c>
      <c r="C9" s="221" t="s">
        <v>31</v>
      </c>
      <c r="D9" s="221" t="s">
        <v>31</v>
      </c>
      <c r="E9" s="221" t="s">
        <v>31</v>
      </c>
      <c r="F9" s="221" t="s">
        <v>31</v>
      </c>
      <c r="G9" s="221" t="s">
        <v>31</v>
      </c>
      <c r="H9" s="221" t="s">
        <v>31</v>
      </c>
      <c r="I9" s="221" t="s">
        <v>31</v>
      </c>
      <c r="J9" s="221" t="s">
        <v>31</v>
      </c>
      <c r="K9" s="221" t="s">
        <v>31</v>
      </c>
      <c r="L9" s="221" t="s">
        <v>31</v>
      </c>
      <c r="M9" s="223">
        <f t="shared" si="2"/>
        <v>0</v>
      </c>
    </row>
    <row r="10" ht="15.6" customHeight="1" spans="1:13">
      <c r="A10" s="222">
        <v>2</v>
      </c>
      <c r="B10" s="218" t="s">
        <v>33</v>
      </c>
      <c r="C10" s="219">
        <f t="shared" ref="C10:L10" si="3">SUM(C11:C16)</f>
        <v>0</v>
      </c>
      <c r="D10" s="219">
        <f t="shared" si="3"/>
        <v>0</v>
      </c>
      <c r="E10" s="219">
        <f t="shared" si="3"/>
        <v>0</v>
      </c>
      <c r="F10" s="219">
        <f t="shared" si="3"/>
        <v>0</v>
      </c>
      <c r="G10" s="219">
        <f t="shared" si="3"/>
        <v>0</v>
      </c>
      <c r="H10" s="219">
        <f t="shared" si="3"/>
        <v>0</v>
      </c>
      <c r="I10" s="219">
        <f t="shared" si="3"/>
        <v>0</v>
      </c>
      <c r="J10" s="219">
        <f t="shared" si="3"/>
        <v>0</v>
      </c>
      <c r="K10" s="219">
        <f t="shared" si="3"/>
        <v>0</v>
      </c>
      <c r="L10" s="219">
        <f t="shared" si="3"/>
        <v>0</v>
      </c>
      <c r="M10" s="223">
        <f t="shared" si="2"/>
        <v>0</v>
      </c>
    </row>
    <row r="11" ht="15" customHeight="1" spans="1:13">
      <c r="A11" s="217">
        <v>2.1</v>
      </c>
      <c r="B11" s="217" t="s">
        <v>34</v>
      </c>
      <c r="C11" s="221">
        <f>([1]计划!C6-[1]计划!C7)</f>
        <v>0</v>
      </c>
      <c r="D11" s="221">
        <f>([1]计划!D6-[1]计划!D7)</f>
        <v>0</v>
      </c>
      <c r="E11" s="221">
        <f>([1]计划!E6-[1]计划!E7)</f>
        <v>0</v>
      </c>
      <c r="F11" s="221">
        <f>([1]计划!F6-[1]计划!F7)</f>
        <v>0</v>
      </c>
      <c r="G11" s="221">
        <f>([1]计划!G6-[1]计划!G7)</f>
        <v>0</v>
      </c>
      <c r="H11" s="221">
        <f>([1]计划!H6-[1]计划!H7)</f>
        <v>0</v>
      </c>
      <c r="I11" s="221">
        <f>([1]计划!I6-[1]计划!I7)</f>
        <v>0</v>
      </c>
      <c r="J11" s="221">
        <f>([1]计划!J6-[1]计划!J7)</f>
        <v>0</v>
      </c>
      <c r="K11" s="221">
        <f>([1]计划!K6-[1]计划!K7)</f>
        <v>0</v>
      </c>
      <c r="L11" s="221">
        <f>([1]计划!L6-[1]计划!L7)</f>
        <v>0</v>
      </c>
      <c r="M11" s="223">
        <f t="shared" si="2"/>
        <v>0</v>
      </c>
    </row>
    <row r="12" s="204" customFormat="1" ht="15" customHeight="1" spans="1:13">
      <c r="A12" s="217">
        <v>2.2</v>
      </c>
      <c r="B12" s="223" t="s">
        <v>35</v>
      </c>
      <c r="C12" s="221">
        <f>[1]计划!C8</f>
        <v>0</v>
      </c>
      <c r="D12" s="221">
        <f>[1]计划!D8</f>
        <v>0</v>
      </c>
      <c r="E12" s="221">
        <f>[1]计划!E8</f>
        <v>0</v>
      </c>
      <c r="F12" s="221">
        <f>[1]计划!F8</f>
        <v>0</v>
      </c>
      <c r="G12" s="221">
        <f>[1]计划!G8</f>
        <v>0</v>
      </c>
      <c r="H12" s="221">
        <f>[1]计划!H8</f>
        <v>0</v>
      </c>
      <c r="I12" s="221">
        <f>[1]计划!I8</f>
        <v>0</v>
      </c>
      <c r="J12" s="221">
        <f>[1]计划!J8</f>
        <v>0</v>
      </c>
      <c r="K12" s="221">
        <f>[1]计划!K8</f>
        <v>0</v>
      </c>
      <c r="L12" s="221">
        <f>[1]计划!L8</f>
        <v>0</v>
      </c>
      <c r="M12" s="223">
        <f t="shared" si="2"/>
        <v>0</v>
      </c>
    </row>
    <row r="13" ht="15" customHeight="1" spans="1:13">
      <c r="A13" s="217">
        <v>2.3</v>
      </c>
      <c r="B13" s="220" t="s">
        <v>36</v>
      </c>
      <c r="C13" s="221">
        <f>[1]总成本!C22</f>
        <v>0</v>
      </c>
      <c r="D13" s="221">
        <f>[1]总成本!D22</f>
        <v>0</v>
      </c>
      <c r="E13" s="221">
        <f>[1]总成本!E22</f>
        <v>0</v>
      </c>
      <c r="F13" s="221">
        <f>[1]总成本!F22</f>
        <v>0</v>
      </c>
      <c r="G13" s="221">
        <f>[1]总成本!G22</f>
        <v>0</v>
      </c>
      <c r="H13" s="221">
        <f>[1]总成本!H22</f>
        <v>0</v>
      </c>
      <c r="I13" s="221">
        <f>[1]总成本!I22</f>
        <v>0</v>
      </c>
      <c r="J13" s="221">
        <f>[1]总成本!J22</f>
        <v>0</v>
      </c>
      <c r="K13" s="221">
        <f>[1]总成本!K22</f>
        <v>0</v>
      </c>
      <c r="L13" s="221">
        <f>[1]总成本!L22</f>
        <v>0</v>
      </c>
      <c r="M13" s="223">
        <f t="shared" si="2"/>
        <v>0</v>
      </c>
    </row>
    <row r="14" ht="15" customHeight="1" spans="1:13">
      <c r="A14" s="217">
        <v>2.4</v>
      </c>
      <c r="B14" s="220" t="s">
        <v>37</v>
      </c>
      <c r="C14" s="221">
        <f>[1]价格!D15</f>
        <v>0</v>
      </c>
      <c r="D14" s="221">
        <f>[1]价格!E15</f>
        <v>0</v>
      </c>
      <c r="E14" s="221">
        <f>[1]价格!F15</f>
        <v>0</v>
      </c>
      <c r="F14" s="221">
        <f>[1]价格!G15</f>
        <v>0</v>
      </c>
      <c r="G14" s="221">
        <f>[1]价格!H15</f>
        <v>0</v>
      </c>
      <c r="H14" s="221">
        <f>[1]价格!I15</f>
        <v>0</v>
      </c>
      <c r="I14" s="221">
        <f>[1]价格!J15</f>
        <v>0</v>
      </c>
      <c r="J14" s="221">
        <f>[1]价格!K15</f>
        <v>0</v>
      </c>
      <c r="K14" s="221">
        <f>[1]价格!L15</f>
        <v>0</v>
      </c>
      <c r="L14" s="221">
        <f>[1]价格!M15</f>
        <v>0</v>
      </c>
      <c r="M14" s="223">
        <f t="shared" si="2"/>
        <v>0</v>
      </c>
    </row>
    <row r="15" ht="15" customHeight="1" spans="1:13">
      <c r="A15" s="217">
        <v>2.5</v>
      </c>
      <c r="B15" s="220" t="s">
        <v>38</v>
      </c>
      <c r="C15" s="221">
        <f>[1]利润!C13</f>
        <v>0</v>
      </c>
      <c r="D15" s="221">
        <f>[1]利润!D13</f>
        <v>0</v>
      </c>
      <c r="E15" s="221">
        <f>[1]利润!E13</f>
        <v>0</v>
      </c>
      <c r="F15" s="221">
        <f>[1]利润!F13</f>
        <v>0</v>
      </c>
      <c r="G15" s="221">
        <f>[1]利润!G13</f>
        <v>0</v>
      </c>
      <c r="H15" s="221">
        <f>[1]利润!H13</f>
        <v>0</v>
      </c>
      <c r="I15" s="221">
        <f>[1]利润!I13</f>
        <v>0</v>
      </c>
      <c r="J15" s="221">
        <f>[1]利润!J13</f>
        <v>0</v>
      </c>
      <c r="K15" s="221">
        <f>[1]利润!K13</f>
        <v>0</v>
      </c>
      <c r="L15" s="221">
        <f>[1]利润!L13</f>
        <v>0</v>
      </c>
      <c r="M15" s="223">
        <f t="shared" si="2"/>
        <v>0</v>
      </c>
    </row>
    <row r="16" ht="15" customHeight="1" spans="1:13">
      <c r="A16" s="217">
        <v>2.6</v>
      </c>
      <c r="B16" s="220" t="s">
        <v>39</v>
      </c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3">
        <f t="shared" si="2"/>
        <v>0</v>
      </c>
    </row>
    <row r="17" ht="14" spans="1:13">
      <c r="A17" s="217">
        <v>3</v>
      </c>
      <c r="B17" s="218" t="s">
        <v>40</v>
      </c>
      <c r="C17" s="219">
        <f t="shared" ref="C17:L17" si="4">C5-C10</f>
        <v>0</v>
      </c>
      <c r="D17" s="219">
        <f t="shared" si="4"/>
        <v>0</v>
      </c>
      <c r="E17" s="219" t="e">
        <f t="shared" si="4"/>
        <v>#REF!</v>
      </c>
      <c r="F17" s="219" t="e">
        <f t="shared" si="4"/>
        <v>#REF!</v>
      </c>
      <c r="G17" s="219" t="e">
        <f t="shared" si="4"/>
        <v>#REF!</v>
      </c>
      <c r="H17" s="219" t="e">
        <f t="shared" si="4"/>
        <v>#REF!</v>
      </c>
      <c r="I17" s="219" t="e">
        <f t="shared" si="4"/>
        <v>#REF!</v>
      </c>
      <c r="J17" s="219" t="e">
        <f t="shared" si="4"/>
        <v>#REF!</v>
      </c>
      <c r="K17" s="219" t="e">
        <f t="shared" si="4"/>
        <v>#REF!</v>
      </c>
      <c r="L17" s="219" t="e">
        <f t="shared" si="4"/>
        <v>#REF!</v>
      </c>
      <c r="M17" s="223" t="e">
        <f t="shared" si="2"/>
        <v>#REF!</v>
      </c>
    </row>
    <row r="18" ht="14" spans="1:13">
      <c r="A18" s="224">
        <v>4</v>
      </c>
      <c r="B18" s="220" t="s">
        <v>41</v>
      </c>
      <c r="C18" s="221">
        <f>C17</f>
        <v>0</v>
      </c>
      <c r="D18" s="221">
        <f t="shared" ref="D18:L18" si="5">C18+D17</f>
        <v>0</v>
      </c>
      <c r="E18" s="221" t="e">
        <f t="shared" si="5"/>
        <v>#REF!</v>
      </c>
      <c r="F18" s="221" t="e">
        <f t="shared" si="5"/>
        <v>#REF!</v>
      </c>
      <c r="G18" s="221" t="e">
        <f t="shared" si="5"/>
        <v>#REF!</v>
      </c>
      <c r="H18" s="221" t="e">
        <f t="shared" si="5"/>
        <v>#REF!</v>
      </c>
      <c r="I18" s="221" t="e">
        <f t="shared" si="5"/>
        <v>#REF!</v>
      </c>
      <c r="J18" s="221" t="e">
        <f t="shared" si="5"/>
        <v>#REF!</v>
      </c>
      <c r="K18" s="221" t="e">
        <f t="shared" si="5"/>
        <v>#REF!</v>
      </c>
      <c r="L18" s="221" t="e">
        <f t="shared" si="5"/>
        <v>#REF!</v>
      </c>
      <c r="M18" s="220" t="s">
        <v>31</v>
      </c>
    </row>
    <row r="19" s="204" customFormat="1" ht="13" spans="1:13">
      <c r="A19" s="224">
        <v>5</v>
      </c>
      <c r="B19" s="220" t="s">
        <v>42</v>
      </c>
      <c r="C19" s="221">
        <f t="shared" ref="C19:L19" si="6">C17+C15</f>
        <v>0</v>
      </c>
      <c r="D19" s="221">
        <f t="shared" si="6"/>
        <v>0</v>
      </c>
      <c r="E19" s="221" t="e">
        <f t="shared" si="6"/>
        <v>#REF!</v>
      </c>
      <c r="F19" s="221" t="e">
        <f t="shared" si="6"/>
        <v>#REF!</v>
      </c>
      <c r="G19" s="221" t="e">
        <f t="shared" si="6"/>
        <v>#REF!</v>
      </c>
      <c r="H19" s="221" t="e">
        <f t="shared" si="6"/>
        <v>#REF!</v>
      </c>
      <c r="I19" s="221" t="e">
        <f t="shared" si="6"/>
        <v>#REF!</v>
      </c>
      <c r="J19" s="221" t="e">
        <f t="shared" si="6"/>
        <v>#REF!</v>
      </c>
      <c r="K19" s="221" t="e">
        <f t="shared" si="6"/>
        <v>#REF!</v>
      </c>
      <c r="L19" s="221" t="e">
        <f t="shared" si="6"/>
        <v>#REF!</v>
      </c>
      <c r="M19" s="223" t="e">
        <f>SUM(C19:L19)</f>
        <v>#REF!</v>
      </c>
    </row>
    <row r="20" s="204" customFormat="1" ht="13" spans="1:13">
      <c r="A20" s="217">
        <v>6</v>
      </c>
      <c r="B20" s="220" t="s">
        <v>43</v>
      </c>
      <c r="C20" s="221">
        <f>C19</f>
        <v>0</v>
      </c>
      <c r="D20" s="221">
        <f t="shared" ref="D20:L20" si="7">C20+D19</f>
        <v>0</v>
      </c>
      <c r="E20" s="221" t="e">
        <f t="shared" si="7"/>
        <v>#REF!</v>
      </c>
      <c r="F20" s="221" t="e">
        <f t="shared" si="7"/>
        <v>#REF!</v>
      </c>
      <c r="G20" s="221" t="e">
        <f t="shared" si="7"/>
        <v>#REF!</v>
      </c>
      <c r="H20" s="221" t="e">
        <f t="shared" si="7"/>
        <v>#REF!</v>
      </c>
      <c r="I20" s="221" t="e">
        <f t="shared" si="7"/>
        <v>#REF!</v>
      </c>
      <c r="J20" s="221" t="e">
        <f t="shared" si="7"/>
        <v>#REF!</v>
      </c>
      <c r="K20" s="221" t="e">
        <f t="shared" si="7"/>
        <v>#REF!</v>
      </c>
      <c r="L20" s="221" t="e">
        <f t="shared" si="7"/>
        <v>#REF!</v>
      </c>
      <c r="M20" s="220" t="s">
        <v>31</v>
      </c>
    </row>
    <row r="21" ht="14" spans="1:13">
      <c r="A21" s="225"/>
      <c r="B21" s="226" t="s">
        <v>44</v>
      </c>
      <c r="C21" s="226"/>
      <c r="D21" s="226"/>
      <c r="E21" s="226" t="s">
        <v>45</v>
      </c>
      <c r="F21" s="226"/>
      <c r="G21" s="226"/>
      <c r="H21" s="226"/>
      <c r="I21" s="226" t="s">
        <v>46</v>
      </c>
      <c r="J21" s="226"/>
      <c r="K21" s="226"/>
      <c r="L21" s="226"/>
      <c r="M21" s="237"/>
    </row>
    <row r="22" ht="14" spans="1:13">
      <c r="A22" s="227"/>
      <c r="B22" s="228" t="s">
        <v>47</v>
      </c>
      <c r="C22" s="228"/>
      <c r="D22" s="229" t="s">
        <v>48</v>
      </c>
      <c r="E22" s="230" t="e">
        <f>IRR(C17:L17,0.15)</f>
        <v>#VALUE!</v>
      </c>
      <c r="F22" s="228"/>
      <c r="G22" s="228"/>
      <c r="H22" s="228"/>
      <c r="I22" s="230" t="e">
        <f>IRR(C19:L19,0.15)</f>
        <v>#VALUE!</v>
      </c>
      <c r="J22" s="228"/>
      <c r="K22" s="228"/>
      <c r="L22" s="228"/>
      <c r="M22" s="238"/>
    </row>
    <row r="23" ht="14" spans="1:18">
      <c r="A23" s="227"/>
      <c r="B23" s="228" t="s">
        <v>49</v>
      </c>
      <c r="C23" s="228"/>
      <c r="D23" s="228"/>
      <c r="E23" s="231" t="e">
        <f>NPV(0.12,C17:L17)</f>
        <v>#REF!</v>
      </c>
      <c r="F23" s="228"/>
      <c r="G23" s="228"/>
      <c r="H23" s="228"/>
      <c r="I23" s="231" t="e">
        <f>NPV(0.12,C19:L19)</f>
        <v>#REF!</v>
      </c>
      <c r="J23" s="228"/>
      <c r="K23" s="228"/>
      <c r="L23" s="228"/>
      <c r="M23" s="238"/>
      <c r="R23" s="205">
        <f>30.9-29.82</f>
        <v>1.08</v>
      </c>
    </row>
    <row r="24" ht="14" spans="1:13">
      <c r="A24" s="232"/>
      <c r="B24" s="233" t="s">
        <v>50</v>
      </c>
      <c r="C24" s="233"/>
      <c r="D24" s="233"/>
      <c r="E24" s="234" t="e">
        <f>6-H18/I17</f>
        <v>#REF!</v>
      </c>
      <c r="F24" s="233"/>
      <c r="G24" s="233"/>
      <c r="H24" s="233"/>
      <c r="I24" s="234" t="e">
        <f>6-H20/I19</f>
        <v>#REF!</v>
      </c>
      <c r="J24" s="233"/>
      <c r="K24" s="233"/>
      <c r="L24" s="233"/>
      <c r="M24" s="239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F24" sqref="F24"/>
    </sheetView>
  </sheetViews>
  <sheetFormatPr defaultColWidth="9" defaultRowHeight="14.5"/>
  <cols>
    <col min="1" max="1" width="5.12727272727273" style="173" customWidth="1"/>
    <col min="2" max="2" width="32.6272727272727" style="173" customWidth="1"/>
    <col min="3" max="3" width="14.5" style="174" customWidth="1"/>
    <col min="4" max="5" width="14.7545454545455" style="174" customWidth="1"/>
    <col min="6" max="6" width="16.5" style="174" customWidth="1"/>
    <col min="7" max="7" width="15.5" style="173" customWidth="1"/>
    <col min="8" max="33" width="9" style="173"/>
    <col min="34" max="34" width="4.37272727272727" style="173" customWidth="1"/>
    <col min="35" max="35" width="13.8727272727273" style="173" customWidth="1"/>
    <col min="36" max="16384" width="9" style="173"/>
  </cols>
  <sheetData>
    <row r="1" ht="27" customHeight="1" spans="1:7">
      <c r="A1" s="175" t="s">
        <v>51</v>
      </c>
      <c r="B1" s="175"/>
      <c r="C1" s="175"/>
      <c r="D1" s="175"/>
      <c r="E1" s="175"/>
      <c r="F1" s="175"/>
      <c r="G1" s="88" t="s">
        <v>52</v>
      </c>
    </row>
    <row r="2" ht="15.75" customHeight="1" spans="1:36">
      <c r="A2" s="176" t="s">
        <v>21</v>
      </c>
      <c r="B2" s="177" t="s">
        <v>1</v>
      </c>
      <c r="C2" s="177" t="s">
        <v>53</v>
      </c>
      <c r="D2" s="177" t="s">
        <v>54</v>
      </c>
      <c r="E2" s="177" t="s">
        <v>55</v>
      </c>
      <c r="F2" s="178" t="s">
        <v>56</v>
      </c>
      <c r="AJ2" s="173" t="s">
        <v>57</v>
      </c>
    </row>
    <row r="3" s="139" customFormat="1" ht="15.75" customHeight="1" spans="1:36">
      <c r="A3" s="179"/>
      <c r="B3" s="151" t="s">
        <v>3</v>
      </c>
      <c r="C3" s="180">
        <f>'2025年'!E6</f>
        <v>3000</v>
      </c>
      <c r="D3" s="180">
        <f>'2026年'!E6</f>
        <v>6000</v>
      </c>
      <c r="E3" s="180">
        <f>'2027年'!E6</f>
        <v>6000</v>
      </c>
      <c r="F3" s="180">
        <f t="shared" ref="F3:F7" si="0">SUM(C3:E3)</f>
        <v>15000</v>
      </c>
      <c r="G3" s="154"/>
      <c r="AH3" s="150" t="s">
        <v>21</v>
      </c>
      <c r="AI3" s="151" t="s">
        <v>3</v>
      </c>
      <c r="AJ3" s="139" t="s">
        <v>58</v>
      </c>
    </row>
    <row r="4" s="139" customFormat="1" ht="15.75" customHeight="1" spans="1:36">
      <c r="A4" s="141">
        <v>1</v>
      </c>
      <c r="B4" s="151" t="s">
        <v>59</v>
      </c>
      <c r="C4" s="180">
        <f>'2025年'!E7</f>
        <v>3185838</v>
      </c>
      <c r="D4" s="180">
        <f>'2026年'!E7</f>
        <v>6371676</v>
      </c>
      <c r="E4" s="180">
        <f>'2027年'!E7</f>
        <v>6371676</v>
      </c>
      <c r="F4" s="180">
        <f t="shared" si="0"/>
        <v>15929190</v>
      </c>
      <c r="G4" s="154"/>
      <c r="AH4" s="150" t="s">
        <v>60</v>
      </c>
      <c r="AI4" s="151" t="s">
        <v>59</v>
      </c>
      <c r="AJ4" s="139" t="s">
        <v>58</v>
      </c>
    </row>
    <row r="5" s="139" customFormat="1" ht="15.75" customHeight="1" spans="1:36">
      <c r="A5" s="141">
        <v>2</v>
      </c>
      <c r="B5" s="141" t="s">
        <v>61</v>
      </c>
      <c r="C5" s="180">
        <f>'2025年'!E8</f>
        <v>0</v>
      </c>
      <c r="D5" s="180">
        <f>'2026年'!E8</f>
        <v>0</v>
      </c>
      <c r="E5" s="180">
        <f>'2027年'!E8</f>
        <v>0</v>
      </c>
      <c r="F5" s="180">
        <f t="shared" si="0"/>
        <v>0</v>
      </c>
      <c r="G5" s="154"/>
      <c r="AH5" s="150" t="s">
        <v>62</v>
      </c>
      <c r="AI5" s="141" t="s">
        <v>63</v>
      </c>
      <c r="AJ5" s="139" t="s">
        <v>58</v>
      </c>
    </row>
    <row r="6" s="139" customFormat="1" ht="15.75" customHeight="1" spans="1:36">
      <c r="A6" s="141">
        <v>3</v>
      </c>
      <c r="B6" s="151" t="s">
        <v>64</v>
      </c>
      <c r="C6" s="181">
        <f>C4-C5</f>
        <v>3185838</v>
      </c>
      <c r="D6" s="181">
        <f>'2026年'!E9</f>
        <v>6371676</v>
      </c>
      <c r="E6" s="180">
        <f>'2027年'!E9</f>
        <v>6371676</v>
      </c>
      <c r="F6" s="180">
        <f t="shared" si="0"/>
        <v>15929190</v>
      </c>
      <c r="G6" s="154"/>
      <c r="AH6" s="150" t="s">
        <v>65</v>
      </c>
      <c r="AI6" s="151" t="s">
        <v>64</v>
      </c>
      <c r="AJ6" s="139" t="s">
        <v>66</v>
      </c>
    </row>
    <row r="7" s="139" customFormat="1" ht="15.75" customHeight="1" spans="1:36">
      <c r="A7" s="141">
        <v>4</v>
      </c>
      <c r="B7" s="150" t="s">
        <v>67</v>
      </c>
      <c r="C7" s="180">
        <f>'2025年'!E10</f>
        <v>2297055</v>
      </c>
      <c r="D7" s="181">
        <f>'2026年'!E10</f>
        <v>4594110</v>
      </c>
      <c r="E7" s="180">
        <f>'2027年'!E10</f>
        <v>4594110</v>
      </c>
      <c r="F7" s="180">
        <f t="shared" si="0"/>
        <v>11485275</v>
      </c>
      <c r="G7" s="154"/>
      <c r="AH7" s="150" t="s">
        <v>68</v>
      </c>
      <c r="AI7" s="150" t="s">
        <v>69</v>
      </c>
      <c r="AJ7" s="139" t="s">
        <v>70</v>
      </c>
    </row>
    <row r="8" s="139" customFormat="1" ht="15.75" customHeight="1" spans="1:35">
      <c r="A8" s="141">
        <v>5</v>
      </c>
      <c r="B8" s="150" t="s">
        <v>71</v>
      </c>
      <c r="C8" s="180">
        <f>'2025年'!E11</f>
        <v>99003.0705</v>
      </c>
      <c r="D8" s="181">
        <f>'2026年'!E11</f>
        <v>198006.141</v>
      </c>
      <c r="E8" s="180">
        <f>'2027年'!E11</f>
        <v>198006.141</v>
      </c>
      <c r="F8" s="180">
        <f t="shared" ref="F8:F19" si="1">SUM(C8:E8)</f>
        <v>495015.3525</v>
      </c>
      <c r="G8" s="154"/>
      <c r="AH8" s="150" t="s">
        <v>72</v>
      </c>
      <c r="AI8" s="150" t="s">
        <v>71</v>
      </c>
    </row>
    <row r="9" s="139" customFormat="1" ht="15.75" customHeight="1" spans="1:35">
      <c r="A9" s="141">
        <v>6</v>
      </c>
      <c r="B9" s="150" t="s">
        <v>73</v>
      </c>
      <c r="C9" s="180">
        <f>'2025年'!E12</f>
        <v>49846.0935</v>
      </c>
      <c r="D9" s="181">
        <f>'2026年'!E12</f>
        <v>99692.187</v>
      </c>
      <c r="E9" s="180">
        <f>'2027年'!E12</f>
        <v>99692.187</v>
      </c>
      <c r="F9" s="180">
        <f t="shared" si="1"/>
        <v>249230.4675</v>
      </c>
      <c r="G9" s="154"/>
      <c r="AH9" s="150" t="s">
        <v>74</v>
      </c>
      <c r="AI9" s="150" t="s">
        <v>73</v>
      </c>
    </row>
    <row r="10" s="139" customFormat="1" ht="15.75" customHeight="1" spans="1:36">
      <c r="A10" s="141">
        <v>7</v>
      </c>
      <c r="B10" s="150" t="s">
        <v>75</v>
      </c>
      <c r="C10" s="180">
        <f>'2025年'!E13</f>
        <v>101070.42</v>
      </c>
      <c r="D10" s="181">
        <f>'2026年'!E13</f>
        <v>202140.84</v>
      </c>
      <c r="E10" s="180">
        <f>'2027年'!E13</f>
        <v>202140.84</v>
      </c>
      <c r="F10" s="180">
        <f t="shared" si="1"/>
        <v>505352.1</v>
      </c>
      <c r="G10" s="154"/>
      <c r="AH10" s="150" t="s">
        <v>76</v>
      </c>
      <c r="AI10" s="150" t="s">
        <v>75</v>
      </c>
      <c r="AJ10" s="139" t="s">
        <v>58</v>
      </c>
    </row>
    <row r="11" s="139" customFormat="1" ht="15.75" customHeight="1" spans="1:35">
      <c r="A11" s="141">
        <v>8</v>
      </c>
      <c r="B11" s="182" t="s">
        <v>77</v>
      </c>
      <c r="C11" s="183">
        <f>SUM(C8:C10)</f>
        <v>249919.584</v>
      </c>
      <c r="D11" s="183">
        <f>SUM(D8:D10)</f>
        <v>499839.168</v>
      </c>
      <c r="E11" s="183">
        <f>SUM(E8:E10)</f>
        <v>499839.168</v>
      </c>
      <c r="F11" s="183">
        <f>SUM(F8:F10)</f>
        <v>1249597.92</v>
      </c>
      <c r="G11" s="154"/>
      <c r="AH11" s="150" t="s">
        <v>78</v>
      </c>
      <c r="AI11" s="155" t="s">
        <v>77</v>
      </c>
    </row>
    <row r="12" s="139" customFormat="1" ht="15.75" customHeight="1" spans="1:35">
      <c r="A12" s="141">
        <v>9</v>
      </c>
      <c r="B12" s="184" t="s">
        <v>79</v>
      </c>
      <c r="C12" s="180">
        <f>'2025年'!E15</f>
        <v>638863.416</v>
      </c>
      <c r="D12" s="181">
        <f>'2026年'!E15</f>
        <v>1277726.832</v>
      </c>
      <c r="E12" s="180">
        <f>'2027年'!E15</f>
        <v>1277726.832</v>
      </c>
      <c r="F12" s="180">
        <f>SUM(C12:E12)</f>
        <v>3194317.08</v>
      </c>
      <c r="G12" s="154"/>
      <c r="I12" s="173"/>
      <c r="J12" s="173"/>
      <c r="K12" s="173"/>
      <c r="L12" s="173"/>
      <c r="M12" s="173"/>
      <c r="N12" s="173"/>
      <c r="AH12" s="150" t="s">
        <v>80</v>
      </c>
      <c r="AI12" s="155" t="s">
        <v>79</v>
      </c>
    </row>
    <row r="13" ht="15.75" customHeight="1" spans="1:35">
      <c r="A13" s="141">
        <v>10</v>
      </c>
      <c r="B13" s="185" t="s">
        <v>81</v>
      </c>
      <c r="C13" s="186">
        <f t="shared" ref="C13:F13" si="2">+C12/C6</f>
        <v>0.200532298252454</v>
      </c>
      <c r="D13" s="186">
        <f t="shared" si="2"/>
        <v>0.200532298252454</v>
      </c>
      <c r="E13" s="186">
        <f t="shared" si="2"/>
        <v>0.200532298252454</v>
      </c>
      <c r="F13" s="186">
        <f t="shared" si="2"/>
        <v>0.200532298252454</v>
      </c>
      <c r="G13" s="154"/>
      <c r="AH13" s="185" t="s">
        <v>82</v>
      </c>
      <c r="AI13" s="185" t="s">
        <v>81</v>
      </c>
    </row>
    <row r="14" ht="15.75" customHeight="1" spans="1:35">
      <c r="A14" s="141">
        <v>11</v>
      </c>
      <c r="B14" s="185" t="s">
        <v>83</v>
      </c>
      <c r="C14" s="180">
        <f>'2025年'!E17</f>
        <v>271829.255</v>
      </c>
      <c r="D14" s="181">
        <f>'2026年'!E17</f>
        <v>366008.51</v>
      </c>
      <c r="E14" s="180">
        <f>'2027年'!E17</f>
        <v>366008.51</v>
      </c>
      <c r="F14" s="180">
        <f t="shared" si="1"/>
        <v>1003846.275</v>
      </c>
      <c r="G14" s="154"/>
      <c r="AH14" s="185" t="s">
        <v>84</v>
      </c>
      <c r="AI14" s="185" t="s">
        <v>83</v>
      </c>
    </row>
    <row r="15" ht="15.75" customHeight="1" spans="1:35">
      <c r="A15" s="141"/>
      <c r="B15" s="185"/>
      <c r="C15" s="180"/>
      <c r="D15" s="180"/>
      <c r="E15" s="180"/>
      <c r="F15" s="180">
        <f t="shared" si="1"/>
        <v>0</v>
      </c>
      <c r="G15" s="154"/>
      <c r="AH15" s="185"/>
      <c r="AI15" s="185"/>
    </row>
    <row r="16" ht="15.75" customHeight="1" spans="1:36">
      <c r="A16" s="141">
        <v>12</v>
      </c>
      <c r="B16" s="185" t="s">
        <v>85</v>
      </c>
      <c r="C16" s="187">
        <f>'2025年'!E19</f>
        <v>16079.385</v>
      </c>
      <c r="D16" s="187">
        <f>'2026年'!E19</f>
        <v>32158.77</v>
      </c>
      <c r="E16" s="180">
        <f>'2027年'!E19</f>
        <v>32158.77</v>
      </c>
      <c r="F16" s="180">
        <f t="shared" si="1"/>
        <v>80396.925</v>
      </c>
      <c r="G16" s="154"/>
      <c r="O16" s="154"/>
      <c r="AH16" s="185" t="s">
        <v>86</v>
      </c>
      <c r="AI16" s="185" t="s">
        <v>85</v>
      </c>
      <c r="AJ16" s="173" t="s">
        <v>58</v>
      </c>
    </row>
    <row r="17" ht="15.75" customHeight="1" spans="1:35">
      <c r="A17" s="141">
        <v>13</v>
      </c>
      <c r="B17" s="185" t="s">
        <v>87</v>
      </c>
      <c r="C17" s="187">
        <f>'2025年'!E20</f>
        <v>78099.87</v>
      </c>
      <c r="D17" s="187">
        <f>'2026年'!E20</f>
        <v>156199.74</v>
      </c>
      <c r="E17" s="180">
        <f>'2027年'!E20</f>
        <v>156199.74</v>
      </c>
      <c r="F17" s="180">
        <f t="shared" si="1"/>
        <v>390499.35</v>
      </c>
      <c r="G17" s="154"/>
      <c r="AH17" s="185" t="s">
        <v>88</v>
      </c>
      <c r="AI17" s="185" t="s">
        <v>87</v>
      </c>
    </row>
    <row r="18" s="138" customFormat="1" ht="15.75" customHeight="1" spans="1:35">
      <c r="A18" s="141">
        <v>14</v>
      </c>
      <c r="B18" s="162" t="s">
        <v>89</v>
      </c>
      <c r="C18" s="188">
        <f>'2025年'!E21</f>
        <v>49566.6666666667</v>
      </c>
      <c r="D18" s="188">
        <f>'2026年'!E21</f>
        <v>49566.6666666667</v>
      </c>
      <c r="E18" s="188">
        <f>'2027年'!E21</f>
        <v>49566.6666666667</v>
      </c>
      <c r="F18" s="180">
        <f t="shared" si="1"/>
        <v>148700</v>
      </c>
      <c r="G18" s="154"/>
      <c r="AH18" s="162"/>
      <c r="AI18" s="162"/>
    </row>
    <row r="19" s="139" customFormat="1" ht="15.75" customHeight="1" spans="1:35">
      <c r="A19" s="141">
        <v>15</v>
      </c>
      <c r="B19" s="150" t="s">
        <v>90</v>
      </c>
      <c r="C19" s="187">
        <f>'2025年'!E22</f>
        <v>68911.65</v>
      </c>
      <c r="D19" s="187">
        <f>'2026年'!E22</f>
        <v>137823.3</v>
      </c>
      <c r="E19" s="180">
        <f>'2027年'!E22</f>
        <v>137823.3</v>
      </c>
      <c r="F19" s="180">
        <f t="shared" si="1"/>
        <v>344558.25</v>
      </c>
      <c r="G19" s="154"/>
      <c r="AH19" s="150" t="s">
        <v>91</v>
      </c>
      <c r="AI19" s="150" t="s">
        <v>90</v>
      </c>
    </row>
    <row r="20" s="171" customFormat="1" ht="15.75" customHeight="1" spans="1:35">
      <c r="A20" s="141">
        <v>16</v>
      </c>
      <c r="B20" s="189" t="s">
        <v>92</v>
      </c>
      <c r="C20" s="183">
        <f t="shared" ref="C20:F20" si="3">+C19+C18+C17+C16+C14</f>
        <v>484486.826666667</v>
      </c>
      <c r="D20" s="183">
        <f t="shared" si="3"/>
        <v>741756.986666667</v>
      </c>
      <c r="E20" s="183">
        <f t="shared" si="3"/>
        <v>741756.986666667</v>
      </c>
      <c r="F20" s="183">
        <f t="shared" si="3"/>
        <v>1968000.8</v>
      </c>
      <c r="G20" s="154"/>
      <c r="AH20" s="201" t="s">
        <v>93</v>
      </c>
      <c r="AI20" s="202" t="s">
        <v>92</v>
      </c>
    </row>
    <row r="21" ht="15.75" customHeight="1" spans="1:35">
      <c r="A21" s="141">
        <v>17</v>
      </c>
      <c r="B21" s="185" t="s">
        <v>94</v>
      </c>
      <c r="C21" s="190">
        <f>'2025年'!E24</f>
        <v>154376.589333333</v>
      </c>
      <c r="D21" s="190">
        <f>'2026年'!E24</f>
        <v>535969.845333333</v>
      </c>
      <c r="E21" s="180">
        <f>'2027年'!E24</f>
        <v>535969.845333333</v>
      </c>
      <c r="F21" s="180">
        <f>SUM(C21:E21)</f>
        <v>1226316.28</v>
      </c>
      <c r="G21" s="191" t="s">
        <v>52</v>
      </c>
      <c r="AH21" s="185" t="s">
        <v>95</v>
      </c>
      <c r="AI21" s="185" t="s">
        <v>94</v>
      </c>
    </row>
    <row r="22" ht="15.75" customHeight="1" spans="1:35">
      <c r="A22" s="141">
        <v>18</v>
      </c>
      <c r="B22" s="185" t="s">
        <v>38</v>
      </c>
      <c r="C22" s="190">
        <f>'2025年'!E25</f>
        <v>38594.1473333333</v>
      </c>
      <c r="D22" s="190">
        <f>'2026年'!E25</f>
        <v>133992.461333333</v>
      </c>
      <c r="E22" s="180">
        <f>'2027年'!E25</f>
        <v>133992.461333333</v>
      </c>
      <c r="F22" s="190"/>
      <c r="G22" s="154"/>
      <c r="AH22" s="185" t="s">
        <v>96</v>
      </c>
      <c r="AI22" s="185" t="s">
        <v>38</v>
      </c>
    </row>
    <row r="23" ht="15.75" customHeight="1" spans="1:35">
      <c r="A23" s="141">
        <v>19</v>
      </c>
      <c r="B23" s="185" t="s">
        <v>97</v>
      </c>
      <c r="C23" s="190">
        <f>'2025年'!E26</f>
        <v>108671.196666667</v>
      </c>
      <c r="D23" s="190">
        <f>'2026年'!E26</f>
        <v>535969.845333333</v>
      </c>
      <c r="E23" s="180">
        <f>'2027年'!E26</f>
        <v>535969.845333333</v>
      </c>
      <c r="F23" s="180">
        <f>SUM(C23:E23)</f>
        <v>1180610.88733333</v>
      </c>
      <c r="G23" s="191" t="s">
        <v>52</v>
      </c>
      <c r="AH23" s="185" t="s">
        <v>98</v>
      </c>
      <c r="AI23" s="185" t="s">
        <v>97</v>
      </c>
    </row>
    <row r="24" ht="15.75" customHeight="1" spans="1:35">
      <c r="A24" s="141">
        <v>20</v>
      </c>
      <c r="B24" s="185" t="s">
        <v>99</v>
      </c>
      <c r="C24" s="192">
        <f t="shared" ref="C24:F24" si="4">C23/C4</f>
        <v>0.0341107101700296</v>
      </c>
      <c r="D24" s="192">
        <f t="shared" si="4"/>
        <v>0.0841175611147418</v>
      </c>
      <c r="E24" s="192">
        <f t="shared" si="4"/>
        <v>0.0841175611147418</v>
      </c>
      <c r="F24" s="192">
        <f t="shared" si="4"/>
        <v>0.0741161909257993</v>
      </c>
      <c r="G24" s="191" t="s">
        <v>52</v>
      </c>
      <c r="AH24" s="203" t="s">
        <v>100</v>
      </c>
      <c r="AI24" s="203" t="s">
        <v>101</v>
      </c>
    </row>
    <row r="25" s="172" customFormat="1" ht="15.75" customHeight="1" spans="3:7">
      <c r="C25" s="193"/>
      <c r="D25" s="193"/>
      <c r="E25" s="193"/>
      <c r="F25" s="193"/>
      <c r="G25" s="194"/>
    </row>
    <row r="26" s="172" customFormat="1" ht="15.75" customHeight="1" spans="1:34">
      <c r="A26" s="172" t="s">
        <v>102</v>
      </c>
      <c r="C26" s="195"/>
      <c r="D26" s="195"/>
      <c r="E26" s="195"/>
      <c r="F26" s="195"/>
      <c r="G26" s="194"/>
      <c r="AH26" s="172" t="s">
        <v>102</v>
      </c>
    </row>
    <row r="27" ht="15.75" customHeight="1" spans="1:36">
      <c r="A27" s="185" t="s">
        <v>21</v>
      </c>
      <c r="B27" s="196" t="s">
        <v>1</v>
      </c>
      <c r="C27" s="177" t="s">
        <v>53</v>
      </c>
      <c r="D27" s="177" t="s">
        <v>54</v>
      </c>
      <c r="E27" s="177" t="s">
        <v>55</v>
      </c>
      <c r="F27" s="178" t="s">
        <v>56</v>
      </c>
      <c r="AJ27" s="173" t="s">
        <v>57</v>
      </c>
    </row>
    <row r="28" s="139" customFormat="1" ht="15.75" customHeight="1" spans="1:35">
      <c r="A28" s="150" t="s">
        <v>103</v>
      </c>
      <c r="B28" s="155" t="s">
        <v>104</v>
      </c>
      <c r="C28" s="161"/>
      <c r="D28" s="161"/>
      <c r="E28" s="161"/>
      <c r="F28" s="161"/>
      <c r="G28" s="154"/>
      <c r="AH28" s="150" t="s">
        <v>105</v>
      </c>
      <c r="AI28" s="155" t="s">
        <v>104</v>
      </c>
    </row>
    <row r="29" s="139" customFormat="1" ht="15.75" customHeight="1" spans="1:35">
      <c r="A29" s="150" t="s">
        <v>60</v>
      </c>
      <c r="B29" s="150" t="s">
        <v>106</v>
      </c>
      <c r="C29" s="153">
        <f t="shared" ref="C29:F29" si="5">+C6/C3</f>
        <v>1061.946</v>
      </c>
      <c r="D29" s="153">
        <f t="shared" si="5"/>
        <v>1061.946</v>
      </c>
      <c r="E29" s="153">
        <f t="shared" si="5"/>
        <v>1061.946</v>
      </c>
      <c r="F29" s="153">
        <f t="shared" si="5"/>
        <v>1061.946</v>
      </c>
      <c r="G29" s="154"/>
      <c r="AH29" s="150" t="s">
        <v>60</v>
      </c>
      <c r="AI29" s="150" t="s">
        <v>106</v>
      </c>
    </row>
    <row r="30" s="139" customFormat="1" ht="15.75" customHeight="1" spans="1:35">
      <c r="A30" s="150" t="s">
        <v>62</v>
      </c>
      <c r="B30" s="150" t="s">
        <v>107</v>
      </c>
      <c r="C30" s="153">
        <f t="shared" ref="C30:F30" si="6">+C7/C3</f>
        <v>765.685</v>
      </c>
      <c r="D30" s="153">
        <f t="shared" si="6"/>
        <v>765.685</v>
      </c>
      <c r="E30" s="153">
        <f t="shared" si="6"/>
        <v>765.685</v>
      </c>
      <c r="F30" s="153">
        <f t="shared" si="6"/>
        <v>765.685</v>
      </c>
      <c r="G30" s="154"/>
      <c r="AH30" s="150" t="s">
        <v>62</v>
      </c>
      <c r="AI30" s="150" t="s">
        <v>107</v>
      </c>
    </row>
    <row r="31" s="139" customFormat="1" ht="15.75" customHeight="1" spans="1:35">
      <c r="A31" s="150" t="s">
        <v>108</v>
      </c>
      <c r="B31" s="150" t="s">
        <v>109</v>
      </c>
      <c r="C31" s="161">
        <f t="shared" ref="C31:F31" si="7">C29-C30</f>
        <v>296.261</v>
      </c>
      <c r="D31" s="161">
        <f t="shared" si="7"/>
        <v>296.261</v>
      </c>
      <c r="E31" s="161">
        <f t="shared" si="7"/>
        <v>296.261</v>
      </c>
      <c r="F31" s="161">
        <f t="shared" si="7"/>
        <v>296.261</v>
      </c>
      <c r="G31" s="154"/>
      <c r="AH31" s="150" t="s">
        <v>108</v>
      </c>
      <c r="AI31" s="150" t="s">
        <v>109</v>
      </c>
    </row>
    <row r="32" s="139" customFormat="1" ht="15.75" customHeight="1" spans="1:35">
      <c r="A32" s="150">
        <v>3.1</v>
      </c>
      <c r="B32" s="150" t="s">
        <v>110</v>
      </c>
      <c r="C32" s="156">
        <f t="shared" ref="C32:F32" si="8">C31/C29</f>
        <v>0.278979345465777</v>
      </c>
      <c r="D32" s="156">
        <f t="shared" si="8"/>
        <v>0.278979345465777</v>
      </c>
      <c r="E32" s="156">
        <f t="shared" si="8"/>
        <v>0.278979345465777</v>
      </c>
      <c r="F32" s="156">
        <f t="shared" si="8"/>
        <v>0.278979345465777</v>
      </c>
      <c r="G32" s="154"/>
      <c r="AH32" s="150"/>
      <c r="AI32" s="150"/>
    </row>
    <row r="33" s="139" customFormat="1" ht="15.75" customHeight="1" spans="1:35">
      <c r="A33" s="150" t="s">
        <v>105</v>
      </c>
      <c r="B33" s="155" t="s">
        <v>10</v>
      </c>
      <c r="C33" s="161"/>
      <c r="D33" s="161"/>
      <c r="E33" s="161"/>
      <c r="F33" s="161"/>
      <c r="G33" s="154"/>
      <c r="AH33" s="150" t="s">
        <v>111</v>
      </c>
      <c r="AI33" s="155" t="s">
        <v>10</v>
      </c>
    </row>
    <row r="34" s="139" customFormat="1" ht="15.75" customHeight="1" spans="1:35">
      <c r="A34" s="150" t="s">
        <v>60</v>
      </c>
      <c r="B34" s="162" t="s">
        <v>112</v>
      </c>
      <c r="C34" s="153">
        <f t="shared" ref="C34:F34" si="9">+C8/C3</f>
        <v>33.0010235</v>
      </c>
      <c r="D34" s="153">
        <f t="shared" si="9"/>
        <v>33.0010235</v>
      </c>
      <c r="E34" s="153">
        <f t="shared" si="9"/>
        <v>33.0010235</v>
      </c>
      <c r="F34" s="153">
        <f t="shared" si="9"/>
        <v>33.0010235</v>
      </c>
      <c r="G34" s="154"/>
      <c r="AH34" s="150" t="s">
        <v>108</v>
      </c>
      <c r="AI34" s="150" t="s">
        <v>112</v>
      </c>
    </row>
    <row r="35" s="139" customFormat="1" ht="15.75" customHeight="1" spans="1:35">
      <c r="A35" s="150" t="s">
        <v>62</v>
      </c>
      <c r="B35" s="162" t="s">
        <v>113</v>
      </c>
      <c r="C35" s="153">
        <f t="shared" ref="C35:F35" si="10">+C9/C3</f>
        <v>16.6153645</v>
      </c>
      <c r="D35" s="153">
        <f t="shared" si="10"/>
        <v>16.6153645</v>
      </c>
      <c r="E35" s="153">
        <f t="shared" si="10"/>
        <v>16.6153645</v>
      </c>
      <c r="F35" s="153">
        <f t="shared" si="10"/>
        <v>16.6153645</v>
      </c>
      <c r="G35" s="154"/>
      <c r="AH35" s="150" t="s">
        <v>65</v>
      </c>
      <c r="AI35" s="150" t="s">
        <v>113</v>
      </c>
    </row>
    <row r="36" s="139" customFormat="1" ht="15.75" customHeight="1" spans="1:35">
      <c r="A36" s="150" t="s">
        <v>108</v>
      </c>
      <c r="B36" s="162" t="s">
        <v>114</v>
      </c>
      <c r="C36" s="153">
        <f t="shared" ref="C36:F36" si="11">+C10/C3</f>
        <v>33.69014</v>
      </c>
      <c r="D36" s="153">
        <f t="shared" si="11"/>
        <v>33.69014</v>
      </c>
      <c r="E36" s="153">
        <f t="shared" si="11"/>
        <v>33.69014</v>
      </c>
      <c r="F36" s="153">
        <f t="shared" si="11"/>
        <v>33.69014</v>
      </c>
      <c r="G36" s="154"/>
      <c r="AH36" s="150" t="s">
        <v>72</v>
      </c>
      <c r="AI36" s="150" t="s">
        <v>114</v>
      </c>
    </row>
    <row r="37" s="139" customFormat="1" ht="15.75" customHeight="1" spans="1:35">
      <c r="A37" s="150" t="s">
        <v>115</v>
      </c>
      <c r="B37" s="184" t="s">
        <v>116</v>
      </c>
      <c r="C37" s="153"/>
      <c r="D37" s="153"/>
      <c r="E37" s="153"/>
      <c r="F37" s="153"/>
      <c r="G37" s="154"/>
      <c r="AH37" s="150" t="s">
        <v>115</v>
      </c>
      <c r="AI37" s="155" t="s">
        <v>116</v>
      </c>
    </row>
    <row r="38" s="139" customFormat="1" spans="1:35">
      <c r="A38" s="150" t="s">
        <v>60</v>
      </c>
      <c r="B38" s="162" t="s">
        <v>117</v>
      </c>
      <c r="C38" s="153">
        <f t="shared" ref="C38:F38" si="12">+C12/C3</f>
        <v>212.954472</v>
      </c>
      <c r="D38" s="153">
        <f t="shared" si="12"/>
        <v>212.954472</v>
      </c>
      <c r="E38" s="153">
        <f t="shared" si="12"/>
        <v>212.954472</v>
      </c>
      <c r="F38" s="153">
        <f t="shared" si="12"/>
        <v>212.954472</v>
      </c>
      <c r="G38" s="154"/>
      <c r="AH38" s="150" t="s">
        <v>60</v>
      </c>
      <c r="AI38" s="150" t="s">
        <v>118</v>
      </c>
    </row>
    <row r="39" s="139" customFormat="1" ht="15.75" customHeight="1" spans="1:35">
      <c r="A39" s="150" t="s">
        <v>62</v>
      </c>
      <c r="B39" s="162" t="s">
        <v>119</v>
      </c>
      <c r="C39" s="180">
        <f>+C20/C38</f>
        <v>2275.07232938816</v>
      </c>
      <c r="D39" s="180">
        <f t="shared" ref="D39:F39" si="13">+D20/D38</f>
        <v>3483.17168313172</v>
      </c>
      <c r="E39" s="180">
        <f t="shared" si="13"/>
        <v>3483.17168313172</v>
      </c>
      <c r="F39" s="180">
        <f t="shared" si="13"/>
        <v>9241.4156956516</v>
      </c>
      <c r="G39" s="154"/>
      <c r="AH39" s="150" t="s">
        <v>62</v>
      </c>
      <c r="AI39" s="150" t="s">
        <v>119</v>
      </c>
    </row>
    <row r="40" s="139" customFormat="1" ht="15.75" customHeight="1" spans="1:35">
      <c r="A40" s="150" t="s">
        <v>120</v>
      </c>
      <c r="B40" s="155" t="s">
        <v>121</v>
      </c>
      <c r="C40" s="161"/>
      <c r="D40" s="161"/>
      <c r="E40" s="161"/>
      <c r="F40" s="161"/>
      <c r="G40" s="154"/>
      <c r="AH40" s="150" t="s">
        <v>120</v>
      </c>
      <c r="AI40" s="155" t="s">
        <v>121</v>
      </c>
    </row>
    <row r="41" s="139" customFormat="1" ht="15.75" customHeight="1" spans="1:35">
      <c r="A41" s="150" t="s">
        <v>60</v>
      </c>
      <c r="B41" s="150" t="s">
        <v>122</v>
      </c>
      <c r="C41" s="161">
        <f t="shared" ref="C41:F41" si="14">+C14/C3</f>
        <v>90.6097516666667</v>
      </c>
      <c r="D41" s="161">
        <f t="shared" si="14"/>
        <v>61.0014183333333</v>
      </c>
      <c r="E41" s="161">
        <f t="shared" si="14"/>
        <v>61.0014183333333</v>
      </c>
      <c r="F41" s="161">
        <f t="shared" si="14"/>
        <v>66.923085</v>
      </c>
      <c r="G41" s="154"/>
      <c r="AH41" s="150" t="s">
        <v>60</v>
      </c>
      <c r="AI41" s="150" t="s">
        <v>122</v>
      </c>
    </row>
    <row r="42" s="139" customFormat="1" ht="15.75" customHeight="1" spans="1:35">
      <c r="A42" s="150" t="s">
        <v>62</v>
      </c>
      <c r="B42" s="150" t="s">
        <v>123</v>
      </c>
      <c r="C42" s="161">
        <f t="shared" ref="C42:F42" si="15">+C16/C3</f>
        <v>5.359795</v>
      </c>
      <c r="D42" s="161">
        <f t="shared" si="15"/>
        <v>5.359795</v>
      </c>
      <c r="E42" s="161">
        <f t="shared" si="15"/>
        <v>5.359795</v>
      </c>
      <c r="F42" s="161">
        <f t="shared" si="15"/>
        <v>5.359795</v>
      </c>
      <c r="G42" s="154"/>
      <c r="AH42" s="150" t="s">
        <v>62</v>
      </c>
      <c r="AI42" s="150" t="s">
        <v>123</v>
      </c>
    </row>
    <row r="43" s="139" customFormat="1" ht="15.75" customHeight="1" spans="1:35">
      <c r="A43" s="150" t="s">
        <v>108</v>
      </c>
      <c r="B43" s="150" t="s">
        <v>124</v>
      </c>
      <c r="C43" s="161">
        <f>+C17/C3</f>
        <v>26.03329</v>
      </c>
      <c r="D43" s="161">
        <f t="shared" ref="D43:F43" si="16">+D17/D3</f>
        <v>26.03329</v>
      </c>
      <c r="E43" s="161">
        <f t="shared" si="16"/>
        <v>26.03329</v>
      </c>
      <c r="F43" s="161">
        <f t="shared" si="16"/>
        <v>26.03329</v>
      </c>
      <c r="G43" s="154"/>
      <c r="AH43" s="150" t="s">
        <v>108</v>
      </c>
      <c r="AI43" s="150" t="s">
        <v>124</v>
      </c>
    </row>
    <row r="44" s="139" customFormat="1" ht="15.75" customHeight="1" spans="1:35">
      <c r="A44" s="150" t="s">
        <v>65</v>
      </c>
      <c r="B44" s="150" t="s">
        <v>125</v>
      </c>
      <c r="C44" s="161">
        <f t="shared" ref="C44:F44" si="17">C18/C3</f>
        <v>16.5222222222222</v>
      </c>
      <c r="D44" s="161">
        <f t="shared" si="17"/>
        <v>8.26111111111111</v>
      </c>
      <c r="E44" s="161">
        <f t="shared" si="17"/>
        <v>8.26111111111111</v>
      </c>
      <c r="F44" s="161">
        <f t="shared" si="17"/>
        <v>9.91333333333333</v>
      </c>
      <c r="G44" s="154"/>
      <c r="AH44" s="150" t="s">
        <v>65</v>
      </c>
      <c r="AI44" s="150" t="s">
        <v>126</v>
      </c>
    </row>
    <row r="45" s="139" customFormat="1" ht="15.75" customHeight="1" spans="1:35">
      <c r="A45" s="150" t="s">
        <v>68</v>
      </c>
      <c r="B45" s="150" t="s">
        <v>127</v>
      </c>
      <c r="C45" s="161">
        <f>C19/C3</f>
        <v>22.97055</v>
      </c>
      <c r="D45" s="161">
        <f>D19/D3</f>
        <v>22.97055</v>
      </c>
      <c r="E45" s="161">
        <f t="shared" ref="E45:F45" si="18">E19/E3</f>
        <v>22.97055</v>
      </c>
      <c r="F45" s="161">
        <f t="shared" si="18"/>
        <v>22.97055</v>
      </c>
      <c r="G45" s="154"/>
      <c r="AH45" s="150" t="s">
        <v>68</v>
      </c>
      <c r="AI45" s="150" t="s">
        <v>127</v>
      </c>
    </row>
    <row r="46" s="139" customFormat="1" ht="15.75" customHeight="1" spans="1:35">
      <c r="A46" s="150" t="s">
        <v>128</v>
      </c>
      <c r="B46" s="155" t="s">
        <v>129</v>
      </c>
      <c r="C46" s="161"/>
      <c r="D46" s="161"/>
      <c r="E46" s="161"/>
      <c r="F46" s="161"/>
      <c r="G46" s="154"/>
      <c r="AH46" s="150" t="s">
        <v>128</v>
      </c>
      <c r="AI46" s="155" t="s">
        <v>129</v>
      </c>
    </row>
    <row r="47" s="139" customFormat="1" ht="15.75" customHeight="1" spans="1:35">
      <c r="A47" s="150" t="s">
        <v>60</v>
      </c>
      <c r="B47" s="150" t="s">
        <v>130</v>
      </c>
      <c r="C47" s="165">
        <f t="shared" ref="C47:F47" si="19">+(C10+C16)/C6</f>
        <v>0.0367720533812454</v>
      </c>
      <c r="D47" s="165">
        <f t="shared" si="19"/>
        <v>0.0367720533812454</v>
      </c>
      <c r="E47" s="165">
        <f t="shared" si="19"/>
        <v>0.0367720533812454</v>
      </c>
      <c r="F47" s="165">
        <f t="shared" si="19"/>
        <v>0.0367720533812454</v>
      </c>
      <c r="G47" s="154"/>
      <c r="AH47" s="150" t="s">
        <v>60</v>
      </c>
      <c r="AI47" s="150" t="s">
        <v>130</v>
      </c>
    </row>
    <row r="48" s="139" customFormat="1" ht="15.75" customHeight="1" spans="1:35">
      <c r="A48" s="150" t="s">
        <v>62</v>
      </c>
      <c r="B48" s="150" t="s">
        <v>131</v>
      </c>
      <c r="C48" s="165">
        <f t="shared" ref="C48:F48" si="20">+(C8+C9+C14)/C6</f>
        <v>0.132046393758879</v>
      </c>
      <c r="D48" s="165">
        <f t="shared" si="20"/>
        <v>0.1041651895043</v>
      </c>
      <c r="E48" s="165">
        <f t="shared" si="20"/>
        <v>0.1041651895043</v>
      </c>
      <c r="F48" s="165">
        <f t="shared" si="20"/>
        <v>0.109741430355216</v>
      </c>
      <c r="G48" s="154"/>
      <c r="AH48" s="150" t="s">
        <v>62</v>
      </c>
      <c r="AI48" s="150" t="s">
        <v>131</v>
      </c>
    </row>
    <row r="49" s="139" customFormat="1" ht="15.75" customHeight="1" spans="1:35">
      <c r="A49" s="150" t="s">
        <v>108</v>
      </c>
      <c r="B49" s="150" t="s">
        <v>132</v>
      </c>
      <c r="C49" s="165">
        <f t="shared" ref="C49:F49" si="21">+C17/C6</f>
        <v>0.0245147022541636</v>
      </c>
      <c r="D49" s="165">
        <f t="shared" si="21"/>
        <v>0.0245147022541636</v>
      </c>
      <c r="E49" s="165">
        <f t="shared" si="21"/>
        <v>0.0245147022541636</v>
      </c>
      <c r="F49" s="165">
        <f t="shared" si="21"/>
        <v>0.0245147022541636</v>
      </c>
      <c r="G49" s="154"/>
      <c r="AH49" s="150" t="s">
        <v>108</v>
      </c>
      <c r="AI49" s="150" t="s">
        <v>132</v>
      </c>
    </row>
    <row r="50" s="139" customFormat="1" ht="15.75" customHeight="1" spans="1:35">
      <c r="A50" s="150" t="s">
        <v>65</v>
      </c>
      <c r="B50" s="150" t="s">
        <v>133</v>
      </c>
      <c r="C50" s="165">
        <f t="shared" ref="C50:F50" si="22">+C18/C6</f>
        <v>0.0155584391505992</v>
      </c>
      <c r="D50" s="165">
        <f t="shared" si="22"/>
        <v>0.0077792195752996</v>
      </c>
      <c r="E50" s="165">
        <f t="shared" si="22"/>
        <v>0.0077792195752996</v>
      </c>
      <c r="F50" s="165">
        <f t="shared" si="22"/>
        <v>0.00933506349035952</v>
      </c>
      <c r="G50" s="154"/>
      <c r="AH50" s="150" t="s">
        <v>65</v>
      </c>
      <c r="AI50" s="150" t="s">
        <v>133</v>
      </c>
    </row>
    <row r="51" s="139" customFormat="1" ht="15.75" customHeight="1" spans="1:35">
      <c r="A51" s="150" t="s">
        <v>68</v>
      </c>
      <c r="B51" s="150" t="s">
        <v>134</v>
      </c>
      <c r="C51" s="165">
        <f t="shared" ref="C51:F51" si="23">+C19/C6</f>
        <v>0.0216306196360267</v>
      </c>
      <c r="D51" s="165">
        <f t="shared" si="23"/>
        <v>0.0216306196360267</v>
      </c>
      <c r="E51" s="165">
        <f t="shared" si="23"/>
        <v>0.0216306196360267</v>
      </c>
      <c r="F51" s="165">
        <f t="shared" si="23"/>
        <v>0.0216306196360267</v>
      </c>
      <c r="G51" s="154"/>
      <c r="AH51" s="150" t="s">
        <v>68</v>
      </c>
      <c r="AI51" s="150" t="s">
        <v>134</v>
      </c>
    </row>
    <row r="52" s="139" customFormat="1" ht="15.75" customHeight="1" spans="1:35">
      <c r="A52" s="150" t="s">
        <v>72</v>
      </c>
      <c r="B52" s="150" t="s">
        <v>135</v>
      </c>
      <c r="C52" s="165">
        <f t="shared" ref="C52:F52" si="24">+C23/C6</f>
        <v>0.0341107101700296</v>
      </c>
      <c r="D52" s="165">
        <f t="shared" si="24"/>
        <v>0.0841175611147418</v>
      </c>
      <c r="E52" s="165">
        <f t="shared" si="24"/>
        <v>0.0841175611147418</v>
      </c>
      <c r="F52" s="165">
        <f t="shared" si="24"/>
        <v>0.0741161909257993</v>
      </c>
      <c r="G52" s="154"/>
      <c r="AH52" s="150" t="s">
        <v>72</v>
      </c>
      <c r="AI52" s="150" t="s">
        <v>136</v>
      </c>
    </row>
    <row r="53" s="139" customFormat="1" ht="15.75" customHeight="1" spans="1:35">
      <c r="A53" s="150" t="s">
        <v>137</v>
      </c>
      <c r="B53" s="155" t="s">
        <v>138</v>
      </c>
      <c r="C53" s="161">
        <f>+C21/C3</f>
        <v>51.4588631111111</v>
      </c>
      <c r="D53" s="161">
        <f t="shared" ref="D53:F53" si="25">+D21/D3</f>
        <v>89.3283075555555</v>
      </c>
      <c r="E53" s="161">
        <f t="shared" si="25"/>
        <v>89.3283075555555</v>
      </c>
      <c r="F53" s="161">
        <f t="shared" si="25"/>
        <v>81.7544186666667</v>
      </c>
      <c r="G53" s="154"/>
      <c r="AH53" s="150" t="s">
        <v>137</v>
      </c>
      <c r="AI53" s="155" t="s">
        <v>138</v>
      </c>
    </row>
    <row r="54" s="139" customFormat="1" ht="15.75" customHeight="1" spans="1:35">
      <c r="A54" s="150" t="s">
        <v>139</v>
      </c>
      <c r="B54" s="197" t="s">
        <v>140</v>
      </c>
      <c r="C54" s="161"/>
      <c r="D54" s="161"/>
      <c r="E54" s="161"/>
      <c r="F54" s="161"/>
      <c r="G54" s="154"/>
      <c r="AH54" s="150"/>
      <c r="AI54" s="155"/>
    </row>
    <row r="55" s="139" customFormat="1" ht="15.75" customHeight="1" spans="1:7">
      <c r="A55" s="150" t="s">
        <v>60</v>
      </c>
      <c r="B55" s="150" t="s">
        <v>141</v>
      </c>
      <c r="C55" s="161">
        <f>C56+C57</f>
        <v>709700</v>
      </c>
      <c r="D55" s="161"/>
      <c r="E55" s="161"/>
      <c r="F55" s="161"/>
      <c r="G55" s="154"/>
    </row>
    <row r="56" s="139" customFormat="1" ht="15.75" customHeight="1" spans="1:7">
      <c r="A56" s="150">
        <v>1.1</v>
      </c>
      <c r="B56" s="198" t="s">
        <v>142</v>
      </c>
      <c r="C56" s="161">
        <f>项目投资!B27</f>
        <v>148700</v>
      </c>
      <c r="D56" s="161"/>
      <c r="E56" s="161"/>
      <c r="F56" s="161"/>
      <c r="G56" s="154"/>
    </row>
    <row r="57" s="139" customFormat="1" ht="15.75" customHeight="1" spans="1:7">
      <c r="A57" s="150">
        <v>1.2</v>
      </c>
      <c r="B57" s="150" t="s">
        <v>143</v>
      </c>
      <c r="C57" s="161">
        <f>项目投资!B26</f>
        <v>561000</v>
      </c>
      <c r="D57" s="161"/>
      <c r="E57" s="161"/>
      <c r="F57" s="161"/>
      <c r="G57" s="154"/>
    </row>
    <row r="58" ht="15.75" customHeight="1" spans="1:7">
      <c r="A58" s="185" t="s">
        <v>62</v>
      </c>
      <c r="B58" s="185" t="s">
        <v>144</v>
      </c>
      <c r="C58" s="199">
        <f>C59+C60</f>
        <v>108671.196666667</v>
      </c>
      <c r="D58" s="199">
        <f t="shared" ref="D58:F58" si="26">D59+D60</f>
        <v>535969.845333333</v>
      </c>
      <c r="E58" s="199">
        <f t="shared" si="26"/>
        <v>535969.845333333</v>
      </c>
      <c r="F58" s="199">
        <f t="shared" si="26"/>
        <v>1180610.88733333</v>
      </c>
      <c r="G58" s="154"/>
    </row>
    <row r="59" ht="15.75" customHeight="1" spans="1:7">
      <c r="A59" s="185" t="s">
        <v>108</v>
      </c>
      <c r="B59" s="185" t="s">
        <v>145</v>
      </c>
      <c r="C59" s="199">
        <f t="shared" ref="C59:F59" si="27">C23</f>
        <v>108671.196666667</v>
      </c>
      <c r="D59" s="199">
        <f t="shared" si="27"/>
        <v>535969.845333333</v>
      </c>
      <c r="E59" s="199">
        <f t="shared" si="27"/>
        <v>535969.845333333</v>
      </c>
      <c r="F59" s="199">
        <f t="shared" si="27"/>
        <v>1180610.88733333</v>
      </c>
      <c r="G59" s="154"/>
    </row>
    <row r="60" ht="15.75" customHeight="1" spans="1:7">
      <c r="A60" s="185" t="s">
        <v>65</v>
      </c>
      <c r="B60" s="185" t="s">
        <v>146</v>
      </c>
      <c r="C60" s="199">
        <f>'[2]2023年'!I18</f>
        <v>0</v>
      </c>
      <c r="D60" s="199"/>
      <c r="E60" s="199"/>
      <c r="F60" s="199">
        <f>[2]项目投资!G26</f>
        <v>0</v>
      </c>
      <c r="G60" s="154"/>
    </row>
    <row r="61" ht="15.75" customHeight="1" spans="1:7">
      <c r="A61" s="185" t="s">
        <v>68</v>
      </c>
      <c r="B61" s="185" t="s">
        <v>147</v>
      </c>
      <c r="C61" s="200"/>
      <c r="D61" s="200"/>
      <c r="E61" s="200"/>
      <c r="F61" s="199"/>
      <c r="G61" s="154"/>
    </row>
    <row r="63" spans="2:2">
      <c r="B63"/>
    </row>
  </sheetData>
  <mergeCells count="2">
    <mergeCell ref="A1:F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E18" sqref="E18"/>
    </sheetView>
  </sheetViews>
  <sheetFormatPr defaultColWidth="9" defaultRowHeight="14.5"/>
  <cols>
    <col min="1" max="1" width="5.12727272727273" style="139" customWidth="1"/>
    <col min="2" max="2" width="17.5" style="139" customWidth="1"/>
    <col min="3" max="4" width="14.3636363636364" style="140" customWidth="1"/>
    <col min="5" max="5" width="18.7545454545455" style="140" customWidth="1"/>
    <col min="6" max="6" width="12.3727272727273" style="139" customWidth="1"/>
    <col min="7" max="7" width="10.1272727272727" style="139" customWidth="1"/>
    <col min="8" max="14" width="9" style="139" customWidth="1"/>
    <col min="15" max="15" width="9" style="139"/>
    <col min="16" max="16" width="9" style="139" hidden="1" customWidth="1"/>
    <col min="17" max="31" width="9" style="139"/>
    <col min="32" max="32" width="4.37272727272727" style="139" customWidth="1"/>
    <col min="33" max="33" width="13.8727272727273" style="139" customWidth="1"/>
    <col min="34" max="16384" width="9" style="139"/>
  </cols>
  <sheetData>
    <row r="1" spans="1:5">
      <c r="A1" s="141" t="s">
        <v>148</v>
      </c>
      <c r="B1" s="141"/>
      <c r="C1" s="142" t="s">
        <v>149</v>
      </c>
      <c r="D1" s="143"/>
      <c r="E1" s="144"/>
    </row>
    <row r="2" spans="1:5">
      <c r="A2" s="141" t="s">
        <v>150</v>
      </c>
      <c r="B2" s="141"/>
      <c r="C2" s="145" t="s">
        <v>151</v>
      </c>
      <c r="D2" s="145"/>
      <c r="E2" s="145"/>
    </row>
    <row r="3" ht="26" spans="1:5">
      <c r="A3" s="141" t="s">
        <v>152</v>
      </c>
      <c r="B3" s="141"/>
      <c r="C3" s="77" t="s">
        <v>153</v>
      </c>
      <c r="D3" s="77" t="s">
        <v>154</v>
      </c>
      <c r="E3" s="146" t="s">
        <v>56</v>
      </c>
    </row>
    <row r="4" spans="1:5">
      <c r="A4" s="141" t="s">
        <v>155</v>
      </c>
      <c r="B4" s="141"/>
      <c r="C4" s="79" t="s">
        <v>156</v>
      </c>
      <c r="D4" s="79" t="s">
        <v>157</v>
      </c>
      <c r="E4" s="147"/>
    </row>
    <row r="5" ht="115.5" spans="1:34">
      <c r="A5" s="141" t="s">
        <v>158</v>
      </c>
      <c r="B5" s="141"/>
      <c r="C5" s="148" t="s">
        <v>159</v>
      </c>
      <c r="D5" s="148" t="s">
        <v>160</v>
      </c>
      <c r="E5" s="149"/>
      <c r="AH5" s="139" t="s">
        <v>57</v>
      </c>
    </row>
    <row r="6" ht="16.5" spans="1:34">
      <c r="A6" s="150" t="s">
        <v>21</v>
      </c>
      <c r="B6" s="151" t="s">
        <v>161</v>
      </c>
      <c r="C6" s="152">
        <f>销量!C9</f>
        <v>1500</v>
      </c>
      <c r="D6" s="152">
        <f>销量!D9</f>
        <v>1500</v>
      </c>
      <c r="E6" s="153">
        <f>+SUM(C6:D6)</f>
        <v>3000</v>
      </c>
      <c r="P6" s="151" t="s">
        <v>3</v>
      </c>
      <c r="AF6" s="150" t="s">
        <v>21</v>
      </c>
      <c r="AG6" s="151" t="s">
        <v>3</v>
      </c>
      <c r="AH6" s="139" t="s">
        <v>58</v>
      </c>
    </row>
    <row r="7" spans="1:34">
      <c r="A7" s="141">
        <v>1</v>
      </c>
      <c r="B7" s="151" t="s">
        <v>59</v>
      </c>
      <c r="C7" s="153">
        <f>C6*销量!C8</f>
        <v>2654868</v>
      </c>
      <c r="D7" s="153">
        <f>D6*销量!D8</f>
        <v>530970</v>
      </c>
      <c r="E7" s="153">
        <f t="shared" ref="E7:E15" si="0">+SUM(C7:D7)</f>
        <v>3185838</v>
      </c>
      <c r="F7" s="140"/>
      <c r="P7" s="151" t="s">
        <v>59</v>
      </c>
      <c r="AF7" s="150" t="s">
        <v>60</v>
      </c>
      <c r="AG7" s="151" t="s">
        <v>59</v>
      </c>
      <c r="AH7" s="139" t="s">
        <v>58</v>
      </c>
    </row>
    <row r="8" spans="1:34">
      <c r="A8" s="141">
        <v>2</v>
      </c>
      <c r="B8" s="141" t="s">
        <v>61</v>
      </c>
      <c r="C8" s="153"/>
      <c r="D8" s="153"/>
      <c r="E8" s="153">
        <f t="shared" si="0"/>
        <v>0</v>
      </c>
      <c r="F8" s="154"/>
      <c r="P8" s="141" t="s">
        <v>63</v>
      </c>
      <c r="AF8" s="150" t="s">
        <v>62</v>
      </c>
      <c r="AG8" s="141" t="s">
        <v>63</v>
      </c>
      <c r="AH8" s="139" t="s">
        <v>58</v>
      </c>
    </row>
    <row r="9" spans="1:34">
      <c r="A9" s="141">
        <v>3</v>
      </c>
      <c r="B9" s="151" t="s">
        <v>64</v>
      </c>
      <c r="C9" s="153">
        <f>+C7-C8</f>
        <v>2654868</v>
      </c>
      <c r="D9" s="153">
        <f>+D7-D8</f>
        <v>530970</v>
      </c>
      <c r="E9" s="153">
        <f t="shared" si="0"/>
        <v>3185838</v>
      </c>
      <c r="P9" s="151" t="s">
        <v>64</v>
      </c>
      <c r="AF9" s="150" t="s">
        <v>65</v>
      </c>
      <c r="AG9" s="151" t="s">
        <v>64</v>
      </c>
      <c r="AH9" s="139" t="s">
        <v>66</v>
      </c>
    </row>
    <row r="10" spans="1:34">
      <c r="A10" s="141">
        <v>4</v>
      </c>
      <c r="B10" s="150" t="s">
        <v>69</v>
      </c>
      <c r="C10" s="153">
        <f>C6*C33</f>
        <v>2104935</v>
      </c>
      <c r="D10" s="153">
        <f>D6*D33</f>
        <v>192120</v>
      </c>
      <c r="E10" s="153">
        <f t="shared" si="0"/>
        <v>2297055</v>
      </c>
      <c r="P10" s="150" t="s">
        <v>69</v>
      </c>
      <c r="AF10" s="150" t="s">
        <v>68</v>
      </c>
      <c r="AG10" s="150" t="s">
        <v>69</v>
      </c>
      <c r="AH10" s="139" t="s">
        <v>70</v>
      </c>
    </row>
    <row r="11" spans="1:33">
      <c r="A11" s="141">
        <v>5</v>
      </c>
      <c r="B11" s="150" t="s">
        <v>71</v>
      </c>
      <c r="C11" s="153">
        <f>+C6*C36</f>
        <v>90722.6985</v>
      </c>
      <c r="D11" s="153">
        <f>+D6*D36</f>
        <v>8280.372</v>
      </c>
      <c r="E11" s="153">
        <f t="shared" si="0"/>
        <v>99003.0705</v>
      </c>
      <c r="P11" s="150" t="s">
        <v>71</v>
      </c>
      <c r="AF11" s="150" t="s">
        <v>72</v>
      </c>
      <c r="AG11" s="150" t="s">
        <v>71</v>
      </c>
    </row>
    <row r="12" spans="1:33">
      <c r="A12" s="141">
        <v>6</v>
      </c>
      <c r="B12" s="150" t="s">
        <v>73</v>
      </c>
      <c r="C12" s="153">
        <f>+C6*C37</f>
        <v>45677.0895</v>
      </c>
      <c r="D12" s="153">
        <f>+D6*D37</f>
        <v>4169.004</v>
      </c>
      <c r="E12" s="153">
        <f t="shared" si="0"/>
        <v>49846.0935</v>
      </c>
      <c r="P12" s="150" t="s">
        <v>73</v>
      </c>
      <c r="AF12" s="150" t="s">
        <v>74</v>
      </c>
      <c r="AG12" s="150" t="s">
        <v>73</v>
      </c>
    </row>
    <row r="13" spans="1:34">
      <c r="A13" s="141">
        <v>7</v>
      </c>
      <c r="B13" s="150" t="s">
        <v>75</v>
      </c>
      <c r="C13" s="153">
        <f>+C6*C38</f>
        <v>92617.14</v>
      </c>
      <c r="D13" s="153">
        <f>+D6*D38</f>
        <v>8453.28</v>
      </c>
      <c r="E13" s="153">
        <f t="shared" si="0"/>
        <v>101070.42</v>
      </c>
      <c r="P13" s="150" t="s">
        <v>75</v>
      </c>
      <c r="AF13" s="150" t="s">
        <v>76</v>
      </c>
      <c r="AG13" s="150" t="s">
        <v>75</v>
      </c>
      <c r="AH13" s="139" t="s">
        <v>58</v>
      </c>
    </row>
    <row r="14" spans="1:33">
      <c r="A14" s="141">
        <v>8</v>
      </c>
      <c r="B14" s="155" t="s">
        <v>77</v>
      </c>
      <c r="C14" s="153">
        <f>SUM(C11:C13)</f>
        <v>229016.928</v>
      </c>
      <c r="D14" s="153">
        <f>SUM(D11:D13)</f>
        <v>20902.656</v>
      </c>
      <c r="E14" s="153">
        <f t="shared" si="0"/>
        <v>249919.584</v>
      </c>
      <c r="P14" s="155" t="s">
        <v>77</v>
      </c>
      <c r="AF14" s="150" t="s">
        <v>78</v>
      </c>
      <c r="AG14" s="155" t="s">
        <v>77</v>
      </c>
    </row>
    <row r="15" spans="1:33">
      <c r="A15" s="141">
        <v>9</v>
      </c>
      <c r="B15" s="155" t="s">
        <v>79</v>
      </c>
      <c r="C15" s="153">
        <f>+C9-C10-C14</f>
        <v>320916.072</v>
      </c>
      <c r="D15" s="153">
        <f>+D9-D10-D14</f>
        <v>317947.344</v>
      </c>
      <c r="E15" s="153">
        <f t="shared" si="0"/>
        <v>638863.416</v>
      </c>
      <c r="P15" s="155" t="s">
        <v>79</v>
      </c>
      <c r="AF15" s="150" t="s">
        <v>80</v>
      </c>
      <c r="AG15" s="155" t="s">
        <v>79</v>
      </c>
    </row>
    <row r="16" spans="1:33">
      <c r="A16" s="141">
        <v>10</v>
      </c>
      <c r="B16" s="150" t="s">
        <v>81</v>
      </c>
      <c r="C16" s="156">
        <f>+C15/C9</f>
        <v>0.120878353274061</v>
      </c>
      <c r="D16" s="156">
        <f>+D15/D9</f>
        <v>0.598804723430702</v>
      </c>
      <c r="E16" s="156">
        <f>+E15/E9</f>
        <v>0.200532298252454</v>
      </c>
      <c r="P16" s="150" t="s">
        <v>81</v>
      </c>
      <c r="AF16" s="150" t="s">
        <v>82</v>
      </c>
      <c r="AG16" s="150" t="s">
        <v>81</v>
      </c>
    </row>
    <row r="17" spans="1:33">
      <c r="A17" s="141">
        <v>11</v>
      </c>
      <c r="B17" s="150" t="s">
        <v>83</v>
      </c>
      <c r="C17" s="153">
        <f>C6*C43+C18</f>
        <v>175127.335</v>
      </c>
      <c r="D17" s="153">
        <f>D6*D43+D18</f>
        <v>96701.92</v>
      </c>
      <c r="E17" s="153">
        <f>+SUM(C17:D17)</f>
        <v>271829.255</v>
      </c>
      <c r="F17" s="154"/>
      <c r="P17" s="150" t="s">
        <v>83</v>
      </c>
      <c r="AF17" s="150" t="s">
        <v>84</v>
      </c>
      <c r="AG17" s="150" t="s">
        <v>83</v>
      </c>
    </row>
    <row r="18" s="137" customFormat="1" spans="1:8">
      <c r="A18" s="141">
        <v>12</v>
      </c>
      <c r="B18" s="158" t="s">
        <v>162</v>
      </c>
      <c r="C18" s="159">
        <f>$E$18/$E$6*C6</f>
        <v>88825</v>
      </c>
      <c r="D18" s="159">
        <f>$E$18/$E$6*D6</f>
        <v>88825</v>
      </c>
      <c r="E18" s="153">
        <f>项目投资!D26</f>
        <v>177650</v>
      </c>
      <c r="F18" s="160" t="s">
        <v>163</v>
      </c>
      <c r="G18" s="160"/>
      <c r="H18" s="160"/>
    </row>
    <row r="19" spans="1:34">
      <c r="A19" s="141">
        <v>13</v>
      </c>
      <c r="B19" s="150" t="s">
        <v>85</v>
      </c>
      <c r="C19" s="153">
        <f>C6*C44</f>
        <v>14734.545</v>
      </c>
      <c r="D19" s="153">
        <f>D6*D44</f>
        <v>1344.84</v>
      </c>
      <c r="E19" s="153">
        <f>+SUM(C19:D19)</f>
        <v>16079.385</v>
      </c>
      <c r="F19" s="137"/>
      <c r="P19" s="150" t="s">
        <v>85</v>
      </c>
      <c r="AF19" s="150" t="s">
        <v>86</v>
      </c>
      <c r="AG19" s="150" t="s">
        <v>85</v>
      </c>
      <c r="AH19" s="139" t="s">
        <v>58</v>
      </c>
    </row>
    <row r="20" spans="1:33">
      <c r="A20" s="141">
        <v>14</v>
      </c>
      <c r="B20" s="150" t="s">
        <v>87</v>
      </c>
      <c r="C20" s="153">
        <f>C6*C45</f>
        <v>71567.79</v>
      </c>
      <c r="D20" s="153">
        <f>D6*D45</f>
        <v>6532.08</v>
      </c>
      <c r="E20" s="153">
        <f>+SUM(C20:D20)</f>
        <v>78099.87</v>
      </c>
      <c r="P20" s="150" t="s">
        <v>87</v>
      </c>
      <c r="AF20" s="150" t="s">
        <v>88</v>
      </c>
      <c r="AG20" s="150" t="s">
        <v>87</v>
      </c>
    </row>
    <row r="21" spans="1:33">
      <c r="A21" s="141">
        <v>15</v>
      </c>
      <c r="B21" s="150" t="s">
        <v>89</v>
      </c>
      <c r="C21" s="161">
        <f>$E$21/$E$6*C6</f>
        <v>24783.3333333333</v>
      </c>
      <c r="D21" s="161">
        <f>$E$21/$E$6*D6</f>
        <v>24783.3333333333</v>
      </c>
      <c r="E21" s="153">
        <f>项目投资!D27</f>
        <v>49566.6666666667</v>
      </c>
      <c r="P21" s="150" t="s">
        <v>89</v>
      </c>
      <c r="AF21" s="150"/>
      <c r="AG21" s="150"/>
    </row>
    <row r="22" spans="1:33">
      <c r="A22" s="141">
        <v>16</v>
      </c>
      <c r="B22" s="150" t="s">
        <v>90</v>
      </c>
      <c r="C22" s="153">
        <f>C6*C47</f>
        <v>63148.05</v>
      </c>
      <c r="D22" s="153">
        <f>D6*D47</f>
        <v>5763.6</v>
      </c>
      <c r="E22" s="153">
        <f>+SUM(C22:D22)</f>
        <v>68911.65</v>
      </c>
      <c r="P22" s="150" t="s">
        <v>90</v>
      </c>
      <c r="AF22" s="150" t="s">
        <v>91</v>
      </c>
      <c r="AG22" s="150" t="s">
        <v>90</v>
      </c>
    </row>
    <row r="23" spans="1:33">
      <c r="A23" s="141">
        <v>17</v>
      </c>
      <c r="B23" s="155" t="s">
        <v>92</v>
      </c>
      <c r="C23" s="161">
        <f>+C22+C21+C20+C19+C17</f>
        <v>349361.053333333</v>
      </c>
      <c r="D23" s="161">
        <f>+D22+D21+D20+D19+D17</f>
        <v>135125.773333333</v>
      </c>
      <c r="E23" s="161">
        <f>+E22+E21+E20+E19+E17</f>
        <v>484486.826666667</v>
      </c>
      <c r="P23" s="155" t="s">
        <v>92</v>
      </c>
      <c r="AF23" s="150" t="s">
        <v>93</v>
      </c>
      <c r="AG23" s="155" t="s">
        <v>92</v>
      </c>
    </row>
    <row r="24" spans="1:33">
      <c r="A24" s="141">
        <v>18</v>
      </c>
      <c r="B24" s="162" t="s">
        <v>94</v>
      </c>
      <c r="C24" s="161">
        <f>+C15-C23</f>
        <v>-28444.9813333334</v>
      </c>
      <c r="D24" s="161">
        <f>+D15-D23</f>
        <v>182821.570666667</v>
      </c>
      <c r="E24" s="161">
        <f>+E15-E23</f>
        <v>154376.589333333</v>
      </c>
      <c r="G24" s="163"/>
      <c r="P24" s="150" t="s">
        <v>94</v>
      </c>
      <c r="AF24" s="150" t="s">
        <v>95</v>
      </c>
      <c r="AG24" s="150" t="s">
        <v>94</v>
      </c>
    </row>
    <row r="25" spans="1:33">
      <c r="A25" s="141">
        <v>19</v>
      </c>
      <c r="B25" s="150" t="s">
        <v>164</v>
      </c>
      <c r="C25" s="161">
        <f>IF(C24&lt;0,0,C24*0.25)</f>
        <v>0</v>
      </c>
      <c r="D25" s="161">
        <f>IF(D24&lt;0,0,D24*0.25)</f>
        <v>45705.3926666667</v>
      </c>
      <c r="E25" s="161">
        <f>IF(E24&lt;0,0,E24*0.25)</f>
        <v>38594.1473333333</v>
      </c>
      <c r="F25" s="2"/>
      <c r="G25" s="2"/>
      <c r="H25" s="2"/>
      <c r="P25" s="150" t="s">
        <v>38</v>
      </c>
      <c r="AF25" s="150" t="s">
        <v>96</v>
      </c>
      <c r="AG25" s="150" t="s">
        <v>38</v>
      </c>
    </row>
    <row r="26" spans="1:33">
      <c r="A26" s="141">
        <v>20</v>
      </c>
      <c r="B26" s="150" t="s">
        <v>97</v>
      </c>
      <c r="C26" s="161">
        <f>C24-C25</f>
        <v>-28444.9813333334</v>
      </c>
      <c r="D26" s="161">
        <f>D24-D25</f>
        <v>137116.178</v>
      </c>
      <c r="E26" s="153">
        <f>+SUM(C26:D26)</f>
        <v>108671.196666667</v>
      </c>
      <c r="F26" s="2"/>
      <c r="G26" s="2"/>
      <c r="H26" s="2"/>
      <c r="P26" s="150" t="s">
        <v>97</v>
      </c>
      <c r="AF26" s="150" t="s">
        <v>98</v>
      </c>
      <c r="AG26" s="150" t="s">
        <v>97</v>
      </c>
    </row>
    <row r="27" spans="1:33">
      <c r="A27" s="141">
        <v>21</v>
      </c>
      <c r="B27" s="150" t="s">
        <v>101</v>
      </c>
      <c r="C27" s="164">
        <f>C26/C7</f>
        <v>-0.0107142733022257</v>
      </c>
      <c r="D27" s="164">
        <f>D26/D7</f>
        <v>0.258237147108123</v>
      </c>
      <c r="E27" s="164">
        <f>E26/E7</f>
        <v>0.0341107101700296</v>
      </c>
      <c r="F27" s="2"/>
      <c r="G27" s="2"/>
      <c r="H27" s="2"/>
      <c r="P27" s="150" t="s">
        <v>101</v>
      </c>
      <c r="AF27" s="150" t="s">
        <v>100</v>
      </c>
      <c r="AG27" s="150" t="s">
        <v>101</v>
      </c>
    </row>
    <row r="28" spans="6:16">
      <c r="F28" s="2"/>
      <c r="G28" s="2"/>
      <c r="H28" s="2"/>
      <c r="P28" s="150"/>
    </row>
    <row r="29" spans="1:32">
      <c r="A29" s="139" t="s">
        <v>102</v>
      </c>
      <c r="E29" s="140" t="s">
        <v>165</v>
      </c>
      <c r="F29" s="2"/>
      <c r="G29" s="2"/>
      <c r="H29" s="2"/>
      <c r="P29" s="150"/>
      <c r="AF29" s="139" t="s">
        <v>102</v>
      </c>
    </row>
    <row r="30" spans="1:33">
      <c r="A30" s="150" t="s">
        <v>103</v>
      </c>
      <c r="B30" s="155" t="s">
        <v>104</v>
      </c>
      <c r="C30" s="161"/>
      <c r="D30" s="161"/>
      <c r="E30" s="161"/>
      <c r="F30" s="2"/>
      <c r="G30" s="2"/>
      <c r="H30" s="2"/>
      <c r="J30" s="2"/>
      <c r="P30" s="155" t="s">
        <v>104</v>
      </c>
      <c r="AF30" s="150" t="s">
        <v>105</v>
      </c>
      <c r="AG30" s="155" t="s">
        <v>104</v>
      </c>
    </row>
    <row r="31" spans="1:33">
      <c r="A31" s="141">
        <v>1</v>
      </c>
      <c r="B31" s="158" t="s">
        <v>106</v>
      </c>
      <c r="C31" s="166">
        <f>销量!C8</f>
        <v>1769.912</v>
      </c>
      <c r="D31" s="166">
        <f>销量!D8</f>
        <v>353.98</v>
      </c>
      <c r="E31" s="161"/>
      <c r="F31" s="2"/>
      <c r="G31" s="2"/>
      <c r="H31" s="2"/>
      <c r="J31" s="2"/>
      <c r="P31" s="150" t="s">
        <v>106</v>
      </c>
      <c r="AF31" s="150" t="s">
        <v>60</v>
      </c>
      <c r="AG31" s="150" t="s">
        <v>106</v>
      </c>
    </row>
    <row r="32" spans="1:33">
      <c r="A32" s="141">
        <v>2</v>
      </c>
      <c r="B32" s="150" t="s">
        <v>166</v>
      </c>
      <c r="C32" s="153">
        <f>C31*1</f>
        <v>1769.912</v>
      </c>
      <c r="D32" s="153">
        <f>D31*1</f>
        <v>353.98</v>
      </c>
      <c r="E32" s="161"/>
      <c r="F32" s="2"/>
      <c r="G32" s="2"/>
      <c r="H32" s="2"/>
      <c r="I32" s="2"/>
      <c r="J32" s="2"/>
      <c r="K32" s="2"/>
      <c r="L32" s="2"/>
      <c r="AF32" s="150"/>
      <c r="AG32" s="150"/>
    </row>
    <row r="33" spans="1:33">
      <c r="A33" s="141">
        <v>3</v>
      </c>
      <c r="B33" s="158" t="s">
        <v>107</v>
      </c>
      <c r="C33" s="153">
        <f>材料成本!D24</f>
        <v>1403.29</v>
      </c>
      <c r="D33" s="153">
        <f>材料成本!E24</f>
        <v>128.08</v>
      </c>
      <c r="E33" s="161"/>
      <c r="G33" s="2"/>
      <c r="H33" s="2"/>
      <c r="I33" s="2"/>
      <c r="J33" s="2"/>
      <c r="K33" s="2"/>
      <c r="L33" s="2"/>
      <c r="P33" s="150" t="s">
        <v>107</v>
      </c>
      <c r="AF33" s="150" t="s">
        <v>62</v>
      </c>
      <c r="AG33" s="150" t="s">
        <v>107</v>
      </c>
    </row>
    <row r="34" ht="17.25" customHeight="1" spans="1:33">
      <c r="A34" s="141">
        <v>4</v>
      </c>
      <c r="B34" s="150" t="s">
        <v>109</v>
      </c>
      <c r="C34" s="167">
        <f>C32-C33</f>
        <v>366.622</v>
      </c>
      <c r="D34" s="167">
        <f>D32-D33</f>
        <v>225.9</v>
      </c>
      <c r="E34" s="161"/>
      <c r="G34" s="2"/>
      <c r="H34" s="2"/>
      <c r="I34" s="2"/>
      <c r="J34" s="2"/>
      <c r="K34" s="2"/>
      <c r="L34" s="2"/>
      <c r="P34" s="150" t="s">
        <v>109</v>
      </c>
      <c r="AF34" s="150" t="s">
        <v>108</v>
      </c>
      <c r="AG34" s="150" t="s">
        <v>109</v>
      </c>
    </row>
    <row r="35" spans="1:33">
      <c r="A35" s="150" t="s">
        <v>105</v>
      </c>
      <c r="B35" s="155" t="s">
        <v>10</v>
      </c>
      <c r="C35" s="161"/>
      <c r="D35" s="161"/>
      <c r="E35" s="161"/>
      <c r="F35" s="2"/>
      <c r="G35" s="2"/>
      <c r="H35" s="2"/>
      <c r="I35" s="2"/>
      <c r="J35" s="2"/>
      <c r="K35" s="2"/>
      <c r="L35" s="2"/>
      <c r="M35" s="2"/>
      <c r="N35" s="2"/>
      <c r="O35" s="2"/>
      <c r="P35" s="155" t="s">
        <v>10</v>
      </c>
      <c r="AF35" s="150" t="s">
        <v>111</v>
      </c>
      <c r="AG35" s="155" t="s">
        <v>10</v>
      </c>
    </row>
    <row r="36" spans="1:33">
      <c r="A36" s="141">
        <v>1</v>
      </c>
      <c r="B36" s="150" t="s">
        <v>112</v>
      </c>
      <c r="C36" s="159">
        <f>标准成本!E4</f>
        <v>60.481799</v>
      </c>
      <c r="D36" s="159">
        <f>标准成本!E16</f>
        <v>5.520248</v>
      </c>
      <c r="E36" s="166"/>
      <c r="F36" s="2"/>
      <c r="G36" s="2"/>
      <c r="H36" s="2"/>
      <c r="I36" s="2"/>
      <c r="J36" s="2"/>
      <c r="K36" s="2"/>
      <c r="L36" s="2"/>
      <c r="M36" s="2"/>
      <c r="N36" s="2"/>
      <c r="O36" s="2"/>
      <c r="P36" s="150" t="s">
        <v>112</v>
      </c>
      <c r="AF36" s="150" t="s">
        <v>108</v>
      </c>
      <c r="AG36" s="150" t="s">
        <v>112</v>
      </c>
    </row>
    <row r="37" spans="1:33">
      <c r="A37" s="141">
        <v>2</v>
      </c>
      <c r="B37" s="150" t="s">
        <v>113</v>
      </c>
      <c r="C37" s="159">
        <f>标准成本!E6</f>
        <v>30.451393</v>
      </c>
      <c r="D37" s="159">
        <f>标准成本!E18</f>
        <v>2.779336</v>
      </c>
      <c r="E37" s="166"/>
      <c r="F37" s="2"/>
      <c r="G37" s="2"/>
      <c r="H37" s="2"/>
      <c r="I37" s="2"/>
      <c r="J37" s="2"/>
      <c r="K37" s="2"/>
      <c r="L37" s="2"/>
      <c r="M37" s="2"/>
      <c r="N37" s="2"/>
      <c r="O37" s="2"/>
      <c r="P37" s="150" t="s">
        <v>113</v>
      </c>
      <c r="AF37" s="150" t="s">
        <v>65</v>
      </c>
      <c r="AG37" s="150" t="s">
        <v>113</v>
      </c>
    </row>
    <row r="38" spans="1:33">
      <c r="A38" s="141">
        <v>3</v>
      </c>
      <c r="B38" s="150" t="s">
        <v>114</v>
      </c>
      <c r="C38" s="159">
        <f>标准成本!E10</f>
        <v>61.74476</v>
      </c>
      <c r="D38" s="159">
        <f>标准成本!E22</f>
        <v>5.63552</v>
      </c>
      <c r="E38" s="166"/>
      <c r="F38" s="2"/>
      <c r="G38" s="2"/>
      <c r="H38" s="2"/>
      <c r="I38" s="2"/>
      <c r="J38" s="2"/>
      <c r="K38" s="2"/>
      <c r="L38" s="2"/>
      <c r="M38" s="2"/>
      <c r="N38" s="2"/>
      <c r="O38" s="2"/>
      <c r="P38" s="150" t="s">
        <v>114</v>
      </c>
      <c r="AF38" s="150" t="s">
        <v>72</v>
      </c>
      <c r="AG38" s="150" t="s">
        <v>114</v>
      </c>
    </row>
    <row r="39" spans="1:33">
      <c r="A39" s="150" t="s">
        <v>111</v>
      </c>
      <c r="B39" s="155" t="s">
        <v>116</v>
      </c>
      <c r="C39" s="161"/>
      <c r="D39" s="161"/>
      <c r="E39" s="161"/>
      <c r="P39" s="155" t="s">
        <v>116</v>
      </c>
      <c r="AF39" s="150" t="s">
        <v>115</v>
      </c>
      <c r="AG39" s="155" t="s">
        <v>116</v>
      </c>
    </row>
    <row r="40" spans="1:33">
      <c r="A40" s="141">
        <v>1</v>
      </c>
      <c r="B40" s="150" t="s">
        <v>118</v>
      </c>
      <c r="C40" s="161">
        <f>C34-C36-C37-C38</f>
        <v>213.944048</v>
      </c>
      <c r="D40" s="161">
        <f>D34-D36-D37-D38</f>
        <v>211.964896</v>
      </c>
      <c r="E40" s="161"/>
      <c r="P40" s="150" t="s">
        <v>118</v>
      </c>
      <c r="AF40" s="150" t="s">
        <v>60</v>
      </c>
      <c r="AG40" s="150" t="s">
        <v>118</v>
      </c>
    </row>
    <row r="41" spans="1:33">
      <c r="A41" s="141">
        <v>2</v>
      </c>
      <c r="B41" s="150" t="s">
        <v>119</v>
      </c>
      <c r="C41" s="161"/>
      <c r="D41" s="161"/>
      <c r="E41" s="161"/>
      <c r="P41" s="150" t="s">
        <v>119</v>
      </c>
      <c r="AF41" s="150" t="s">
        <v>62</v>
      </c>
      <c r="AG41" s="150" t="s">
        <v>119</v>
      </c>
    </row>
    <row r="42" spans="1:33">
      <c r="A42" s="150" t="s">
        <v>115</v>
      </c>
      <c r="B42" s="155" t="s">
        <v>121</v>
      </c>
      <c r="C42" s="161"/>
      <c r="D42" s="161"/>
      <c r="E42" s="161"/>
      <c r="P42" s="155" t="s">
        <v>121</v>
      </c>
      <c r="AF42" s="150" t="s">
        <v>120</v>
      </c>
      <c r="AG42" s="155" t="s">
        <v>121</v>
      </c>
    </row>
    <row r="43" spans="1:33">
      <c r="A43" s="141">
        <v>1</v>
      </c>
      <c r="B43" s="162" t="s">
        <v>122</v>
      </c>
      <c r="C43" s="159">
        <f>标准成本!E5</f>
        <v>57.53489</v>
      </c>
      <c r="D43" s="159">
        <f>标准成本!E17</f>
        <v>5.25128</v>
      </c>
      <c r="E43" s="161"/>
      <c r="P43" s="150" t="s">
        <v>122</v>
      </c>
      <c r="AF43" s="150" t="s">
        <v>60</v>
      </c>
      <c r="AG43" s="150" t="s">
        <v>122</v>
      </c>
    </row>
    <row r="44" spans="1:33">
      <c r="A44" s="141">
        <v>2</v>
      </c>
      <c r="B44" s="162" t="s">
        <v>123</v>
      </c>
      <c r="C44" s="159">
        <f>标准成本!E9</f>
        <v>9.82303</v>
      </c>
      <c r="D44" s="159">
        <f>标准成本!E21</f>
        <v>0.89656</v>
      </c>
      <c r="E44" s="161"/>
      <c r="P44" s="150" t="s">
        <v>123</v>
      </c>
      <c r="AF44" s="150" t="s">
        <v>62</v>
      </c>
      <c r="AG44" s="150" t="s">
        <v>123</v>
      </c>
    </row>
    <row r="45" spans="1:33">
      <c r="A45" s="141">
        <v>3</v>
      </c>
      <c r="B45" s="162" t="s">
        <v>124</v>
      </c>
      <c r="C45" s="159">
        <f>标准成本!E8</f>
        <v>47.71186</v>
      </c>
      <c r="D45" s="159">
        <f>标准成本!E20</f>
        <v>4.35472</v>
      </c>
      <c r="E45" s="161"/>
      <c r="P45" s="150" t="s">
        <v>124</v>
      </c>
      <c r="AF45" s="150" t="s">
        <v>108</v>
      </c>
      <c r="AG45" s="150" t="s">
        <v>124</v>
      </c>
    </row>
    <row r="46" s="138" customFormat="1" spans="1:33">
      <c r="A46" s="141">
        <v>4</v>
      </c>
      <c r="B46" s="162" t="s">
        <v>125</v>
      </c>
      <c r="C46" s="168">
        <f>C21/C6</f>
        <v>16.5222222222222</v>
      </c>
      <c r="D46" s="168">
        <f>D21/D6</f>
        <v>16.5222222222222</v>
      </c>
      <c r="E46" s="168"/>
      <c r="P46" s="162" t="s">
        <v>127</v>
      </c>
      <c r="AF46" s="162" t="s">
        <v>68</v>
      </c>
      <c r="AG46" s="162" t="s">
        <v>127</v>
      </c>
    </row>
    <row r="47" s="138" customFormat="1" spans="1:33">
      <c r="A47" s="141">
        <v>5</v>
      </c>
      <c r="B47" s="162" t="s">
        <v>127</v>
      </c>
      <c r="C47" s="168">
        <f>标准成本!E11</f>
        <v>42.0987</v>
      </c>
      <c r="D47" s="168">
        <f>标准成本!E23</f>
        <v>3.8424</v>
      </c>
      <c r="E47" s="168"/>
      <c r="P47" s="162" t="s">
        <v>127</v>
      </c>
      <c r="AF47" s="162" t="s">
        <v>68</v>
      </c>
      <c r="AG47" s="162" t="s">
        <v>127</v>
      </c>
    </row>
    <row r="48" spans="1:33">
      <c r="A48" s="150" t="s">
        <v>120</v>
      </c>
      <c r="B48" s="155" t="s">
        <v>138</v>
      </c>
      <c r="C48" s="161">
        <f>C40-C43-C44-C45-C47-C46</f>
        <v>40.2533457777778</v>
      </c>
      <c r="D48" s="161">
        <f>D40-D43-D44-D45-D47-D46</f>
        <v>181.097713777778</v>
      </c>
      <c r="E48" s="161"/>
      <c r="P48" s="155" t="s">
        <v>138</v>
      </c>
      <c r="AF48" s="150" t="s">
        <v>137</v>
      </c>
      <c r="AG48" s="155" t="s">
        <v>138</v>
      </c>
    </row>
    <row r="51" spans="3:4">
      <c r="C51" s="169"/>
      <c r="D51" s="169"/>
    </row>
    <row r="54" spans="2:10">
      <c r="B54" s="2"/>
      <c r="C54" s="170"/>
      <c r="D54" s="170"/>
      <c r="E54" s="170"/>
      <c r="F54" s="2"/>
      <c r="G54" s="2"/>
      <c r="H54" s="2"/>
      <c r="I54" s="2"/>
      <c r="J54" s="2"/>
    </row>
    <row r="55" spans="2:10">
      <c r="B55" s="2"/>
      <c r="C55" s="170"/>
      <c r="D55" s="170"/>
      <c r="E55" s="170"/>
      <c r="F55" s="2"/>
      <c r="G55" s="2"/>
      <c r="H55" s="2"/>
      <c r="I55" s="2"/>
      <c r="J55" s="2"/>
    </row>
    <row r="56" spans="2:10">
      <c r="B56" s="2"/>
      <c r="C56" s="170"/>
      <c r="D56" s="170"/>
      <c r="E56" s="170"/>
      <c r="F56" s="2"/>
      <c r="G56" s="2"/>
      <c r="H56" s="2"/>
      <c r="I56" s="2"/>
      <c r="J56" s="2"/>
    </row>
    <row r="57" spans="2:10">
      <c r="B57" s="2"/>
      <c r="C57" s="170"/>
      <c r="D57" s="170"/>
      <c r="E57" s="170"/>
      <c r="F57" s="2"/>
      <c r="G57" s="2"/>
      <c r="H57" s="2"/>
      <c r="I57" s="2"/>
      <c r="J57" s="2"/>
    </row>
    <row r="58" spans="2:10">
      <c r="B58" s="2"/>
      <c r="C58" s="170"/>
      <c r="D58" s="170"/>
      <c r="E58" s="170"/>
      <c r="F58" s="2"/>
      <c r="G58" s="2"/>
      <c r="H58" s="2"/>
      <c r="I58" s="2"/>
      <c r="J58" s="2"/>
    </row>
    <row r="59" spans="2:10">
      <c r="B59" s="2"/>
      <c r="C59" s="170"/>
      <c r="D59" s="170"/>
      <c r="E59" s="170"/>
      <c r="F59" s="2"/>
      <c r="G59" s="2"/>
      <c r="H59" s="2"/>
      <c r="I59" s="2"/>
      <c r="J59" s="2"/>
    </row>
    <row r="60" spans="2:10">
      <c r="B60" s="2"/>
      <c r="C60" s="170"/>
      <c r="D60" s="170"/>
      <c r="E60" s="170"/>
      <c r="F60" s="2"/>
      <c r="G60" s="2"/>
      <c r="H60" s="2"/>
      <c r="I60" s="2"/>
      <c r="J60" s="2"/>
    </row>
    <row r="61" spans="2:10">
      <c r="B61" s="2"/>
      <c r="C61" s="170"/>
      <c r="D61" s="170"/>
      <c r="E61" s="170"/>
      <c r="F61" s="2"/>
      <c r="G61" s="2"/>
      <c r="H61" s="2"/>
      <c r="I61" s="2"/>
      <c r="J61" s="2"/>
    </row>
    <row r="62" spans="2:10">
      <c r="B62" s="2"/>
      <c r="C62" s="170"/>
      <c r="D62" s="170"/>
      <c r="E62" s="170"/>
      <c r="F62" s="2"/>
      <c r="G62" s="2"/>
      <c r="H62" s="2"/>
      <c r="I62" s="2"/>
      <c r="J62" s="2"/>
    </row>
    <row r="63" spans="2:10">
      <c r="B63" s="2"/>
      <c r="C63" s="170"/>
      <c r="D63" s="170"/>
      <c r="E63" s="170"/>
      <c r="F63" s="2"/>
      <c r="G63" s="2"/>
      <c r="H63" s="2"/>
      <c r="I63" s="2"/>
      <c r="J63" s="2"/>
    </row>
    <row r="64" spans="2:10">
      <c r="B64" s="2"/>
      <c r="C64" s="170"/>
      <c r="D64" s="170"/>
      <c r="E64" s="170"/>
      <c r="F64" s="2"/>
      <c r="G64" s="2"/>
      <c r="H64" s="2"/>
      <c r="I64" s="2"/>
      <c r="J64" s="2"/>
    </row>
    <row r="65" spans="2:10">
      <c r="B65" s="2"/>
      <c r="C65" s="170"/>
      <c r="D65" s="170"/>
      <c r="E65" s="170"/>
      <c r="F65" s="2"/>
      <c r="G65" s="2"/>
      <c r="H65" s="2"/>
      <c r="I65" s="2"/>
      <c r="J65" s="2"/>
    </row>
    <row r="66" spans="2:10">
      <c r="B66" s="2"/>
      <c r="C66" s="170"/>
      <c r="D66" s="170"/>
      <c r="E66" s="170"/>
      <c r="F66" s="2"/>
      <c r="G66" s="2"/>
      <c r="H66" s="2"/>
      <c r="I66" s="2"/>
      <c r="J66" s="2"/>
    </row>
    <row r="67" spans="2:6">
      <c r="B67" s="2"/>
      <c r="C67" s="170"/>
      <c r="D67" s="170"/>
      <c r="E67" s="170"/>
      <c r="F67" s="2"/>
    </row>
    <row r="68" spans="2:6">
      <c r="B68" s="2"/>
      <c r="C68" s="170"/>
      <c r="D68" s="170"/>
      <c r="E68" s="170"/>
      <c r="F68" s="2"/>
    </row>
    <row r="69" spans="2:6">
      <c r="B69" s="2"/>
      <c r="C69" s="170"/>
      <c r="D69" s="170"/>
      <c r="E69" s="170"/>
      <c r="F69" s="2"/>
    </row>
    <row r="70" spans="2:6">
      <c r="B70" s="2"/>
      <c r="C70" s="170"/>
      <c r="D70" s="170"/>
      <c r="E70" s="170"/>
      <c r="F70" s="2"/>
    </row>
    <row r="71" spans="2:6">
      <c r="B71" s="2"/>
      <c r="C71" s="170"/>
      <c r="D71" s="170"/>
      <c r="E71" s="170"/>
      <c r="F71" s="2"/>
    </row>
    <row r="72" spans="2:6">
      <c r="B72" s="2"/>
      <c r="C72" s="170"/>
      <c r="D72" s="170"/>
      <c r="E72" s="170"/>
      <c r="F72" s="2"/>
    </row>
    <row r="73" spans="2:6">
      <c r="B73" s="2"/>
      <c r="C73" s="170"/>
      <c r="D73" s="170"/>
      <c r="E73" s="170"/>
      <c r="F73" s="2"/>
    </row>
    <row r="74" spans="2:6">
      <c r="B74" s="2"/>
      <c r="C74" s="170"/>
      <c r="D74" s="170"/>
      <c r="E74" s="170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  <ignoredErrors>
    <ignoredError sqref="E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10" activePane="bottomRight" state="frozen"/>
      <selection/>
      <selection pane="topRight"/>
      <selection pane="bottomLeft"/>
      <selection pane="bottomRight" activeCell="P1" sqref="P$1:P$1048576"/>
    </sheetView>
  </sheetViews>
  <sheetFormatPr defaultColWidth="9" defaultRowHeight="14.5"/>
  <cols>
    <col min="1" max="1" width="5.12727272727273" style="139" customWidth="1"/>
    <col min="2" max="2" width="17.5" style="139" customWidth="1"/>
    <col min="3" max="3" width="15.5" style="140" customWidth="1"/>
    <col min="4" max="4" width="15.5454545454545" style="140" customWidth="1"/>
    <col min="5" max="5" width="18.7545454545455" style="140" customWidth="1"/>
    <col min="6" max="6" width="12.3727272727273" style="139" customWidth="1"/>
    <col min="7" max="7" width="10.1272727272727" style="139" customWidth="1"/>
    <col min="8" max="14" width="9" style="139" customWidth="1"/>
    <col min="15" max="15" width="9" style="139"/>
    <col min="16" max="16" width="9" style="139" hidden="1" customWidth="1"/>
    <col min="17" max="31" width="9" style="139"/>
    <col min="32" max="32" width="4.37272727272727" style="139" customWidth="1"/>
    <col min="33" max="33" width="13.8727272727273" style="139" customWidth="1"/>
    <col min="34" max="16384" width="9" style="139"/>
  </cols>
  <sheetData>
    <row r="1" spans="1:5">
      <c r="A1" s="141" t="s">
        <v>148</v>
      </c>
      <c r="B1" s="141"/>
      <c r="C1" s="142" t="s">
        <v>167</v>
      </c>
      <c r="D1" s="143"/>
      <c r="E1" s="144"/>
    </row>
    <row r="2" spans="1:5">
      <c r="A2" s="141" t="s">
        <v>150</v>
      </c>
      <c r="B2" s="141"/>
      <c r="C2" s="145" t="s">
        <v>151</v>
      </c>
      <c r="D2" s="145"/>
      <c r="E2" s="145"/>
    </row>
    <row r="3" spans="1:5">
      <c r="A3" s="141" t="s">
        <v>152</v>
      </c>
      <c r="B3" s="141"/>
      <c r="C3" s="77" t="s">
        <v>153</v>
      </c>
      <c r="D3" s="77" t="s">
        <v>154</v>
      </c>
      <c r="E3" s="146" t="s">
        <v>56</v>
      </c>
    </row>
    <row r="4" spans="1:5">
      <c r="A4" s="141" t="s">
        <v>155</v>
      </c>
      <c r="B4" s="141"/>
      <c r="C4" s="79" t="s">
        <v>156</v>
      </c>
      <c r="D4" s="79" t="s">
        <v>157</v>
      </c>
      <c r="E4" s="147"/>
    </row>
    <row r="5" ht="99" spans="1:34">
      <c r="A5" s="141" t="s">
        <v>158</v>
      </c>
      <c r="B5" s="141"/>
      <c r="C5" s="148" t="s">
        <v>159</v>
      </c>
      <c r="D5" s="148" t="s">
        <v>160</v>
      </c>
      <c r="E5" s="149"/>
      <c r="AH5" s="139" t="s">
        <v>57</v>
      </c>
    </row>
    <row r="6" ht="16.5" spans="1:34">
      <c r="A6" s="150" t="s">
        <v>21</v>
      </c>
      <c r="B6" s="151" t="s">
        <v>161</v>
      </c>
      <c r="C6" s="152">
        <f>销量!C10</f>
        <v>3000</v>
      </c>
      <c r="D6" s="152">
        <f>销量!D10</f>
        <v>3000</v>
      </c>
      <c r="E6" s="153">
        <f t="shared" ref="E6:E15" si="0">+SUM(C6:D6)</f>
        <v>6000</v>
      </c>
      <c r="P6" s="151" t="s">
        <v>3</v>
      </c>
      <c r="AF6" s="150" t="s">
        <v>21</v>
      </c>
      <c r="AG6" s="151" t="s">
        <v>3</v>
      </c>
      <c r="AH6" s="139" t="s">
        <v>58</v>
      </c>
    </row>
    <row r="7" spans="1:34">
      <c r="A7" s="141">
        <v>1</v>
      </c>
      <c r="B7" s="151" t="s">
        <v>59</v>
      </c>
      <c r="C7" s="153">
        <f>C6*销量!C8</f>
        <v>5309736</v>
      </c>
      <c r="D7" s="153">
        <f>D6*销量!D8</f>
        <v>1061940</v>
      </c>
      <c r="E7" s="153">
        <f t="shared" si="0"/>
        <v>6371676</v>
      </c>
      <c r="F7" s="140"/>
      <c r="P7" s="151" t="s">
        <v>59</v>
      </c>
      <c r="AF7" s="150" t="s">
        <v>60</v>
      </c>
      <c r="AG7" s="151" t="s">
        <v>59</v>
      </c>
      <c r="AH7" s="139" t="s">
        <v>58</v>
      </c>
    </row>
    <row r="8" spans="1:34">
      <c r="A8" s="141">
        <v>2</v>
      </c>
      <c r="B8" s="141" t="s">
        <v>61</v>
      </c>
      <c r="C8" s="153">
        <f>C7*(1-销量!$P$7)</f>
        <v>0</v>
      </c>
      <c r="D8" s="153">
        <f>D7*(1-销量!$P$7)</f>
        <v>0</v>
      </c>
      <c r="E8" s="153">
        <f t="shared" si="0"/>
        <v>0</v>
      </c>
      <c r="F8" s="154"/>
      <c r="P8" s="141" t="s">
        <v>63</v>
      </c>
      <c r="AF8" s="150" t="s">
        <v>62</v>
      </c>
      <c r="AG8" s="141" t="s">
        <v>63</v>
      </c>
      <c r="AH8" s="139" t="s">
        <v>58</v>
      </c>
    </row>
    <row r="9" spans="1:34">
      <c r="A9" s="141">
        <v>3</v>
      </c>
      <c r="B9" s="151" t="s">
        <v>64</v>
      </c>
      <c r="C9" s="153">
        <f>+C7-C8</f>
        <v>5309736</v>
      </c>
      <c r="D9" s="153">
        <f>+D7-D8</f>
        <v>1061940</v>
      </c>
      <c r="E9" s="153">
        <f t="shared" si="0"/>
        <v>6371676</v>
      </c>
      <c r="P9" s="151" t="s">
        <v>64</v>
      </c>
      <c r="AF9" s="150" t="s">
        <v>65</v>
      </c>
      <c r="AG9" s="151" t="s">
        <v>64</v>
      </c>
      <c r="AH9" s="139" t="s">
        <v>66</v>
      </c>
    </row>
    <row r="10" spans="1:34">
      <c r="A10" s="141">
        <v>4</v>
      </c>
      <c r="B10" s="150" t="s">
        <v>69</v>
      </c>
      <c r="C10" s="153">
        <f>C6*C33</f>
        <v>4209870</v>
      </c>
      <c r="D10" s="153">
        <f>D6*D33</f>
        <v>384240</v>
      </c>
      <c r="E10" s="153">
        <f t="shared" si="0"/>
        <v>4594110</v>
      </c>
      <c r="P10" s="150" t="s">
        <v>69</v>
      </c>
      <c r="AF10" s="150" t="s">
        <v>68</v>
      </c>
      <c r="AG10" s="150" t="s">
        <v>69</v>
      </c>
      <c r="AH10" s="139" t="s">
        <v>70</v>
      </c>
    </row>
    <row r="11" spans="1:33">
      <c r="A11" s="141">
        <v>5</v>
      </c>
      <c r="B11" s="150" t="s">
        <v>71</v>
      </c>
      <c r="C11" s="153">
        <f>+C6*C36</f>
        <v>181445.397</v>
      </c>
      <c r="D11" s="153">
        <f>+D6*D36</f>
        <v>16560.744</v>
      </c>
      <c r="E11" s="153">
        <f t="shared" si="0"/>
        <v>198006.141</v>
      </c>
      <c r="P11" s="150" t="s">
        <v>71</v>
      </c>
      <c r="AF11" s="150" t="s">
        <v>72</v>
      </c>
      <c r="AG11" s="150" t="s">
        <v>71</v>
      </c>
    </row>
    <row r="12" spans="1:33">
      <c r="A12" s="141">
        <v>6</v>
      </c>
      <c r="B12" s="150" t="s">
        <v>73</v>
      </c>
      <c r="C12" s="153">
        <f>+C6*C37</f>
        <v>91354.179</v>
      </c>
      <c r="D12" s="153">
        <f>+D6*D37</f>
        <v>8338.008</v>
      </c>
      <c r="E12" s="153">
        <f t="shared" si="0"/>
        <v>99692.187</v>
      </c>
      <c r="P12" s="150" t="s">
        <v>73</v>
      </c>
      <c r="AF12" s="150" t="s">
        <v>74</v>
      </c>
      <c r="AG12" s="150" t="s">
        <v>73</v>
      </c>
    </row>
    <row r="13" spans="1:34">
      <c r="A13" s="141">
        <v>7</v>
      </c>
      <c r="B13" s="150" t="s">
        <v>75</v>
      </c>
      <c r="C13" s="153">
        <f>+C6*C38</f>
        <v>185234.28</v>
      </c>
      <c r="D13" s="153">
        <f>+D6*D38</f>
        <v>16906.56</v>
      </c>
      <c r="E13" s="153">
        <f t="shared" si="0"/>
        <v>202140.84</v>
      </c>
      <c r="P13" s="150" t="s">
        <v>75</v>
      </c>
      <c r="AF13" s="150" t="s">
        <v>76</v>
      </c>
      <c r="AG13" s="150" t="s">
        <v>75</v>
      </c>
      <c r="AH13" s="139" t="s">
        <v>58</v>
      </c>
    </row>
    <row r="14" spans="1:33">
      <c r="A14" s="141">
        <v>8</v>
      </c>
      <c r="B14" s="155" t="s">
        <v>77</v>
      </c>
      <c r="C14" s="153">
        <f>SUM(C11:C13)</f>
        <v>458033.856</v>
      </c>
      <c r="D14" s="153">
        <f>SUM(D11:D13)</f>
        <v>41805.312</v>
      </c>
      <c r="E14" s="153">
        <f t="shared" si="0"/>
        <v>499839.168</v>
      </c>
      <c r="P14" s="155" t="s">
        <v>77</v>
      </c>
      <c r="AF14" s="150" t="s">
        <v>78</v>
      </c>
      <c r="AG14" s="155" t="s">
        <v>77</v>
      </c>
    </row>
    <row r="15" spans="1:33">
      <c r="A15" s="141">
        <v>9</v>
      </c>
      <c r="B15" s="155" t="s">
        <v>79</v>
      </c>
      <c r="C15" s="153">
        <f>+C9-C10-C14</f>
        <v>641832.144</v>
      </c>
      <c r="D15" s="153">
        <f>+D9-D10-D14</f>
        <v>635894.688</v>
      </c>
      <c r="E15" s="153">
        <f t="shared" si="0"/>
        <v>1277726.832</v>
      </c>
      <c r="P15" s="155" t="s">
        <v>79</v>
      </c>
      <c r="AF15" s="150" t="s">
        <v>80</v>
      </c>
      <c r="AG15" s="155" t="s">
        <v>79</v>
      </c>
    </row>
    <row r="16" spans="1:33">
      <c r="A16" s="141">
        <v>10</v>
      </c>
      <c r="B16" s="150" t="s">
        <v>81</v>
      </c>
      <c r="C16" s="156">
        <f>+C15/C9</f>
        <v>0.120878353274061</v>
      </c>
      <c r="D16" s="156">
        <f>+D15/D9</f>
        <v>0.598804723430702</v>
      </c>
      <c r="E16" s="156">
        <f>+E15/E9</f>
        <v>0.200532298252454</v>
      </c>
      <c r="P16" s="150" t="s">
        <v>81</v>
      </c>
      <c r="AF16" s="150" t="s">
        <v>82</v>
      </c>
      <c r="AG16" s="150" t="s">
        <v>81</v>
      </c>
    </row>
    <row r="17" spans="1:33">
      <c r="A17" s="141">
        <v>11</v>
      </c>
      <c r="B17" s="150" t="s">
        <v>83</v>
      </c>
      <c r="C17" s="153">
        <f>C6*C43+C18</f>
        <v>261429.67</v>
      </c>
      <c r="D17" s="153">
        <f>D6*D43+D18</f>
        <v>104578.84</v>
      </c>
      <c r="E17" s="153">
        <f>+SUM(C17:D17)</f>
        <v>366008.51</v>
      </c>
      <c r="F17" s="154"/>
      <c r="P17" s="150" t="s">
        <v>83</v>
      </c>
      <c r="AF17" s="150" t="s">
        <v>84</v>
      </c>
      <c r="AG17" s="150" t="s">
        <v>83</v>
      </c>
    </row>
    <row r="18" s="137" customFormat="1" spans="1:8">
      <c r="A18" s="141">
        <v>12</v>
      </c>
      <c r="B18" s="158" t="s">
        <v>162</v>
      </c>
      <c r="C18" s="159">
        <f>$E$18/$E$6*C6</f>
        <v>88825</v>
      </c>
      <c r="D18" s="159">
        <f>$E$18/$E$6*D6</f>
        <v>88825</v>
      </c>
      <c r="E18" s="153">
        <f>项目投资!E26</f>
        <v>177650</v>
      </c>
      <c r="F18" s="160" t="s">
        <v>163</v>
      </c>
      <c r="G18" s="160"/>
      <c r="H18" s="160"/>
    </row>
    <row r="19" spans="1:34">
      <c r="A19" s="141">
        <v>13</v>
      </c>
      <c r="B19" s="150" t="s">
        <v>85</v>
      </c>
      <c r="C19" s="153">
        <f>C6*C44</f>
        <v>29469.09</v>
      </c>
      <c r="D19" s="153">
        <f>D6*D44</f>
        <v>2689.68</v>
      </c>
      <c r="E19" s="153">
        <f>+SUM(C19:D19)</f>
        <v>32158.77</v>
      </c>
      <c r="F19" s="137"/>
      <c r="P19" s="150" t="s">
        <v>85</v>
      </c>
      <c r="AF19" s="150" t="s">
        <v>86</v>
      </c>
      <c r="AG19" s="150" t="s">
        <v>85</v>
      </c>
      <c r="AH19" s="139" t="s">
        <v>58</v>
      </c>
    </row>
    <row r="20" spans="1:33">
      <c r="A20" s="141">
        <v>14</v>
      </c>
      <c r="B20" s="150" t="s">
        <v>87</v>
      </c>
      <c r="C20" s="153">
        <f>C6*C45</f>
        <v>143135.58</v>
      </c>
      <c r="D20" s="153">
        <f>D6*D45</f>
        <v>13064.16</v>
      </c>
      <c r="E20" s="153">
        <f>+SUM(C20:D20)</f>
        <v>156199.74</v>
      </c>
      <c r="P20" s="150" t="s">
        <v>87</v>
      </c>
      <c r="AF20" s="150" t="s">
        <v>88</v>
      </c>
      <c r="AG20" s="150" t="s">
        <v>87</v>
      </c>
    </row>
    <row r="21" spans="1:33">
      <c r="A21" s="141">
        <v>15</v>
      </c>
      <c r="B21" s="150" t="s">
        <v>89</v>
      </c>
      <c r="C21" s="161">
        <f>$E$21/$E$6*C6</f>
        <v>24783.3333333333</v>
      </c>
      <c r="D21" s="161">
        <f>$E$21/$E$6*D6</f>
        <v>24783.3333333333</v>
      </c>
      <c r="E21" s="153">
        <f>项目投资!E27</f>
        <v>49566.6666666667</v>
      </c>
      <c r="P21" s="150" t="s">
        <v>89</v>
      </c>
      <c r="AF21" s="150"/>
      <c r="AG21" s="150"/>
    </row>
    <row r="22" spans="1:33">
      <c r="A22" s="141">
        <v>16</v>
      </c>
      <c r="B22" s="150" t="s">
        <v>90</v>
      </c>
      <c r="C22" s="153">
        <f>C6*C47</f>
        <v>126296.1</v>
      </c>
      <c r="D22" s="153">
        <f>D6*D47</f>
        <v>11527.2</v>
      </c>
      <c r="E22" s="153">
        <f>+SUM(C22:D22)</f>
        <v>137823.3</v>
      </c>
      <c r="P22" s="150" t="s">
        <v>90</v>
      </c>
      <c r="AF22" s="150" t="s">
        <v>91</v>
      </c>
      <c r="AG22" s="150" t="s">
        <v>90</v>
      </c>
    </row>
    <row r="23" spans="1:33">
      <c r="A23" s="141">
        <v>17</v>
      </c>
      <c r="B23" s="155" t="s">
        <v>92</v>
      </c>
      <c r="C23" s="161">
        <f>+C22+C21+C20+C19+C17</f>
        <v>585113.773333333</v>
      </c>
      <c r="D23" s="161">
        <f>+D22+D21+D20+D19+D17</f>
        <v>156643.213333333</v>
      </c>
      <c r="E23" s="161">
        <f>+E22+E21+E20+E19+E17</f>
        <v>741756.986666667</v>
      </c>
      <c r="P23" s="155" t="s">
        <v>92</v>
      </c>
      <c r="AF23" s="150" t="s">
        <v>93</v>
      </c>
      <c r="AG23" s="155" t="s">
        <v>92</v>
      </c>
    </row>
    <row r="24" spans="1:33">
      <c r="A24" s="141">
        <v>18</v>
      </c>
      <c r="B24" s="162" t="s">
        <v>94</v>
      </c>
      <c r="C24" s="161">
        <f>+C15-C23</f>
        <v>56718.3706666667</v>
      </c>
      <c r="D24" s="161">
        <f>+D15-D23</f>
        <v>479251.474666667</v>
      </c>
      <c r="E24" s="161">
        <f>+E15-E23</f>
        <v>535969.845333333</v>
      </c>
      <c r="G24" s="163"/>
      <c r="P24" s="150" t="s">
        <v>94</v>
      </c>
      <c r="AF24" s="150" t="s">
        <v>95</v>
      </c>
      <c r="AG24" s="150" t="s">
        <v>94</v>
      </c>
    </row>
    <row r="25" spans="1:33">
      <c r="A25" s="141">
        <v>19</v>
      </c>
      <c r="B25" s="150" t="s">
        <v>164</v>
      </c>
      <c r="C25" s="161"/>
      <c r="D25" s="161"/>
      <c r="E25" s="161">
        <f>IF(E24&lt;0,0,E24*0.25)</f>
        <v>133992.461333333</v>
      </c>
      <c r="F25" s="2"/>
      <c r="G25" s="2"/>
      <c r="H25" s="2"/>
      <c r="P25" s="150" t="s">
        <v>38</v>
      </c>
      <c r="AF25" s="150" t="s">
        <v>96</v>
      </c>
      <c r="AG25" s="150" t="s">
        <v>38</v>
      </c>
    </row>
    <row r="26" spans="1:33">
      <c r="A26" s="141">
        <v>20</v>
      </c>
      <c r="B26" s="150" t="s">
        <v>97</v>
      </c>
      <c r="C26" s="161">
        <f>C24-C25</f>
        <v>56718.3706666667</v>
      </c>
      <c r="D26" s="161">
        <f>D24-D25</f>
        <v>479251.474666667</v>
      </c>
      <c r="E26" s="153">
        <f>+SUM(C26:D26)</f>
        <v>535969.845333333</v>
      </c>
      <c r="F26" s="2"/>
      <c r="G26" s="2"/>
      <c r="H26" s="2"/>
      <c r="P26" s="150" t="s">
        <v>97</v>
      </c>
      <c r="AF26" s="150" t="s">
        <v>98</v>
      </c>
      <c r="AG26" s="150" t="s">
        <v>97</v>
      </c>
    </row>
    <row r="27" spans="1:33">
      <c r="A27" s="141">
        <v>21</v>
      </c>
      <c r="B27" s="150" t="s">
        <v>101</v>
      </c>
      <c r="C27" s="164">
        <f>C26/C7</f>
        <v>0.010681956817941</v>
      </c>
      <c r="D27" s="164">
        <f>D26/D7</f>
        <v>0.451298072081913</v>
      </c>
      <c r="E27" s="165">
        <f>E26/E7</f>
        <v>0.0841175611147418</v>
      </c>
      <c r="F27" s="2"/>
      <c r="G27" s="2"/>
      <c r="H27" s="2"/>
      <c r="P27" s="150" t="s">
        <v>101</v>
      </c>
      <c r="AF27" s="150" t="s">
        <v>100</v>
      </c>
      <c r="AG27" s="150" t="s">
        <v>101</v>
      </c>
    </row>
    <row r="28" spans="6:16">
      <c r="F28" s="2"/>
      <c r="G28" s="2"/>
      <c r="H28" s="2"/>
      <c r="P28" s="150"/>
    </row>
    <row r="29" spans="1:32">
      <c r="A29" s="139" t="s">
        <v>102</v>
      </c>
      <c r="E29" s="140" t="s">
        <v>165</v>
      </c>
      <c r="F29" s="2"/>
      <c r="G29" s="2"/>
      <c r="H29" s="2"/>
      <c r="P29" s="150"/>
      <c r="AF29" s="139" t="s">
        <v>102</v>
      </c>
    </row>
    <row r="30" spans="1:33">
      <c r="A30" s="150" t="s">
        <v>103</v>
      </c>
      <c r="B30" s="155" t="s">
        <v>104</v>
      </c>
      <c r="C30" s="161"/>
      <c r="D30" s="161"/>
      <c r="E30" s="161"/>
      <c r="F30" s="2"/>
      <c r="G30" s="2"/>
      <c r="H30" s="2"/>
      <c r="J30" s="2"/>
      <c r="P30" s="155" t="s">
        <v>104</v>
      </c>
      <c r="AF30" s="150" t="s">
        <v>105</v>
      </c>
      <c r="AG30" s="155" t="s">
        <v>104</v>
      </c>
    </row>
    <row r="31" spans="1:33">
      <c r="A31" s="141">
        <v>1</v>
      </c>
      <c r="B31" s="158" t="s">
        <v>106</v>
      </c>
      <c r="C31" s="166">
        <f>销量!C8</f>
        <v>1769.912</v>
      </c>
      <c r="D31" s="166">
        <f>销量!D8</f>
        <v>353.98</v>
      </c>
      <c r="E31" s="161"/>
      <c r="F31" s="2"/>
      <c r="G31" s="2"/>
      <c r="H31" s="2"/>
      <c r="J31" s="2"/>
      <c r="P31" s="150" t="s">
        <v>106</v>
      </c>
      <c r="AF31" s="150" t="s">
        <v>60</v>
      </c>
      <c r="AG31" s="150" t="s">
        <v>106</v>
      </c>
    </row>
    <row r="32" spans="1:33">
      <c r="A32" s="141">
        <v>2</v>
      </c>
      <c r="B32" s="150" t="s">
        <v>166</v>
      </c>
      <c r="C32" s="153">
        <f>C31*1</f>
        <v>1769.912</v>
      </c>
      <c r="D32" s="153">
        <f>D31*1</f>
        <v>353.98</v>
      </c>
      <c r="E32" s="161"/>
      <c r="F32" s="2"/>
      <c r="G32" s="2"/>
      <c r="H32" s="2"/>
      <c r="I32" s="2"/>
      <c r="J32" s="2"/>
      <c r="K32" s="2"/>
      <c r="L32" s="2"/>
      <c r="AF32" s="150"/>
      <c r="AG32" s="150"/>
    </row>
    <row r="33" spans="1:33">
      <c r="A33" s="141">
        <v>3</v>
      </c>
      <c r="B33" s="158" t="s">
        <v>107</v>
      </c>
      <c r="C33" s="153">
        <f>材料成本!D27</f>
        <v>1403.29</v>
      </c>
      <c r="D33" s="153">
        <f>材料成本!E27</f>
        <v>128.08</v>
      </c>
      <c r="E33" s="161"/>
      <c r="G33" s="2"/>
      <c r="H33" s="2"/>
      <c r="I33" s="2"/>
      <c r="J33" s="2"/>
      <c r="K33" s="2"/>
      <c r="L33" s="2"/>
      <c r="P33" s="150" t="s">
        <v>107</v>
      </c>
      <c r="AF33" s="150" t="s">
        <v>62</v>
      </c>
      <c r="AG33" s="150" t="s">
        <v>107</v>
      </c>
    </row>
    <row r="34" ht="17.25" customHeight="1" spans="1:33">
      <c r="A34" s="141">
        <v>4</v>
      </c>
      <c r="B34" s="150" t="s">
        <v>109</v>
      </c>
      <c r="C34" s="167">
        <f>C32-C33</f>
        <v>366.622</v>
      </c>
      <c r="D34" s="167">
        <f>D32-D33</f>
        <v>225.9</v>
      </c>
      <c r="E34" s="161"/>
      <c r="G34" s="2"/>
      <c r="H34" s="2"/>
      <c r="I34" s="2"/>
      <c r="J34" s="2"/>
      <c r="K34" s="2"/>
      <c r="L34" s="2"/>
      <c r="P34" s="150" t="s">
        <v>109</v>
      </c>
      <c r="AF34" s="150" t="s">
        <v>108</v>
      </c>
      <c r="AG34" s="150" t="s">
        <v>109</v>
      </c>
    </row>
    <row r="35" spans="1:33">
      <c r="A35" s="150" t="s">
        <v>105</v>
      </c>
      <c r="B35" s="155" t="s">
        <v>10</v>
      </c>
      <c r="C35" s="161"/>
      <c r="D35" s="161"/>
      <c r="E35" s="161"/>
      <c r="F35" s="2"/>
      <c r="G35" s="2"/>
      <c r="H35" s="2"/>
      <c r="I35" s="2"/>
      <c r="J35" s="2"/>
      <c r="K35" s="2"/>
      <c r="L35" s="2"/>
      <c r="M35" s="2"/>
      <c r="N35" s="2"/>
      <c r="O35" s="2"/>
      <c r="P35" s="155" t="s">
        <v>10</v>
      </c>
      <c r="AF35" s="150" t="s">
        <v>111</v>
      </c>
      <c r="AG35" s="155" t="s">
        <v>10</v>
      </c>
    </row>
    <row r="36" spans="1:33">
      <c r="A36" s="141">
        <v>1</v>
      </c>
      <c r="B36" s="150" t="s">
        <v>112</v>
      </c>
      <c r="C36" s="159">
        <f>标准成本!E4</f>
        <v>60.481799</v>
      </c>
      <c r="D36" s="159">
        <f>标准成本!E16</f>
        <v>5.520248</v>
      </c>
      <c r="E36" s="166"/>
      <c r="F36" s="2"/>
      <c r="G36" s="2"/>
      <c r="H36" s="2"/>
      <c r="I36" s="2"/>
      <c r="J36" s="2"/>
      <c r="K36" s="2"/>
      <c r="L36" s="2"/>
      <c r="M36" s="2"/>
      <c r="N36" s="2"/>
      <c r="O36" s="2"/>
      <c r="P36" s="150" t="s">
        <v>112</v>
      </c>
      <c r="AF36" s="150" t="s">
        <v>108</v>
      </c>
      <c r="AG36" s="150" t="s">
        <v>112</v>
      </c>
    </row>
    <row r="37" spans="1:33">
      <c r="A37" s="141">
        <v>2</v>
      </c>
      <c r="B37" s="150" t="s">
        <v>113</v>
      </c>
      <c r="C37" s="159">
        <f>标准成本!E6</f>
        <v>30.451393</v>
      </c>
      <c r="D37" s="159">
        <f>标准成本!E18</f>
        <v>2.779336</v>
      </c>
      <c r="E37" s="166"/>
      <c r="F37" s="2"/>
      <c r="G37" s="2"/>
      <c r="H37" s="2"/>
      <c r="I37" s="2"/>
      <c r="J37" s="2"/>
      <c r="K37" s="2"/>
      <c r="L37" s="2"/>
      <c r="M37" s="2"/>
      <c r="N37" s="2"/>
      <c r="O37" s="2"/>
      <c r="P37" s="150" t="s">
        <v>113</v>
      </c>
      <c r="AF37" s="150" t="s">
        <v>65</v>
      </c>
      <c r="AG37" s="150" t="s">
        <v>113</v>
      </c>
    </row>
    <row r="38" spans="1:33">
      <c r="A38" s="141">
        <v>3</v>
      </c>
      <c r="B38" s="150" t="s">
        <v>114</v>
      </c>
      <c r="C38" s="159">
        <f>标准成本!E10</f>
        <v>61.74476</v>
      </c>
      <c r="D38" s="159">
        <f>标准成本!E22</f>
        <v>5.63552</v>
      </c>
      <c r="E38" s="166"/>
      <c r="F38" s="2"/>
      <c r="G38" s="2"/>
      <c r="H38" s="2"/>
      <c r="I38" s="2"/>
      <c r="J38" s="2"/>
      <c r="K38" s="2"/>
      <c r="L38" s="2"/>
      <c r="M38" s="2"/>
      <c r="N38" s="2"/>
      <c r="O38" s="2"/>
      <c r="P38" s="150" t="s">
        <v>114</v>
      </c>
      <c r="AF38" s="150" t="s">
        <v>72</v>
      </c>
      <c r="AG38" s="150" t="s">
        <v>114</v>
      </c>
    </row>
    <row r="39" spans="1:33">
      <c r="A39" s="150" t="s">
        <v>111</v>
      </c>
      <c r="B39" s="155" t="s">
        <v>116</v>
      </c>
      <c r="C39" s="161"/>
      <c r="D39" s="161"/>
      <c r="E39" s="161"/>
      <c r="P39" s="155" t="s">
        <v>116</v>
      </c>
      <c r="AF39" s="150" t="s">
        <v>115</v>
      </c>
      <c r="AG39" s="155" t="s">
        <v>116</v>
      </c>
    </row>
    <row r="40" spans="1:33">
      <c r="A40" s="141">
        <v>1</v>
      </c>
      <c r="B40" s="150" t="s">
        <v>118</v>
      </c>
      <c r="C40" s="161">
        <f>C34-C36-C37-C38</f>
        <v>213.944048</v>
      </c>
      <c r="D40" s="161">
        <f>D34-D36-D37-D38</f>
        <v>211.964896</v>
      </c>
      <c r="E40" s="161"/>
      <c r="P40" s="150" t="s">
        <v>118</v>
      </c>
      <c r="AF40" s="150" t="s">
        <v>60</v>
      </c>
      <c r="AG40" s="150" t="s">
        <v>118</v>
      </c>
    </row>
    <row r="41" spans="1:33">
      <c r="A41" s="141">
        <v>2</v>
      </c>
      <c r="B41" s="150" t="s">
        <v>119</v>
      </c>
      <c r="C41" s="161"/>
      <c r="D41" s="161"/>
      <c r="E41" s="161"/>
      <c r="P41" s="150" t="s">
        <v>119</v>
      </c>
      <c r="AF41" s="150" t="s">
        <v>62</v>
      </c>
      <c r="AG41" s="150" t="s">
        <v>119</v>
      </c>
    </row>
    <row r="42" spans="1:33">
      <c r="A42" s="150" t="s">
        <v>115</v>
      </c>
      <c r="B42" s="155" t="s">
        <v>121</v>
      </c>
      <c r="C42" s="161"/>
      <c r="D42" s="161"/>
      <c r="E42" s="161"/>
      <c r="P42" s="155" t="s">
        <v>121</v>
      </c>
      <c r="AF42" s="150" t="s">
        <v>120</v>
      </c>
      <c r="AG42" s="155" t="s">
        <v>121</v>
      </c>
    </row>
    <row r="43" spans="1:33">
      <c r="A43" s="141">
        <v>1</v>
      </c>
      <c r="B43" s="162" t="s">
        <v>122</v>
      </c>
      <c r="C43" s="159">
        <f>标准成本!E5</f>
        <v>57.53489</v>
      </c>
      <c r="D43" s="159">
        <f>标准成本!E17</f>
        <v>5.25128</v>
      </c>
      <c r="E43" s="161"/>
      <c r="P43" s="150" t="s">
        <v>122</v>
      </c>
      <c r="AF43" s="150" t="s">
        <v>60</v>
      </c>
      <c r="AG43" s="150" t="s">
        <v>122</v>
      </c>
    </row>
    <row r="44" spans="1:33">
      <c r="A44" s="141">
        <v>2</v>
      </c>
      <c r="B44" s="162" t="s">
        <v>123</v>
      </c>
      <c r="C44" s="159">
        <f>标准成本!E9</f>
        <v>9.82303</v>
      </c>
      <c r="D44" s="159">
        <f>标准成本!E21</f>
        <v>0.89656</v>
      </c>
      <c r="E44" s="161"/>
      <c r="P44" s="150" t="s">
        <v>123</v>
      </c>
      <c r="AF44" s="150" t="s">
        <v>62</v>
      </c>
      <c r="AG44" s="150" t="s">
        <v>123</v>
      </c>
    </row>
    <row r="45" spans="1:33">
      <c r="A45" s="141">
        <v>3</v>
      </c>
      <c r="B45" s="162" t="s">
        <v>124</v>
      </c>
      <c r="C45" s="159">
        <f>标准成本!E8</f>
        <v>47.71186</v>
      </c>
      <c r="D45" s="159">
        <f>标准成本!E20</f>
        <v>4.35472</v>
      </c>
      <c r="E45" s="161"/>
      <c r="P45" s="150" t="s">
        <v>124</v>
      </c>
      <c r="AF45" s="150" t="s">
        <v>108</v>
      </c>
      <c r="AG45" s="150" t="s">
        <v>124</v>
      </c>
    </row>
    <row r="46" s="138" customFormat="1" spans="1:33">
      <c r="A46" s="141">
        <v>4</v>
      </c>
      <c r="B46" s="162" t="s">
        <v>125</v>
      </c>
      <c r="C46" s="168">
        <f>C21/C6</f>
        <v>8.26111111111111</v>
      </c>
      <c r="D46" s="168">
        <f>D21/D6</f>
        <v>8.26111111111111</v>
      </c>
      <c r="E46" s="168"/>
      <c r="P46" s="162" t="s">
        <v>127</v>
      </c>
      <c r="AF46" s="162" t="s">
        <v>68</v>
      </c>
      <c r="AG46" s="162" t="s">
        <v>127</v>
      </c>
    </row>
    <row r="47" s="138" customFormat="1" spans="1:33">
      <c r="A47" s="141">
        <v>5</v>
      </c>
      <c r="B47" s="162" t="s">
        <v>127</v>
      </c>
      <c r="C47" s="168">
        <f>标准成本!E11</f>
        <v>42.0987</v>
      </c>
      <c r="D47" s="168">
        <f>标准成本!E23</f>
        <v>3.8424</v>
      </c>
      <c r="E47" s="168"/>
      <c r="P47" s="162" t="s">
        <v>127</v>
      </c>
      <c r="AF47" s="162" t="s">
        <v>68</v>
      </c>
      <c r="AG47" s="162" t="s">
        <v>127</v>
      </c>
    </row>
    <row r="48" spans="1:33">
      <c r="A48" s="150" t="s">
        <v>120</v>
      </c>
      <c r="B48" s="155" t="s">
        <v>138</v>
      </c>
      <c r="C48" s="161">
        <f>C40-C43-C44-C45-C47-C46</f>
        <v>48.5144568888889</v>
      </c>
      <c r="D48" s="161">
        <f>D40-D43-D44-D45-D47-D46</f>
        <v>189.358824888889</v>
      </c>
      <c r="E48" s="161"/>
      <c r="P48" s="155" t="s">
        <v>138</v>
      </c>
      <c r="AF48" s="150" t="s">
        <v>137</v>
      </c>
      <c r="AG48" s="155" t="s">
        <v>138</v>
      </c>
    </row>
    <row r="51" spans="3:4">
      <c r="C51" s="169"/>
      <c r="D51" s="169"/>
    </row>
    <row r="54" spans="2:10">
      <c r="B54" s="2"/>
      <c r="C54" s="170"/>
      <c r="D54" s="170"/>
      <c r="E54" s="170"/>
      <c r="F54" s="2"/>
      <c r="G54" s="2"/>
      <c r="H54" s="2"/>
      <c r="I54" s="2"/>
      <c r="J54" s="2"/>
    </row>
    <row r="55" spans="2:10">
      <c r="B55" s="2"/>
      <c r="C55" s="170"/>
      <c r="D55" s="170"/>
      <c r="E55" s="170"/>
      <c r="F55" s="2"/>
      <c r="G55" s="2"/>
      <c r="H55" s="2"/>
      <c r="I55" s="2"/>
      <c r="J55" s="2"/>
    </row>
    <row r="56" spans="2:10">
      <c r="B56" s="2"/>
      <c r="C56" s="170"/>
      <c r="D56" s="170"/>
      <c r="E56" s="170"/>
      <c r="F56" s="2"/>
      <c r="G56" s="2"/>
      <c r="H56" s="2"/>
      <c r="I56" s="2"/>
      <c r="J56" s="2"/>
    </row>
    <row r="57" spans="2:10">
      <c r="B57" s="2"/>
      <c r="C57" s="170"/>
      <c r="D57" s="170"/>
      <c r="E57" s="170"/>
      <c r="F57" s="2"/>
      <c r="G57" s="2"/>
      <c r="H57" s="2"/>
      <c r="I57" s="2"/>
      <c r="J57" s="2"/>
    </row>
    <row r="58" spans="2:10">
      <c r="B58" s="2"/>
      <c r="C58" s="170"/>
      <c r="D58" s="170"/>
      <c r="E58" s="170"/>
      <c r="F58" s="2"/>
      <c r="G58" s="2"/>
      <c r="H58" s="2"/>
      <c r="I58" s="2"/>
      <c r="J58" s="2"/>
    </row>
    <row r="59" spans="2:10">
      <c r="B59" s="2"/>
      <c r="C59" s="170"/>
      <c r="D59" s="170"/>
      <c r="E59" s="170"/>
      <c r="F59" s="2"/>
      <c r="G59" s="2"/>
      <c r="H59" s="2"/>
      <c r="I59" s="2"/>
      <c r="J59" s="2"/>
    </row>
    <row r="60" spans="2:10">
      <c r="B60" s="2"/>
      <c r="C60" s="170"/>
      <c r="D60" s="170"/>
      <c r="E60" s="170"/>
      <c r="F60" s="2"/>
      <c r="G60" s="2"/>
      <c r="H60" s="2"/>
      <c r="I60" s="2"/>
      <c r="J60" s="2"/>
    </row>
    <row r="61" spans="2:10">
      <c r="B61" s="2"/>
      <c r="C61" s="170"/>
      <c r="D61" s="170"/>
      <c r="E61" s="170"/>
      <c r="F61" s="2"/>
      <c r="G61" s="2"/>
      <c r="H61" s="2"/>
      <c r="I61" s="2"/>
      <c r="J61" s="2"/>
    </row>
    <row r="62" spans="2:10">
      <c r="B62" s="2"/>
      <c r="C62" s="170"/>
      <c r="D62" s="170"/>
      <c r="E62" s="170"/>
      <c r="F62" s="2"/>
      <c r="G62" s="2"/>
      <c r="H62" s="2"/>
      <c r="I62" s="2"/>
      <c r="J62" s="2"/>
    </row>
    <row r="63" spans="2:10">
      <c r="B63" s="2"/>
      <c r="C63" s="170"/>
      <c r="D63" s="170"/>
      <c r="E63" s="170"/>
      <c r="F63" s="2"/>
      <c r="G63" s="2"/>
      <c r="H63" s="2"/>
      <c r="I63" s="2"/>
      <c r="J63" s="2"/>
    </row>
    <row r="64" spans="2:10">
      <c r="B64" s="2"/>
      <c r="C64" s="170"/>
      <c r="D64" s="170"/>
      <c r="E64" s="170"/>
      <c r="F64" s="2"/>
      <c r="G64" s="2"/>
      <c r="H64" s="2"/>
      <c r="I64" s="2"/>
      <c r="J64" s="2"/>
    </row>
    <row r="65" spans="2:10">
      <c r="B65" s="2"/>
      <c r="C65" s="170"/>
      <c r="D65" s="170"/>
      <c r="E65" s="170"/>
      <c r="F65" s="2"/>
      <c r="G65" s="2"/>
      <c r="H65" s="2"/>
      <c r="I65" s="2"/>
      <c r="J65" s="2"/>
    </row>
    <row r="66" spans="2:10">
      <c r="B66" s="2"/>
      <c r="C66" s="170"/>
      <c r="D66" s="170"/>
      <c r="E66" s="170"/>
      <c r="F66" s="2"/>
      <c r="G66" s="2"/>
      <c r="H66" s="2"/>
      <c r="I66" s="2"/>
      <c r="J66" s="2"/>
    </row>
    <row r="67" spans="2:6">
      <c r="B67" s="2"/>
      <c r="C67" s="170"/>
      <c r="D67" s="170"/>
      <c r="E67" s="170"/>
      <c r="F67" s="2"/>
    </row>
    <row r="68" spans="2:6">
      <c r="B68" s="2"/>
      <c r="C68" s="170"/>
      <c r="D68" s="170"/>
      <c r="E68" s="170"/>
      <c r="F68" s="2"/>
    </row>
    <row r="69" spans="2:6">
      <c r="B69" s="2"/>
      <c r="C69" s="170"/>
      <c r="D69" s="170"/>
      <c r="E69" s="170"/>
      <c r="F69" s="2"/>
    </row>
    <row r="70" spans="2:6">
      <c r="B70" s="2"/>
      <c r="C70" s="170"/>
      <c r="D70" s="170"/>
      <c r="E70" s="170"/>
      <c r="F70" s="2"/>
    </row>
    <row r="71" spans="2:6">
      <c r="B71" s="2"/>
      <c r="C71" s="170"/>
      <c r="D71" s="170"/>
      <c r="E71" s="170"/>
      <c r="F71" s="2"/>
    </row>
    <row r="72" spans="2:6">
      <c r="B72" s="2"/>
      <c r="C72" s="170"/>
      <c r="D72" s="170"/>
      <c r="E72" s="170"/>
      <c r="F72" s="2"/>
    </row>
    <row r="73" spans="2:6">
      <c r="B73" s="2"/>
      <c r="C73" s="170"/>
      <c r="D73" s="170"/>
      <c r="E73" s="170"/>
      <c r="F73" s="2"/>
    </row>
    <row r="74" spans="2:6">
      <c r="B74" s="2"/>
      <c r="C74" s="170"/>
      <c r="D74" s="170"/>
      <c r="E74" s="170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P1" sqref="P$1:P$1048576"/>
    </sheetView>
  </sheetViews>
  <sheetFormatPr defaultColWidth="9" defaultRowHeight="14.5"/>
  <cols>
    <col min="1" max="1" width="5.12727272727273" style="139" customWidth="1"/>
    <col min="2" max="2" width="17.5" style="139" customWidth="1"/>
    <col min="3" max="4" width="15.5454545454545" style="140" customWidth="1"/>
    <col min="5" max="5" width="16.8181818181818" style="140" customWidth="1"/>
    <col min="6" max="6" width="12.3727272727273" style="139" customWidth="1"/>
    <col min="7" max="7" width="10.1272727272727" style="139" customWidth="1"/>
    <col min="8" max="14" width="9" style="139" customWidth="1"/>
    <col min="15" max="15" width="9" style="139"/>
    <col min="16" max="16" width="9" style="139" hidden="1" customWidth="1"/>
    <col min="17" max="31" width="9" style="139"/>
    <col min="32" max="32" width="4.37272727272727" style="139" customWidth="1"/>
    <col min="33" max="33" width="13.8727272727273" style="139" customWidth="1"/>
    <col min="34" max="16384" width="9" style="139"/>
  </cols>
  <sheetData>
    <row r="1" spans="1:5">
      <c r="A1" s="141" t="s">
        <v>148</v>
      </c>
      <c r="B1" s="141"/>
      <c r="C1" s="142" t="s">
        <v>168</v>
      </c>
      <c r="D1" s="143"/>
      <c r="E1" s="144"/>
    </row>
    <row r="2" spans="1:5">
      <c r="A2" s="141" t="s">
        <v>150</v>
      </c>
      <c r="B2" s="141"/>
      <c r="C2" s="145" t="s">
        <v>151</v>
      </c>
      <c r="D2" s="145"/>
      <c r="E2" s="145"/>
    </row>
    <row r="3" spans="1:5">
      <c r="A3" s="141" t="s">
        <v>152</v>
      </c>
      <c r="B3" s="141"/>
      <c r="C3" s="77" t="s">
        <v>153</v>
      </c>
      <c r="D3" s="77" t="s">
        <v>154</v>
      </c>
      <c r="E3" s="146" t="s">
        <v>56</v>
      </c>
    </row>
    <row r="4" spans="1:5">
      <c r="A4" s="141" t="s">
        <v>155</v>
      </c>
      <c r="B4" s="141"/>
      <c r="C4" s="79" t="s">
        <v>156</v>
      </c>
      <c r="D4" s="79" t="s">
        <v>157</v>
      </c>
      <c r="E4" s="147"/>
    </row>
    <row r="5" ht="99" spans="1:34">
      <c r="A5" s="141" t="s">
        <v>158</v>
      </c>
      <c r="B5" s="141"/>
      <c r="C5" s="148" t="s">
        <v>159</v>
      </c>
      <c r="D5" s="148" t="s">
        <v>160</v>
      </c>
      <c r="E5" s="149"/>
      <c r="AH5" s="139" t="s">
        <v>57</v>
      </c>
    </row>
    <row r="6" ht="16.5" spans="1:34">
      <c r="A6" s="150" t="s">
        <v>21</v>
      </c>
      <c r="B6" s="151" t="s">
        <v>161</v>
      </c>
      <c r="C6" s="152">
        <f>销量!C11</f>
        <v>3000</v>
      </c>
      <c r="D6" s="152">
        <f>销量!D11</f>
        <v>3000</v>
      </c>
      <c r="E6" s="153">
        <f t="shared" ref="E6:E15" si="0">+SUM(C6:D6)</f>
        <v>6000</v>
      </c>
      <c r="P6" s="151" t="s">
        <v>3</v>
      </c>
      <c r="AF6" s="150" t="s">
        <v>21</v>
      </c>
      <c r="AG6" s="151" t="s">
        <v>3</v>
      </c>
      <c r="AH6" s="139" t="s">
        <v>58</v>
      </c>
    </row>
    <row r="7" spans="1:34">
      <c r="A7" s="141">
        <v>1</v>
      </c>
      <c r="B7" s="151" t="s">
        <v>59</v>
      </c>
      <c r="C7" s="153">
        <f>C6*销量!C8</f>
        <v>5309736</v>
      </c>
      <c r="D7" s="153">
        <f>D6*销量!D8</f>
        <v>1061940</v>
      </c>
      <c r="E7" s="153">
        <f t="shared" si="0"/>
        <v>6371676</v>
      </c>
      <c r="F7" s="140"/>
      <c r="P7" s="151" t="s">
        <v>59</v>
      </c>
      <c r="AF7" s="150" t="s">
        <v>60</v>
      </c>
      <c r="AG7" s="151" t="s">
        <v>59</v>
      </c>
      <c r="AH7" s="139" t="s">
        <v>58</v>
      </c>
    </row>
    <row r="8" spans="1:34">
      <c r="A8" s="141">
        <v>2</v>
      </c>
      <c r="B8" s="141" t="s">
        <v>61</v>
      </c>
      <c r="C8" s="153">
        <f>C7*(1-销量!$P$8)</f>
        <v>0</v>
      </c>
      <c r="D8" s="153">
        <f>D7*(1-销量!$P$8)</f>
        <v>0</v>
      </c>
      <c r="E8" s="153">
        <f t="shared" si="0"/>
        <v>0</v>
      </c>
      <c r="F8" s="154"/>
      <c r="P8" s="141" t="s">
        <v>63</v>
      </c>
      <c r="AF8" s="150" t="s">
        <v>62</v>
      </c>
      <c r="AG8" s="141" t="s">
        <v>63</v>
      </c>
      <c r="AH8" s="139" t="s">
        <v>58</v>
      </c>
    </row>
    <row r="9" spans="1:34">
      <c r="A9" s="141">
        <v>3</v>
      </c>
      <c r="B9" s="151" t="s">
        <v>64</v>
      </c>
      <c r="C9" s="153">
        <f>+C7-C8</f>
        <v>5309736</v>
      </c>
      <c r="D9" s="153">
        <f>+D7-D8</f>
        <v>1061940</v>
      </c>
      <c r="E9" s="153">
        <f t="shared" si="0"/>
        <v>6371676</v>
      </c>
      <c r="P9" s="151" t="s">
        <v>64</v>
      </c>
      <c r="AF9" s="150" t="s">
        <v>65</v>
      </c>
      <c r="AG9" s="151" t="s">
        <v>64</v>
      </c>
      <c r="AH9" s="139" t="s">
        <v>66</v>
      </c>
    </row>
    <row r="10" spans="1:34">
      <c r="A10" s="141">
        <v>4</v>
      </c>
      <c r="B10" s="150" t="s">
        <v>69</v>
      </c>
      <c r="C10" s="153">
        <f>C6*C33</f>
        <v>4209870</v>
      </c>
      <c r="D10" s="153">
        <f>D6*D33</f>
        <v>384240</v>
      </c>
      <c r="E10" s="153">
        <f t="shared" si="0"/>
        <v>4594110</v>
      </c>
      <c r="P10" s="150" t="s">
        <v>69</v>
      </c>
      <c r="AF10" s="150" t="s">
        <v>68</v>
      </c>
      <c r="AG10" s="150" t="s">
        <v>69</v>
      </c>
      <c r="AH10" s="139" t="s">
        <v>70</v>
      </c>
    </row>
    <row r="11" spans="1:33">
      <c r="A11" s="141">
        <v>5</v>
      </c>
      <c r="B11" s="150" t="s">
        <v>71</v>
      </c>
      <c r="C11" s="153">
        <f>+C6*C36</f>
        <v>181445.397</v>
      </c>
      <c r="D11" s="153">
        <f>+D6*D36</f>
        <v>16560.744</v>
      </c>
      <c r="E11" s="153">
        <f t="shared" si="0"/>
        <v>198006.141</v>
      </c>
      <c r="P11" s="150" t="s">
        <v>71</v>
      </c>
      <c r="AF11" s="150" t="s">
        <v>72</v>
      </c>
      <c r="AG11" s="150" t="s">
        <v>71</v>
      </c>
    </row>
    <row r="12" spans="1:33">
      <c r="A12" s="141">
        <v>6</v>
      </c>
      <c r="B12" s="150" t="s">
        <v>73</v>
      </c>
      <c r="C12" s="153">
        <f>+C6*C37</f>
        <v>91354.179</v>
      </c>
      <c r="D12" s="153">
        <f>+D6*D37</f>
        <v>8338.008</v>
      </c>
      <c r="E12" s="153">
        <f t="shared" si="0"/>
        <v>99692.187</v>
      </c>
      <c r="P12" s="150" t="s">
        <v>73</v>
      </c>
      <c r="AF12" s="150" t="s">
        <v>74</v>
      </c>
      <c r="AG12" s="150" t="s">
        <v>73</v>
      </c>
    </row>
    <row r="13" spans="1:34">
      <c r="A13" s="141">
        <v>7</v>
      </c>
      <c r="B13" s="150" t="s">
        <v>75</v>
      </c>
      <c r="C13" s="153">
        <f>+C6*C38</f>
        <v>185234.28</v>
      </c>
      <c r="D13" s="153">
        <f>+D6*D38</f>
        <v>16906.56</v>
      </c>
      <c r="E13" s="153">
        <f t="shared" si="0"/>
        <v>202140.84</v>
      </c>
      <c r="P13" s="150" t="s">
        <v>75</v>
      </c>
      <c r="AF13" s="150" t="s">
        <v>76</v>
      </c>
      <c r="AG13" s="150" t="s">
        <v>75</v>
      </c>
      <c r="AH13" s="139" t="s">
        <v>58</v>
      </c>
    </row>
    <row r="14" spans="1:33">
      <c r="A14" s="141">
        <v>8</v>
      </c>
      <c r="B14" s="155" t="s">
        <v>77</v>
      </c>
      <c r="C14" s="153">
        <f>SUM(C11:C13)</f>
        <v>458033.856</v>
      </c>
      <c r="D14" s="153">
        <f>SUM(D11:D13)</f>
        <v>41805.312</v>
      </c>
      <c r="E14" s="153">
        <f t="shared" si="0"/>
        <v>499839.168</v>
      </c>
      <c r="P14" s="155" t="s">
        <v>77</v>
      </c>
      <c r="AF14" s="150" t="s">
        <v>78</v>
      </c>
      <c r="AG14" s="155" t="s">
        <v>77</v>
      </c>
    </row>
    <row r="15" spans="1:33">
      <c r="A15" s="141">
        <v>9</v>
      </c>
      <c r="B15" s="155" t="s">
        <v>79</v>
      </c>
      <c r="C15" s="153">
        <f>+C9-C10-C14</f>
        <v>641832.144</v>
      </c>
      <c r="D15" s="153">
        <f>+D9-D10-D14</f>
        <v>635894.688</v>
      </c>
      <c r="E15" s="153">
        <f t="shared" si="0"/>
        <v>1277726.832</v>
      </c>
      <c r="P15" s="155" t="s">
        <v>79</v>
      </c>
      <c r="AF15" s="150" t="s">
        <v>80</v>
      </c>
      <c r="AG15" s="155" t="s">
        <v>79</v>
      </c>
    </row>
    <row r="16" spans="1:33">
      <c r="A16" s="141">
        <v>10</v>
      </c>
      <c r="B16" s="150" t="s">
        <v>81</v>
      </c>
      <c r="C16" s="156">
        <f>+C15/C9</f>
        <v>0.120878353274061</v>
      </c>
      <c r="D16" s="156">
        <f>+D15/D9</f>
        <v>0.598804723430702</v>
      </c>
      <c r="E16" s="156">
        <f>+E15/E9</f>
        <v>0.200532298252454</v>
      </c>
      <c r="F16" s="157"/>
      <c r="G16" s="157"/>
      <c r="H16" s="157"/>
      <c r="P16" s="150" t="s">
        <v>81</v>
      </c>
      <c r="AF16" s="150" t="s">
        <v>82</v>
      </c>
      <c r="AG16" s="150" t="s">
        <v>81</v>
      </c>
    </row>
    <row r="17" spans="1:33">
      <c r="A17" s="141">
        <v>11</v>
      </c>
      <c r="B17" s="150" t="s">
        <v>83</v>
      </c>
      <c r="C17" s="153">
        <f>C6*C43+C18</f>
        <v>261429.67</v>
      </c>
      <c r="D17" s="153">
        <f>D6*D43+D18</f>
        <v>104578.84</v>
      </c>
      <c r="E17" s="153">
        <f>+SUM(C17:D17)</f>
        <v>366008.51</v>
      </c>
      <c r="F17" s="154"/>
      <c r="P17" s="150" t="s">
        <v>83</v>
      </c>
      <c r="AF17" s="150" t="s">
        <v>84</v>
      </c>
      <c r="AG17" s="150" t="s">
        <v>83</v>
      </c>
    </row>
    <row r="18" s="137" customFormat="1" spans="1:8">
      <c r="A18" s="141">
        <v>12</v>
      </c>
      <c r="B18" s="158" t="s">
        <v>162</v>
      </c>
      <c r="C18" s="159">
        <f>$E$18/$E$6*C6</f>
        <v>88825</v>
      </c>
      <c r="D18" s="159">
        <f>$E$18/$E$6*D6</f>
        <v>88825</v>
      </c>
      <c r="E18" s="153">
        <f>项目投资!F26</f>
        <v>177650</v>
      </c>
      <c r="F18" s="160" t="s">
        <v>163</v>
      </c>
      <c r="G18" s="160"/>
      <c r="H18" s="160"/>
    </row>
    <row r="19" spans="1:34">
      <c r="A19" s="141">
        <v>13</v>
      </c>
      <c r="B19" s="150" t="s">
        <v>85</v>
      </c>
      <c r="C19" s="153">
        <f>C6*C44</f>
        <v>29469.09</v>
      </c>
      <c r="D19" s="153">
        <f>D6*D44</f>
        <v>2689.68</v>
      </c>
      <c r="E19" s="153">
        <f>+SUM(C19:D19)</f>
        <v>32158.77</v>
      </c>
      <c r="F19" s="137"/>
      <c r="P19" s="150" t="s">
        <v>85</v>
      </c>
      <c r="AF19" s="150" t="s">
        <v>86</v>
      </c>
      <c r="AG19" s="150" t="s">
        <v>85</v>
      </c>
      <c r="AH19" s="139" t="s">
        <v>58</v>
      </c>
    </row>
    <row r="20" spans="1:33">
      <c r="A20" s="141">
        <v>14</v>
      </c>
      <c r="B20" s="150" t="s">
        <v>87</v>
      </c>
      <c r="C20" s="153">
        <f>C6*C45</f>
        <v>143135.58</v>
      </c>
      <c r="D20" s="153">
        <f>D6*D45</f>
        <v>13064.16</v>
      </c>
      <c r="E20" s="153">
        <f>+SUM(C20:D20)</f>
        <v>156199.74</v>
      </c>
      <c r="P20" s="150" t="s">
        <v>87</v>
      </c>
      <c r="AF20" s="150" t="s">
        <v>88</v>
      </c>
      <c r="AG20" s="150" t="s">
        <v>87</v>
      </c>
    </row>
    <row r="21" spans="1:33">
      <c r="A21" s="141">
        <v>15</v>
      </c>
      <c r="B21" s="150" t="s">
        <v>89</v>
      </c>
      <c r="C21" s="161">
        <f>$E$21/$E$6*C6</f>
        <v>24783.3333333333</v>
      </c>
      <c r="D21" s="161">
        <f>$E$21/$E$6*D6</f>
        <v>24783.3333333333</v>
      </c>
      <c r="E21" s="153">
        <f>项目投资!F27</f>
        <v>49566.6666666667</v>
      </c>
      <c r="P21" s="150" t="s">
        <v>89</v>
      </c>
      <c r="AF21" s="150"/>
      <c r="AG21" s="150"/>
    </row>
    <row r="22" spans="1:33">
      <c r="A22" s="141">
        <v>16</v>
      </c>
      <c r="B22" s="150" t="s">
        <v>90</v>
      </c>
      <c r="C22" s="153">
        <f>C6*C47</f>
        <v>126296.1</v>
      </c>
      <c r="D22" s="153">
        <f>D6*D47</f>
        <v>11527.2</v>
      </c>
      <c r="E22" s="153">
        <f>+SUM(C22:D22)</f>
        <v>137823.3</v>
      </c>
      <c r="P22" s="150" t="s">
        <v>90</v>
      </c>
      <c r="AF22" s="150" t="s">
        <v>91</v>
      </c>
      <c r="AG22" s="150" t="s">
        <v>90</v>
      </c>
    </row>
    <row r="23" spans="1:33">
      <c r="A23" s="141">
        <v>17</v>
      </c>
      <c r="B23" s="155" t="s">
        <v>92</v>
      </c>
      <c r="C23" s="161">
        <f>+C22+C21+C20+C19+C17</f>
        <v>585113.773333333</v>
      </c>
      <c r="D23" s="161">
        <f>+D22+D21+D20+D19+D17</f>
        <v>156643.213333333</v>
      </c>
      <c r="E23" s="161">
        <f>+E22+E21+E20+E19+E17</f>
        <v>741756.986666667</v>
      </c>
      <c r="P23" s="155" t="s">
        <v>92</v>
      </c>
      <c r="AF23" s="150" t="s">
        <v>93</v>
      </c>
      <c r="AG23" s="155" t="s">
        <v>92</v>
      </c>
    </row>
    <row r="24" spans="1:33">
      <c r="A24" s="141">
        <v>18</v>
      </c>
      <c r="B24" s="162" t="s">
        <v>94</v>
      </c>
      <c r="C24" s="161">
        <f>+C15-C23</f>
        <v>56718.3706666667</v>
      </c>
      <c r="D24" s="161">
        <f>+D15-D23</f>
        <v>479251.474666667</v>
      </c>
      <c r="E24" s="161">
        <f>+E15-E23</f>
        <v>535969.845333333</v>
      </c>
      <c r="G24" s="163"/>
      <c r="P24" s="150" t="s">
        <v>94</v>
      </c>
      <c r="AF24" s="150" t="s">
        <v>95</v>
      </c>
      <c r="AG24" s="150" t="s">
        <v>94</v>
      </c>
    </row>
    <row r="25" spans="1:33">
      <c r="A25" s="141">
        <v>19</v>
      </c>
      <c r="B25" s="150" t="s">
        <v>164</v>
      </c>
      <c r="C25" s="161"/>
      <c r="D25" s="161"/>
      <c r="E25" s="161">
        <f>IF(E24&lt;0,0,E24*0.25)</f>
        <v>133992.461333333</v>
      </c>
      <c r="F25" s="2"/>
      <c r="G25" s="2"/>
      <c r="H25" s="2"/>
      <c r="P25" s="150" t="s">
        <v>38</v>
      </c>
      <c r="AF25" s="150" t="s">
        <v>96</v>
      </c>
      <c r="AG25" s="150" t="s">
        <v>38</v>
      </c>
    </row>
    <row r="26" spans="1:33">
      <c r="A26" s="141">
        <v>20</v>
      </c>
      <c r="B26" s="150" t="s">
        <v>97</v>
      </c>
      <c r="C26" s="161">
        <f>C24-C25</f>
        <v>56718.3706666667</v>
      </c>
      <c r="D26" s="161">
        <f>D24-D25</f>
        <v>479251.474666667</v>
      </c>
      <c r="E26" s="153">
        <f>+SUM(C26:D26)</f>
        <v>535969.845333333</v>
      </c>
      <c r="F26" s="2"/>
      <c r="G26" s="2"/>
      <c r="H26" s="2"/>
      <c r="P26" s="150" t="s">
        <v>97</v>
      </c>
      <c r="AF26" s="150" t="s">
        <v>98</v>
      </c>
      <c r="AG26" s="150" t="s">
        <v>97</v>
      </c>
    </row>
    <row r="27" spans="1:33">
      <c r="A27" s="141">
        <v>21</v>
      </c>
      <c r="B27" s="150" t="s">
        <v>101</v>
      </c>
      <c r="C27" s="164">
        <f>C26/C7</f>
        <v>0.010681956817941</v>
      </c>
      <c r="D27" s="164">
        <f>D26/D7</f>
        <v>0.451298072081913</v>
      </c>
      <c r="E27" s="165">
        <f>E26/E7</f>
        <v>0.0841175611147418</v>
      </c>
      <c r="F27" s="2"/>
      <c r="G27" s="2"/>
      <c r="H27" s="2"/>
      <c r="P27" s="150" t="s">
        <v>101</v>
      </c>
      <c r="AF27" s="150" t="s">
        <v>100</v>
      </c>
      <c r="AG27" s="150" t="s">
        <v>101</v>
      </c>
    </row>
    <row r="28" spans="6:16">
      <c r="F28" s="2"/>
      <c r="G28" s="2"/>
      <c r="H28" s="2"/>
      <c r="P28" s="150"/>
    </row>
    <row r="29" spans="1:32">
      <c r="A29" s="139" t="s">
        <v>102</v>
      </c>
      <c r="E29" s="140" t="s">
        <v>165</v>
      </c>
      <c r="F29" s="2"/>
      <c r="G29" s="2"/>
      <c r="H29" s="2"/>
      <c r="P29" s="150"/>
      <c r="AF29" s="139" t="s">
        <v>102</v>
      </c>
    </row>
    <row r="30" spans="1:33">
      <c r="A30" s="150" t="s">
        <v>103</v>
      </c>
      <c r="B30" s="155" t="s">
        <v>104</v>
      </c>
      <c r="C30" s="161"/>
      <c r="D30" s="161"/>
      <c r="E30" s="161"/>
      <c r="F30" s="2"/>
      <c r="G30" s="2"/>
      <c r="H30" s="2"/>
      <c r="J30" s="2"/>
      <c r="P30" s="155" t="s">
        <v>104</v>
      </c>
      <c r="AF30" s="150" t="s">
        <v>105</v>
      </c>
      <c r="AG30" s="155" t="s">
        <v>104</v>
      </c>
    </row>
    <row r="31" spans="1:33">
      <c r="A31" s="141">
        <v>1</v>
      </c>
      <c r="B31" s="158" t="s">
        <v>106</v>
      </c>
      <c r="C31" s="166">
        <f>销量!C8</f>
        <v>1769.912</v>
      </c>
      <c r="D31" s="166">
        <f>销量!D8</f>
        <v>353.98</v>
      </c>
      <c r="E31" s="161"/>
      <c r="F31" s="2"/>
      <c r="G31" s="2"/>
      <c r="H31" s="2"/>
      <c r="J31" s="2"/>
      <c r="P31" s="150" t="s">
        <v>106</v>
      </c>
      <c r="AF31" s="150" t="s">
        <v>60</v>
      </c>
      <c r="AG31" s="150" t="s">
        <v>106</v>
      </c>
    </row>
    <row r="32" spans="1:33">
      <c r="A32" s="141">
        <v>2</v>
      </c>
      <c r="B32" s="150" t="s">
        <v>166</v>
      </c>
      <c r="C32" s="153">
        <f>C31*1</f>
        <v>1769.912</v>
      </c>
      <c r="D32" s="153">
        <f>D31*1</f>
        <v>353.98</v>
      </c>
      <c r="E32" s="161"/>
      <c r="F32" s="2"/>
      <c r="G32" s="2"/>
      <c r="H32" s="2"/>
      <c r="I32" s="2"/>
      <c r="J32" s="2"/>
      <c r="K32" s="2"/>
      <c r="L32" s="2"/>
      <c r="AF32" s="150"/>
      <c r="AG32" s="150"/>
    </row>
    <row r="33" spans="1:33">
      <c r="A33" s="141">
        <v>3</v>
      </c>
      <c r="B33" s="158" t="s">
        <v>107</v>
      </c>
      <c r="C33" s="153">
        <f>材料成本!D28</f>
        <v>1403.29</v>
      </c>
      <c r="D33" s="153">
        <f>材料成本!E28</f>
        <v>128.08</v>
      </c>
      <c r="E33" s="161"/>
      <c r="G33" s="2"/>
      <c r="H33" s="2"/>
      <c r="I33" s="2"/>
      <c r="J33" s="2"/>
      <c r="K33" s="2"/>
      <c r="L33" s="2"/>
      <c r="P33" s="150" t="s">
        <v>107</v>
      </c>
      <c r="AF33" s="150" t="s">
        <v>62</v>
      </c>
      <c r="AG33" s="150" t="s">
        <v>107</v>
      </c>
    </row>
    <row r="34" ht="17.25" customHeight="1" spans="1:33">
      <c r="A34" s="141">
        <v>4</v>
      </c>
      <c r="B34" s="150" t="s">
        <v>109</v>
      </c>
      <c r="C34" s="167">
        <f>C32-C33</f>
        <v>366.622</v>
      </c>
      <c r="D34" s="167">
        <f>D32-D33</f>
        <v>225.9</v>
      </c>
      <c r="E34" s="161"/>
      <c r="G34" s="2"/>
      <c r="H34" s="2"/>
      <c r="I34" s="2"/>
      <c r="J34" s="2"/>
      <c r="K34" s="2"/>
      <c r="L34" s="2"/>
      <c r="P34" s="150" t="s">
        <v>109</v>
      </c>
      <c r="AF34" s="150" t="s">
        <v>108</v>
      </c>
      <c r="AG34" s="150" t="s">
        <v>109</v>
      </c>
    </row>
    <row r="35" spans="1:33">
      <c r="A35" s="150" t="s">
        <v>105</v>
      </c>
      <c r="B35" s="155" t="s">
        <v>10</v>
      </c>
      <c r="C35" s="161"/>
      <c r="D35" s="161"/>
      <c r="E35" s="161"/>
      <c r="F35" s="2"/>
      <c r="G35" s="2"/>
      <c r="H35" s="2"/>
      <c r="I35" s="2"/>
      <c r="J35" s="2"/>
      <c r="K35" s="2"/>
      <c r="L35" s="2"/>
      <c r="M35" s="2"/>
      <c r="N35" s="2"/>
      <c r="O35" s="2"/>
      <c r="P35" s="155" t="s">
        <v>10</v>
      </c>
      <c r="AF35" s="150" t="s">
        <v>111</v>
      </c>
      <c r="AG35" s="155" t="s">
        <v>10</v>
      </c>
    </row>
    <row r="36" spans="1:33">
      <c r="A36" s="141">
        <v>1</v>
      </c>
      <c r="B36" s="150" t="s">
        <v>112</v>
      </c>
      <c r="C36" s="159">
        <f>标准成本!E4</f>
        <v>60.481799</v>
      </c>
      <c r="D36" s="159">
        <f>标准成本!E16</f>
        <v>5.520248</v>
      </c>
      <c r="E36" s="166"/>
      <c r="F36" s="2"/>
      <c r="G36" s="2"/>
      <c r="H36" s="2"/>
      <c r="I36" s="2"/>
      <c r="J36" s="2"/>
      <c r="K36" s="2"/>
      <c r="L36" s="2"/>
      <c r="M36" s="2"/>
      <c r="N36" s="2"/>
      <c r="O36" s="2"/>
      <c r="P36" s="150" t="s">
        <v>112</v>
      </c>
      <c r="AF36" s="150" t="s">
        <v>108</v>
      </c>
      <c r="AG36" s="150" t="s">
        <v>112</v>
      </c>
    </row>
    <row r="37" spans="1:33">
      <c r="A37" s="141">
        <v>2</v>
      </c>
      <c r="B37" s="150" t="s">
        <v>113</v>
      </c>
      <c r="C37" s="159">
        <f>标准成本!E6</f>
        <v>30.451393</v>
      </c>
      <c r="D37" s="159">
        <f>标准成本!E18</f>
        <v>2.779336</v>
      </c>
      <c r="E37" s="166"/>
      <c r="F37" s="2"/>
      <c r="G37" s="2"/>
      <c r="H37" s="2"/>
      <c r="I37" s="2"/>
      <c r="J37" s="2"/>
      <c r="K37" s="2"/>
      <c r="L37" s="2"/>
      <c r="M37" s="2"/>
      <c r="N37" s="2"/>
      <c r="O37" s="2"/>
      <c r="P37" s="150" t="s">
        <v>113</v>
      </c>
      <c r="AF37" s="150" t="s">
        <v>65</v>
      </c>
      <c r="AG37" s="150" t="s">
        <v>113</v>
      </c>
    </row>
    <row r="38" spans="1:33">
      <c r="A38" s="141">
        <v>3</v>
      </c>
      <c r="B38" s="150" t="s">
        <v>114</v>
      </c>
      <c r="C38" s="159">
        <f>标准成本!E10</f>
        <v>61.74476</v>
      </c>
      <c r="D38" s="159">
        <f>标准成本!E22</f>
        <v>5.63552</v>
      </c>
      <c r="E38" s="166"/>
      <c r="F38" s="2"/>
      <c r="G38" s="2"/>
      <c r="H38" s="2"/>
      <c r="I38" s="2"/>
      <c r="J38" s="2"/>
      <c r="K38" s="2"/>
      <c r="L38" s="2"/>
      <c r="M38" s="2"/>
      <c r="N38" s="2"/>
      <c r="O38" s="2"/>
      <c r="P38" s="150" t="s">
        <v>114</v>
      </c>
      <c r="AF38" s="150" t="s">
        <v>72</v>
      </c>
      <c r="AG38" s="150" t="s">
        <v>114</v>
      </c>
    </row>
    <row r="39" spans="1:33">
      <c r="A39" s="150" t="s">
        <v>111</v>
      </c>
      <c r="B39" s="155" t="s">
        <v>116</v>
      </c>
      <c r="C39" s="161"/>
      <c r="D39" s="161"/>
      <c r="E39" s="161"/>
      <c r="P39" s="155" t="s">
        <v>116</v>
      </c>
      <c r="AF39" s="150" t="s">
        <v>115</v>
      </c>
      <c r="AG39" s="155" t="s">
        <v>116</v>
      </c>
    </row>
    <row r="40" spans="1:33">
      <c r="A40" s="141">
        <v>1</v>
      </c>
      <c r="B40" s="150" t="s">
        <v>118</v>
      </c>
      <c r="C40" s="161">
        <f>C34-C36-C37-C38</f>
        <v>213.944048</v>
      </c>
      <c r="D40" s="161">
        <f>D34-D36-D37-D38</f>
        <v>211.964896</v>
      </c>
      <c r="E40" s="161"/>
      <c r="P40" s="150" t="s">
        <v>118</v>
      </c>
      <c r="AF40" s="150" t="s">
        <v>60</v>
      </c>
      <c r="AG40" s="150" t="s">
        <v>118</v>
      </c>
    </row>
    <row r="41" spans="1:33">
      <c r="A41" s="141">
        <v>2</v>
      </c>
      <c r="B41" s="150" t="s">
        <v>119</v>
      </c>
      <c r="C41" s="161"/>
      <c r="D41" s="161"/>
      <c r="E41" s="161"/>
      <c r="P41" s="150" t="s">
        <v>119</v>
      </c>
      <c r="AF41" s="150" t="s">
        <v>62</v>
      </c>
      <c r="AG41" s="150" t="s">
        <v>119</v>
      </c>
    </row>
    <row r="42" spans="1:33">
      <c r="A42" s="150" t="s">
        <v>115</v>
      </c>
      <c r="B42" s="155" t="s">
        <v>121</v>
      </c>
      <c r="C42" s="161"/>
      <c r="D42" s="161"/>
      <c r="E42" s="161"/>
      <c r="P42" s="155" t="s">
        <v>121</v>
      </c>
      <c r="AF42" s="150" t="s">
        <v>120</v>
      </c>
      <c r="AG42" s="155" t="s">
        <v>121</v>
      </c>
    </row>
    <row r="43" spans="1:33">
      <c r="A43" s="141">
        <v>1</v>
      </c>
      <c r="B43" s="162" t="s">
        <v>122</v>
      </c>
      <c r="C43" s="159">
        <f>标准成本!E5</f>
        <v>57.53489</v>
      </c>
      <c r="D43" s="159">
        <f>标准成本!E17</f>
        <v>5.25128</v>
      </c>
      <c r="E43" s="161"/>
      <c r="P43" s="150" t="s">
        <v>122</v>
      </c>
      <c r="AF43" s="150" t="s">
        <v>60</v>
      </c>
      <c r="AG43" s="150" t="s">
        <v>122</v>
      </c>
    </row>
    <row r="44" spans="1:33">
      <c r="A44" s="141">
        <v>2</v>
      </c>
      <c r="B44" s="162" t="s">
        <v>123</v>
      </c>
      <c r="C44" s="159">
        <f>标准成本!E9</f>
        <v>9.82303</v>
      </c>
      <c r="D44" s="159">
        <f>标准成本!E21</f>
        <v>0.89656</v>
      </c>
      <c r="E44" s="161"/>
      <c r="P44" s="150" t="s">
        <v>123</v>
      </c>
      <c r="AF44" s="150" t="s">
        <v>62</v>
      </c>
      <c r="AG44" s="150" t="s">
        <v>123</v>
      </c>
    </row>
    <row r="45" spans="1:33">
      <c r="A45" s="141">
        <v>3</v>
      </c>
      <c r="B45" s="162" t="s">
        <v>124</v>
      </c>
      <c r="C45" s="159">
        <f>标准成本!E8</f>
        <v>47.71186</v>
      </c>
      <c r="D45" s="159">
        <f>标准成本!E20</f>
        <v>4.35472</v>
      </c>
      <c r="E45" s="161"/>
      <c r="P45" s="150" t="s">
        <v>124</v>
      </c>
      <c r="AF45" s="150" t="s">
        <v>108</v>
      </c>
      <c r="AG45" s="150" t="s">
        <v>124</v>
      </c>
    </row>
    <row r="46" s="138" customFormat="1" spans="1:33">
      <c r="A46" s="141">
        <v>4</v>
      </c>
      <c r="B46" s="162" t="s">
        <v>125</v>
      </c>
      <c r="C46" s="168">
        <f>C21/C6</f>
        <v>8.26111111111111</v>
      </c>
      <c r="D46" s="168">
        <f>D21/D6</f>
        <v>8.26111111111111</v>
      </c>
      <c r="E46" s="168"/>
      <c r="P46" s="162" t="s">
        <v>127</v>
      </c>
      <c r="AF46" s="162" t="s">
        <v>68</v>
      </c>
      <c r="AG46" s="162" t="s">
        <v>127</v>
      </c>
    </row>
    <row r="47" s="138" customFormat="1" spans="1:33">
      <c r="A47" s="141">
        <v>5</v>
      </c>
      <c r="B47" s="162" t="s">
        <v>127</v>
      </c>
      <c r="C47" s="168">
        <f>标准成本!E11</f>
        <v>42.0987</v>
      </c>
      <c r="D47" s="168">
        <f>标准成本!E23</f>
        <v>3.8424</v>
      </c>
      <c r="E47" s="168"/>
      <c r="P47" s="162" t="s">
        <v>127</v>
      </c>
      <c r="AF47" s="162" t="s">
        <v>68</v>
      </c>
      <c r="AG47" s="162" t="s">
        <v>127</v>
      </c>
    </row>
    <row r="48" spans="1:33">
      <c r="A48" s="150" t="s">
        <v>120</v>
      </c>
      <c r="B48" s="155" t="s">
        <v>138</v>
      </c>
      <c r="C48" s="161">
        <f>C40-C43-C44-C45-C47-C46</f>
        <v>48.5144568888889</v>
      </c>
      <c r="D48" s="161">
        <f>D40-D43-D44-D45-D47-D46</f>
        <v>189.358824888889</v>
      </c>
      <c r="E48" s="161"/>
      <c r="P48" s="155" t="s">
        <v>138</v>
      </c>
      <c r="AF48" s="150" t="s">
        <v>137</v>
      </c>
      <c r="AG48" s="155" t="s">
        <v>138</v>
      </c>
    </row>
    <row r="51" spans="3:4">
      <c r="C51" s="169"/>
      <c r="D51" s="169"/>
    </row>
    <row r="54" spans="2:10">
      <c r="B54" s="2"/>
      <c r="C54" s="170"/>
      <c r="D54" s="170"/>
      <c r="E54" s="170"/>
      <c r="F54" s="2"/>
      <c r="G54" s="2"/>
      <c r="H54" s="2"/>
      <c r="I54" s="2"/>
      <c r="J54" s="2"/>
    </row>
    <row r="55" spans="2:10">
      <c r="B55" s="2"/>
      <c r="C55" s="170"/>
      <c r="D55" s="170"/>
      <c r="E55" s="170"/>
      <c r="F55" s="2"/>
      <c r="G55" s="2"/>
      <c r="H55" s="2"/>
      <c r="I55" s="2"/>
      <c r="J55" s="2"/>
    </row>
    <row r="56" spans="2:10">
      <c r="B56" s="2"/>
      <c r="C56" s="170"/>
      <c r="D56" s="170"/>
      <c r="E56" s="170"/>
      <c r="F56" s="2"/>
      <c r="G56" s="2"/>
      <c r="H56" s="2"/>
      <c r="I56" s="2"/>
      <c r="J56" s="2"/>
    </row>
    <row r="57" spans="2:10">
      <c r="B57" s="2"/>
      <c r="C57" s="170"/>
      <c r="D57" s="170"/>
      <c r="E57" s="170"/>
      <c r="F57" s="2"/>
      <c r="G57" s="2"/>
      <c r="H57" s="2"/>
      <c r="I57" s="2"/>
      <c r="J57" s="2"/>
    </row>
    <row r="58" spans="2:10">
      <c r="B58" s="2"/>
      <c r="C58" s="170"/>
      <c r="D58" s="170"/>
      <c r="E58" s="170"/>
      <c r="F58" s="2"/>
      <c r="G58" s="2"/>
      <c r="H58" s="2"/>
      <c r="I58" s="2"/>
      <c r="J58" s="2"/>
    </row>
    <row r="59" spans="2:10">
      <c r="B59" s="2"/>
      <c r="C59" s="170"/>
      <c r="D59" s="170"/>
      <c r="E59" s="170"/>
      <c r="F59" s="2"/>
      <c r="G59" s="2"/>
      <c r="H59" s="2"/>
      <c r="I59" s="2"/>
      <c r="J59" s="2"/>
    </row>
    <row r="60" spans="2:10">
      <c r="B60" s="2"/>
      <c r="C60" s="170"/>
      <c r="D60" s="170"/>
      <c r="E60" s="170"/>
      <c r="F60" s="2"/>
      <c r="G60" s="2"/>
      <c r="H60" s="2"/>
      <c r="I60" s="2"/>
      <c r="J60" s="2"/>
    </row>
    <row r="61" spans="2:10">
      <c r="B61" s="2"/>
      <c r="C61" s="170"/>
      <c r="D61" s="170"/>
      <c r="E61" s="170"/>
      <c r="F61" s="2"/>
      <c r="G61" s="2"/>
      <c r="H61" s="2"/>
      <c r="I61" s="2"/>
      <c r="J61" s="2"/>
    </row>
    <row r="62" spans="2:10">
      <c r="B62" s="2"/>
      <c r="C62" s="170"/>
      <c r="D62" s="170"/>
      <c r="E62" s="170"/>
      <c r="F62" s="2"/>
      <c r="G62" s="2"/>
      <c r="H62" s="2"/>
      <c r="I62" s="2"/>
      <c r="J62" s="2"/>
    </row>
    <row r="63" spans="2:10">
      <c r="B63" s="2"/>
      <c r="C63" s="170"/>
      <c r="D63" s="170"/>
      <c r="E63" s="170"/>
      <c r="F63" s="2"/>
      <c r="G63" s="2"/>
      <c r="H63" s="2"/>
      <c r="I63" s="2"/>
      <c r="J63" s="2"/>
    </row>
    <row r="64" spans="2:10">
      <c r="B64" s="2"/>
      <c r="C64" s="170"/>
      <c r="D64" s="170"/>
      <c r="E64" s="170"/>
      <c r="F64" s="2"/>
      <c r="G64" s="2"/>
      <c r="H64" s="2"/>
      <c r="I64" s="2"/>
      <c r="J64" s="2"/>
    </row>
    <row r="65" spans="2:10">
      <c r="B65" s="2"/>
      <c r="C65" s="170"/>
      <c r="D65" s="170"/>
      <c r="E65" s="170"/>
      <c r="F65" s="2"/>
      <c r="G65" s="2"/>
      <c r="H65" s="2"/>
      <c r="I65" s="2"/>
      <c r="J65" s="2"/>
    </row>
    <row r="66" spans="2:10">
      <c r="B66" s="2"/>
      <c r="C66" s="170"/>
      <c r="D66" s="170"/>
      <c r="E66" s="170"/>
      <c r="F66" s="2"/>
      <c r="G66" s="2"/>
      <c r="H66" s="2"/>
      <c r="I66" s="2"/>
      <c r="J66" s="2"/>
    </row>
    <row r="67" spans="2:6">
      <c r="B67" s="2"/>
      <c r="C67" s="170"/>
      <c r="D67" s="170"/>
      <c r="E67" s="170"/>
      <c r="F67" s="2"/>
    </row>
    <row r="68" spans="2:6">
      <c r="B68" s="2"/>
      <c r="C68" s="170"/>
      <c r="D68" s="170"/>
      <c r="E68" s="170"/>
      <c r="F68" s="2"/>
    </row>
    <row r="69" spans="2:6">
      <c r="B69" s="2"/>
      <c r="C69" s="170"/>
      <c r="D69" s="170"/>
      <c r="E69" s="170"/>
      <c r="F69" s="2"/>
    </row>
    <row r="70" spans="2:6">
      <c r="B70" s="2"/>
      <c r="C70" s="170"/>
      <c r="D70" s="170"/>
      <c r="E70" s="170"/>
      <c r="F70" s="2"/>
    </row>
    <row r="71" spans="2:6">
      <c r="B71" s="2"/>
      <c r="C71" s="170"/>
      <c r="D71" s="170"/>
      <c r="E71" s="170"/>
      <c r="F71" s="2"/>
    </row>
    <row r="72" spans="2:6">
      <c r="B72" s="2"/>
      <c r="C72" s="170"/>
      <c r="D72" s="170"/>
      <c r="E72" s="170"/>
      <c r="F72" s="2"/>
    </row>
    <row r="73" spans="2:6">
      <c r="B73" s="2"/>
      <c r="C73" s="170"/>
      <c r="D73" s="170"/>
      <c r="E73" s="170"/>
      <c r="F73" s="2"/>
    </row>
    <row r="74" spans="2:6">
      <c r="B74" s="2"/>
      <c r="C74" s="170"/>
      <c r="D74" s="170"/>
      <c r="E74" s="170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D27" sqref="D27"/>
    </sheetView>
  </sheetViews>
  <sheetFormatPr defaultColWidth="9" defaultRowHeight="14"/>
  <cols>
    <col min="1" max="1" width="19.5" customWidth="1"/>
    <col min="2" max="2" width="14.8727272727273" style="96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20.5" customWidth="1"/>
    <col min="8" max="8" width="13" customWidth="1"/>
    <col min="9" max="9" width="14.8727272727273" customWidth="1"/>
    <col min="10" max="10" width="13" customWidth="1"/>
  </cols>
  <sheetData>
    <row r="1" ht="21" spans="1:8">
      <c r="A1" s="97" t="s">
        <v>169</v>
      </c>
      <c r="B1" s="97"/>
      <c r="C1" s="97"/>
      <c r="E1" s="98" t="s">
        <v>170</v>
      </c>
      <c r="F1" s="99"/>
      <c r="G1" s="99"/>
      <c r="H1" s="100"/>
    </row>
    <row r="2" ht="23.45" customHeight="1" spans="1:8">
      <c r="A2" s="101" t="s">
        <v>1</v>
      </c>
      <c r="B2" s="102" t="s">
        <v>171</v>
      </c>
      <c r="C2" s="103" t="s">
        <v>172</v>
      </c>
      <c r="E2" s="104" t="s">
        <v>173</v>
      </c>
      <c r="F2" s="104" t="s">
        <v>1</v>
      </c>
      <c r="G2" s="105" t="s">
        <v>174</v>
      </c>
      <c r="H2" s="104" t="s">
        <v>172</v>
      </c>
    </row>
    <row r="3" ht="15.75" customHeight="1" spans="1:8">
      <c r="A3" s="106" t="s">
        <v>175</v>
      </c>
      <c r="B3" s="107"/>
      <c r="C3" s="108"/>
      <c r="E3" s="109" t="s">
        <v>176</v>
      </c>
      <c r="F3" s="110" t="s">
        <v>177</v>
      </c>
      <c r="G3" s="111">
        <v>0</v>
      </c>
      <c r="H3" s="110"/>
    </row>
    <row r="4" ht="15.75" customHeight="1" spans="1:8">
      <c r="A4" s="106" t="s">
        <v>178</v>
      </c>
      <c r="B4" s="107"/>
      <c r="C4" s="112"/>
      <c r="E4" s="113"/>
      <c r="F4" s="110" t="s">
        <v>179</v>
      </c>
      <c r="G4" s="111"/>
      <c r="H4" s="110"/>
    </row>
    <row r="5" ht="15.75" customHeight="1" spans="1:8">
      <c r="A5" s="106" t="s">
        <v>180</v>
      </c>
      <c r="B5" s="114">
        <f>SUM(G3:G4)</f>
        <v>0</v>
      </c>
      <c r="C5" s="108"/>
      <c r="E5" s="115" t="s">
        <v>181</v>
      </c>
      <c r="F5" s="116" t="s">
        <v>182</v>
      </c>
      <c r="G5" s="111">
        <v>1</v>
      </c>
      <c r="H5" s="116"/>
    </row>
    <row r="6" ht="15.75" customHeight="1" spans="1:10">
      <c r="A6" s="106" t="s">
        <v>183</v>
      </c>
      <c r="B6" s="107"/>
      <c r="C6" s="108"/>
      <c r="E6" s="117"/>
      <c r="F6" s="116" t="s">
        <v>184</v>
      </c>
      <c r="G6" s="111">
        <v>0</v>
      </c>
      <c r="H6" s="110"/>
      <c r="J6">
        <v>10000</v>
      </c>
    </row>
    <row r="7" ht="15.75" customHeight="1" spans="1:8">
      <c r="A7" s="118" t="s">
        <v>185</v>
      </c>
      <c r="B7" s="114">
        <f>SUM(B3:B6)</f>
        <v>0</v>
      </c>
      <c r="C7" s="108"/>
      <c r="E7" s="117"/>
      <c r="F7" s="116" t="s">
        <v>186</v>
      </c>
      <c r="G7" s="111">
        <v>4.5</v>
      </c>
      <c r="H7" s="110"/>
    </row>
    <row r="8" ht="15.75" customHeight="1" spans="1:8">
      <c r="A8" s="119" t="s">
        <v>187</v>
      </c>
      <c r="B8" s="114">
        <f>SUM(G5:G12)</f>
        <v>56.1</v>
      </c>
      <c r="C8" s="120"/>
      <c r="E8" s="117"/>
      <c r="F8" s="116" t="s">
        <v>188</v>
      </c>
      <c r="G8" s="111">
        <v>0</v>
      </c>
      <c r="H8" s="110"/>
    </row>
    <row r="9" ht="15.75" customHeight="1" spans="1:8">
      <c r="A9" s="106" t="s">
        <v>189</v>
      </c>
      <c r="B9" s="114">
        <f>SUM(G13:G21)</f>
        <v>14.87</v>
      </c>
      <c r="C9" s="108"/>
      <c r="E9" s="117"/>
      <c r="F9" s="110" t="s">
        <v>190</v>
      </c>
      <c r="G9" s="111">
        <v>13</v>
      </c>
      <c r="H9" s="121"/>
    </row>
    <row r="10" ht="15.75" customHeight="1" spans="1:8">
      <c r="A10" s="112" t="s">
        <v>56</v>
      </c>
      <c r="B10" s="114">
        <f>B7+B8+B9</f>
        <v>70.97</v>
      </c>
      <c r="C10" s="108"/>
      <c r="E10" s="117"/>
      <c r="F10" s="110" t="s">
        <v>191</v>
      </c>
      <c r="G10" s="111">
        <v>10</v>
      </c>
      <c r="H10" s="110"/>
    </row>
    <row r="11" ht="15.75" customHeight="1" spans="5:8">
      <c r="E11" s="117"/>
      <c r="F11" s="110" t="s">
        <v>192</v>
      </c>
      <c r="G11" s="111">
        <f>(164000+112000)/10000</f>
        <v>27.6</v>
      </c>
      <c r="H11" s="110"/>
    </row>
    <row r="12" ht="15.75" customHeight="1" spans="5:8">
      <c r="E12" s="122"/>
      <c r="F12" s="110" t="s">
        <v>193</v>
      </c>
      <c r="G12" s="111">
        <v>0</v>
      </c>
      <c r="H12" s="121"/>
    </row>
    <row r="13" ht="15.75" customHeight="1" spans="5:8">
      <c r="E13" s="109" t="s">
        <v>89</v>
      </c>
      <c r="F13" s="110" t="s">
        <v>194</v>
      </c>
      <c r="G13" s="111">
        <v>0</v>
      </c>
      <c r="H13" s="123"/>
    </row>
    <row r="14" ht="15.75" customHeight="1" spans="5:8">
      <c r="E14" s="113"/>
      <c r="F14" s="110" t="s">
        <v>195</v>
      </c>
      <c r="G14" s="111">
        <v>0.5</v>
      </c>
      <c r="H14" s="110"/>
    </row>
    <row r="15" ht="15.75" customHeight="1" spans="5:8">
      <c r="E15" s="113"/>
      <c r="F15" s="110" t="s">
        <v>196</v>
      </c>
      <c r="G15" s="111">
        <v>0.5</v>
      </c>
      <c r="H15" s="110"/>
    </row>
    <row r="16" ht="15.75" customHeight="1" spans="5:8">
      <c r="E16" s="113"/>
      <c r="F16" s="110" t="s">
        <v>197</v>
      </c>
      <c r="G16" s="111">
        <v>0.3</v>
      </c>
      <c r="H16" s="110"/>
    </row>
    <row r="17" ht="15.75" customHeight="1" spans="5:8">
      <c r="E17" s="113"/>
      <c r="F17" s="110" t="s">
        <v>198</v>
      </c>
      <c r="G17" s="111">
        <v>4.8</v>
      </c>
      <c r="H17" s="110"/>
    </row>
    <row r="18" ht="15.75" customHeight="1" spans="5:8">
      <c r="E18" s="113"/>
      <c r="F18" s="110" t="s">
        <v>199</v>
      </c>
      <c r="G18" s="111">
        <v>1.32</v>
      </c>
      <c r="H18" s="110"/>
    </row>
    <row r="19" ht="15.75" customHeight="1" spans="5:8">
      <c r="E19" s="113"/>
      <c r="F19" s="110" t="s">
        <v>200</v>
      </c>
      <c r="G19" s="111">
        <v>7.2</v>
      </c>
      <c r="H19" s="110"/>
    </row>
    <row r="20" ht="15.75" customHeight="1" spans="5:8">
      <c r="E20" s="113"/>
      <c r="F20" s="110" t="s">
        <v>201</v>
      </c>
      <c r="G20" s="111">
        <v>0.25</v>
      </c>
      <c r="H20" s="110"/>
    </row>
    <row r="21" ht="15.75" customHeight="1" spans="5:8">
      <c r="E21" s="124"/>
      <c r="F21" s="110" t="s">
        <v>39</v>
      </c>
      <c r="G21" s="111"/>
      <c r="H21" s="110"/>
    </row>
    <row r="22" ht="15.75" customHeight="1" spans="5:8">
      <c r="E22" s="104" t="s">
        <v>56</v>
      </c>
      <c r="F22" s="110"/>
      <c r="G22" s="105">
        <f>SUM(G3:G21)</f>
        <v>70.97</v>
      </c>
      <c r="H22" s="110"/>
    </row>
    <row r="23" ht="30.75" customHeight="1" spans="5:8">
      <c r="E23" s="125" t="s">
        <v>202</v>
      </c>
      <c r="F23" s="125"/>
      <c r="G23" s="125"/>
      <c r="H23" s="125"/>
    </row>
    <row r="25" ht="16.5" spans="1:10">
      <c r="A25" s="126" t="s">
        <v>1</v>
      </c>
      <c r="B25" s="126" t="s">
        <v>171</v>
      </c>
      <c r="C25" s="126" t="s">
        <v>203</v>
      </c>
      <c r="D25" s="127" t="s">
        <v>53</v>
      </c>
      <c r="E25" s="127" t="s">
        <v>54</v>
      </c>
      <c r="F25" s="127" t="s">
        <v>55</v>
      </c>
      <c r="G25" s="127" t="s">
        <v>204</v>
      </c>
      <c r="H25" s="127" t="s">
        <v>205</v>
      </c>
      <c r="I25" s="127" t="s">
        <v>56</v>
      </c>
      <c r="J25" s="135" t="s">
        <v>206</v>
      </c>
    </row>
    <row r="26" spans="1:10">
      <c r="A26" s="128" t="s">
        <v>162</v>
      </c>
      <c r="B26" s="129">
        <f>(B5+B8)*10000</f>
        <v>561000</v>
      </c>
      <c r="C26" s="130">
        <v>0.05</v>
      </c>
      <c r="D26" s="131">
        <f>B26*(1-C26)/3</f>
        <v>177650</v>
      </c>
      <c r="E26" s="131">
        <f>D26</f>
        <v>177650</v>
      </c>
      <c r="F26" s="131">
        <f t="shared" ref="E26:F27" si="0">E26</f>
        <v>177650</v>
      </c>
      <c r="G26" s="131"/>
      <c r="H26" s="131"/>
      <c r="I26" s="131">
        <f>SUM(D26:H26)</f>
        <v>532950</v>
      </c>
      <c r="J26" s="131">
        <f>B26*0.05</f>
        <v>28050</v>
      </c>
    </row>
    <row r="27" spans="1:10">
      <c r="A27" s="128" t="s">
        <v>207</v>
      </c>
      <c r="B27" s="129">
        <f>B9*10000</f>
        <v>148700</v>
      </c>
      <c r="C27" s="131"/>
      <c r="D27" s="131">
        <f>B27/3</f>
        <v>49566.6666666667</v>
      </c>
      <c r="E27" s="131">
        <f t="shared" si="0"/>
        <v>49566.6666666667</v>
      </c>
      <c r="F27" s="131">
        <f t="shared" si="0"/>
        <v>49566.6666666667</v>
      </c>
      <c r="G27" s="131"/>
      <c r="H27" s="131"/>
      <c r="I27" s="131">
        <f>SUM(D27:H27)</f>
        <v>148700</v>
      </c>
      <c r="J27" s="131"/>
    </row>
    <row r="28" spans="1:10">
      <c r="A28" s="132" t="s">
        <v>146</v>
      </c>
      <c r="B28" s="133"/>
      <c r="C28" s="134"/>
      <c r="D28" s="131">
        <f>SUM(D26:D27)</f>
        <v>227216.666666667</v>
      </c>
      <c r="E28" s="131">
        <f t="shared" ref="E28:H28" si="1">SUM(E26:E27)</f>
        <v>227216.666666667</v>
      </c>
      <c r="F28" s="131">
        <f t="shared" si="1"/>
        <v>227216.666666667</v>
      </c>
      <c r="G28" s="131">
        <f t="shared" si="1"/>
        <v>0</v>
      </c>
      <c r="H28" s="131">
        <f t="shared" si="1"/>
        <v>0</v>
      </c>
      <c r="I28" s="136"/>
      <c r="J28" s="136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zoomScale="85" zoomScaleNormal="85" workbookViewId="0">
      <selection activeCell="E22" sqref="E22"/>
    </sheetView>
  </sheetViews>
  <sheetFormatPr defaultColWidth="9" defaultRowHeight="16.5"/>
  <cols>
    <col min="1" max="1" width="14" style="69" customWidth="1"/>
    <col min="2" max="2" width="14.1272727272727" style="69" customWidth="1"/>
    <col min="3" max="3" width="14.7545454545455" style="69" customWidth="1"/>
    <col min="4" max="4" width="15.9363636363636" style="69" customWidth="1"/>
    <col min="5" max="5" width="12.8727272727273" style="69" customWidth="1"/>
    <col min="6" max="6" width="11.1272727272727" style="69" customWidth="1"/>
    <col min="7" max="7" width="13.2545454545455" style="69" customWidth="1"/>
    <col min="8" max="8" width="12.1272727272727" style="69" customWidth="1"/>
    <col min="9" max="9" width="13.1272727272727" style="69" customWidth="1"/>
    <col min="10" max="12" width="12.1272727272727" style="69" customWidth="1"/>
    <col min="13" max="13" width="11.6272727272727" style="69" customWidth="1"/>
    <col min="14" max="14" width="9.25454545454545" style="69" customWidth="1"/>
    <col min="15" max="15" width="9.12727272727273" style="70" customWidth="1"/>
    <col min="16" max="16" width="12.8727272727273" style="70"/>
    <col min="17" max="16384" width="9" style="69"/>
  </cols>
  <sheetData>
    <row r="1" ht="29.25" customHeight="1" spans="1:13">
      <c r="A1" s="71" t="s">
        <v>208</v>
      </c>
      <c r="E1" s="72"/>
      <c r="F1" s="72"/>
      <c r="G1" s="72"/>
      <c r="H1" s="72"/>
      <c r="I1" s="72"/>
      <c r="J1" s="72"/>
      <c r="K1" s="72"/>
      <c r="L1" s="72"/>
      <c r="M1" s="72"/>
    </row>
    <row r="2" ht="24" customHeight="1" spans="1:13">
      <c r="A2" s="73" t="s">
        <v>209</v>
      </c>
      <c r="E2" s="72"/>
      <c r="F2" s="72"/>
      <c r="G2" s="72"/>
      <c r="H2" s="72"/>
      <c r="I2" s="72"/>
      <c r="J2" s="72"/>
      <c r="K2" s="72"/>
      <c r="L2" s="72"/>
      <c r="M2" s="72"/>
    </row>
    <row r="3" spans="3:5">
      <c r="C3" s="69" t="s">
        <v>210</v>
      </c>
      <c r="D3" s="69" t="s">
        <v>211</v>
      </c>
      <c r="E3" s="74">
        <v>0</v>
      </c>
    </row>
    <row r="5" ht="45" customHeight="1" spans="1:13">
      <c r="A5" s="75" t="s">
        <v>212</v>
      </c>
      <c r="B5" s="76" t="s">
        <v>152</v>
      </c>
      <c r="C5" s="77" t="s">
        <v>153</v>
      </c>
      <c r="D5" s="77" t="s">
        <v>154</v>
      </c>
      <c r="E5" s="78"/>
      <c r="F5" s="78"/>
      <c r="G5" s="21"/>
      <c r="H5" s="21"/>
      <c r="I5" s="21"/>
      <c r="J5" s="21"/>
      <c r="K5" s="21"/>
      <c r="L5" s="21"/>
      <c r="M5" s="92" t="s">
        <v>56</v>
      </c>
    </row>
    <row r="6" ht="31.5" customHeight="1" spans="1:15">
      <c r="A6" s="75"/>
      <c r="B6" s="76" t="s">
        <v>155</v>
      </c>
      <c r="C6" s="79" t="s">
        <v>156</v>
      </c>
      <c r="D6" s="79" t="s">
        <v>157</v>
      </c>
      <c r="E6" s="23"/>
      <c r="F6" s="23"/>
      <c r="G6" s="23"/>
      <c r="H6" s="23"/>
      <c r="I6" s="23"/>
      <c r="J6" s="23"/>
      <c r="K6" s="23"/>
      <c r="L6" s="23"/>
      <c r="M6" s="93"/>
      <c r="O6" s="70">
        <v>100</v>
      </c>
    </row>
    <row r="7" ht="51" customHeight="1" spans="1:16">
      <c r="A7" s="75"/>
      <c r="B7" s="23" t="s">
        <v>213</v>
      </c>
      <c r="C7" s="80" t="s">
        <v>159</v>
      </c>
      <c r="D7" s="80" t="s">
        <v>160</v>
      </c>
      <c r="E7" s="23"/>
      <c r="F7" s="23"/>
      <c r="G7" s="78"/>
      <c r="H7" s="78"/>
      <c r="I7" s="23"/>
      <c r="J7" s="23"/>
      <c r="K7" s="23"/>
      <c r="L7" s="23"/>
      <c r="M7" s="94"/>
      <c r="N7" s="69">
        <v>2026</v>
      </c>
      <c r="O7" s="70">
        <f>O6*(1-$E$3)</f>
        <v>100</v>
      </c>
      <c r="P7" s="70">
        <f>O7/$O$6</f>
        <v>1</v>
      </c>
    </row>
    <row r="8" ht="33" spans="1:16">
      <c r="A8" s="75"/>
      <c r="B8" s="23" t="s">
        <v>214</v>
      </c>
      <c r="C8" s="81">
        <v>1769.912</v>
      </c>
      <c r="D8" s="81">
        <v>353.98</v>
      </c>
      <c r="E8" s="82"/>
      <c r="F8" s="82"/>
      <c r="G8" s="82"/>
      <c r="H8" s="82"/>
      <c r="I8" s="82"/>
      <c r="J8" s="82"/>
      <c r="K8" s="82"/>
      <c r="L8" s="82"/>
      <c r="M8" s="95">
        <f>SUM(C8:L8)</f>
        <v>2123.892</v>
      </c>
      <c r="N8" s="69">
        <v>2027</v>
      </c>
      <c r="O8" s="70">
        <f>O7*(1-$E$3)</f>
        <v>100</v>
      </c>
      <c r="P8" s="70">
        <f>O8/$O$6</f>
        <v>1</v>
      </c>
    </row>
    <row r="9" spans="1:16">
      <c r="A9" s="75" t="s">
        <v>215</v>
      </c>
      <c r="B9" s="83" t="s">
        <v>53</v>
      </c>
      <c r="C9" s="84">
        <v>1500</v>
      </c>
      <c r="D9" s="84">
        <v>1500</v>
      </c>
      <c r="E9" s="84"/>
      <c r="F9" s="84"/>
      <c r="G9" s="84"/>
      <c r="H9" s="84"/>
      <c r="I9" s="84"/>
      <c r="J9" s="84"/>
      <c r="K9" s="84"/>
      <c r="L9" s="84"/>
      <c r="M9" s="95">
        <f>SUM(C9:L9)</f>
        <v>3000</v>
      </c>
      <c r="O9" s="70">
        <f t="shared" ref="O8:O10" si="0">O8*(1-$E$3)</f>
        <v>100</v>
      </c>
      <c r="P9" s="70">
        <f>O9/$O$6</f>
        <v>1</v>
      </c>
    </row>
    <row r="10" spans="1:16">
      <c r="A10" s="75"/>
      <c r="B10" s="83" t="s">
        <v>54</v>
      </c>
      <c r="C10" s="84">
        <v>3000</v>
      </c>
      <c r="D10" s="84">
        <v>3000</v>
      </c>
      <c r="E10" s="84"/>
      <c r="F10" s="84"/>
      <c r="G10" s="84"/>
      <c r="H10" s="84"/>
      <c r="I10" s="84"/>
      <c r="J10" s="84"/>
      <c r="K10" s="84"/>
      <c r="L10" s="84"/>
      <c r="M10" s="95">
        <f>SUM(C10:L10)</f>
        <v>6000</v>
      </c>
      <c r="O10" s="70">
        <f t="shared" si="0"/>
        <v>100</v>
      </c>
      <c r="P10" s="70">
        <f t="shared" ref="P10" si="1">O10/$O$6</f>
        <v>1</v>
      </c>
    </row>
    <row r="11" spans="1:13">
      <c r="A11" s="75"/>
      <c r="B11" s="83" t="s">
        <v>55</v>
      </c>
      <c r="C11" s="84">
        <v>3000</v>
      </c>
      <c r="D11" s="84">
        <v>3000</v>
      </c>
      <c r="E11" s="84"/>
      <c r="F11" s="84"/>
      <c r="G11" s="84"/>
      <c r="H11" s="84"/>
      <c r="I11" s="84"/>
      <c r="J11" s="84"/>
      <c r="K11" s="84"/>
      <c r="L11" s="84"/>
      <c r="M11" s="95">
        <f>SUM(C11:L11)</f>
        <v>6000</v>
      </c>
    </row>
    <row r="12" spans="1:13">
      <c r="A12" s="75"/>
      <c r="B12" s="83" t="s">
        <v>204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95">
        <f>SUM(C12:H12)</f>
        <v>0</v>
      </c>
    </row>
    <row r="13" ht="17.5" spans="1:13">
      <c r="A13" s="75"/>
      <c r="B13" s="83" t="s">
        <v>205</v>
      </c>
      <c r="C13" s="84"/>
      <c r="D13" s="84"/>
      <c r="E13" s="84"/>
      <c r="F13" s="84"/>
      <c r="G13" s="84"/>
      <c r="H13" s="85"/>
      <c r="I13" s="85"/>
      <c r="J13" s="85"/>
      <c r="K13" s="85"/>
      <c r="L13" s="85"/>
      <c r="M13" s="95">
        <f>SUM(C13:H13)</f>
        <v>0</v>
      </c>
    </row>
    <row r="14" spans="1:13">
      <c r="A14" s="83" t="s">
        <v>56</v>
      </c>
      <c r="B14" s="83"/>
      <c r="C14" s="86">
        <f t="shared" ref="C14:N14" si="2">SUM(C9:C13)</f>
        <v>7500</v>
      </c>
      <c r="D14" s="86">
        <f t="shared" si="2"/>
        <v>7500</v>
      </c>
      <c r="E14" s="86">
        <f t="shared" si="2"/>
        <v>0</v>
      </c>
      <c r="F14" s="86">
        <f t="shared" si="2"/>
        <v>0</v>
      </c>
      <c r="G14" s="86">
        <f t="shared" si="2"/>
        <v>0</v>
      </c>
      <c r="H14" s="86">
        <f t="shared" si="2"/>
        <v>0</v>
      </c>
      <c r="I14" s="86">
        <f t="shared" si="2"/>
        <v>0</v>
      </c>
      <c r="J14" s="86">
        <f t="shared" si="2"/>
        <v>0</v>
      </c>
      <c r="K14" s="86">
        <f t="shared" si="2"/>
        <v>0</v>
      </c>
      <c r="L14" s="86">
        <f t="shared" si="2"/>
        <v>0</v>
      </c>
      <c r="M14" s="86">
        <f t="shared" si="2"/>
        <v>15000</v>
      </c>
    </row>
    <row r="15" ht="33" spans="1:3">
      <c r="A15" s="87"/>
      <c r="B15" s="87"/>
      <c r="C15" s="88" t="s">
        <v>52</v>
      </c>
    </row>
    <row r="16" spans="2:13">
      <c r="B16" s="69" t="s">
        <v>216</v>
      </c>
      <c r="C16" s="89">
        <f>材料成本!D24</f>
        <v>1403.29</v>
      </c>
      <c r="D16" s="89">
        <f>材料成本!E24</f>
        <v>128.08</v>
      </c>
      <c r="E16" s="89">
        <f>材料成本!F24</f>
        <v>0</v>
      </c>
      <c r="F16" s="89">
        <f>材料成本!G24</f>
        <v>0</v>
      </c>
      <c r="G16" s="89">
        <f>材料成本!H24</f>
        <v>0</v>
      </c>
      <c r="H16" s="89">
        <f>材料成本!I24</f>
        <v>0</v>
      </c>
      <c r="I16" s="89">
        <f>材料成本!J24</f>
        <v>0</v>
      </c>
      <c r="J16" s="89">
        <f>材料成本!K24</f>
        <v>0</v>
      </c>
      <c r="K16" s="89">
        <f>材料成本!L24</f>
        <v>0</v>
      </c>
      <c r="L16" s="89">
        <f>材料成本!M24</f>
        <v>0</v>
      </c>
      <c r="M16" s="87">
        <f>SUM(C16:L16)</f>
        <v>1531.37</v>
      </c>
    </row>
    <row r="17" spans="2:13">
      <c r="B17" s="69" t="s">
        <v>104</v>
      </c>
      <c r="C17" s="89">
        <f>C8-C16</f>
        <v>366.622</v>
      </c>
      <c r="D17" s="89">
        <f t="shared" ref="D17:M17" si="3">D8-D16</f>
        <v>225.9</v>
      </c>
      <c r="E17" s="89">
        <f t="shared" si="3"/>
        <v>0</v>
      </c>
      <c r="F17" s="89">
        <f t="shared" si="3"/>
        <v>0</v>
      </c>
      <c r="G17" s="89">
        <f t="shared" si="3"/>
        <v>0</v>
      </c>
      <c r="H17" s="89">
        <f t="shared" si="3"/>
        <v>0</v>
      </c>
      <c r="I17" s="89">
        <f t="shared" si="3"/>
        <v>0</v>
      </c>
      <c r="J17" s="89">
        <f t="shared" si="3"/>
        <v>0</v>
      </c>
      <c r="K17" s="89">
        <f t="shared" si="3"/>
        <v>0</v>
      </c>
      <c r="L17" s="89">
        <f t="shared" si="3"/>
        <v>0</v>
      </c>
      <c r="M17" s="87">
        <f>SUM(C17:L17)</f>
        <v>592.522</v>
      </c>
    </row>
    <row r="18" spans="2:13">
      <c r="B18" s="69" t="s">
        <v>217</v>
      </c>
      <c r="C18" s="90">
        <f>C17/C8</f>
        <v>0.207141372000416</v>
      </c>
      <c r="D18" s="90">
        <f t="shared" ref="D18:N18" si="4">D17/D8</f>
        <v>0.638171648115713</v>
      </c>
      <c r="E18" s="90" t="e">
        <f t="shared" si="4"/>
        <v>#DIV/0!</v>
      </c>
      <c r="F18" s="90" t="e">
        <f t="shared" si="4"/>
        <v>#DIV/0!</v>
      </c>
      <c r="G18" s="91" t="e">
        <f t="shared" si="4"/>
        <v>#DIV/0!</v>
      </c>
      <c r="H18" s="91" t="e">
        <f t="shared" si="4"/>
        <v>#DIV/0!</v>
      </c>
      <c r="I18" s="91" t="e">
        <f t="shared" si="4"/>
        <v>#DIV/0!</v>
      </c>
      <c r="J18" s="91" t="e">
        <f t="shared" si="4"/>
        <v>#DIV/0!</v>
      </c>
      <c r="K18" s="90" t="e">
        <f t="shared" si="4"/>
        <v>#DIV/0!</v>
      </c>
      <c r="L18" s="90" t="e">
        <f t="shared" si="4"/>
        <v>#DIV/0!</v>
      </c>
      <c r="M18" s="90">
        <f t="shared" si="4"/>
        <v>0.278979345465777</v>
      </c>
    </row>
  </sheetData>
  <mergeCells count="4">
    <mergeCell ref="A14:B14"/>
    <mergeCell ref="A5:A8"/>
    <mergeCell ref="A9:A13"/>
    <mergeCell ref="M5:M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pane xSplit="3" ySplit="5" topLeftCell="D11" activePane="bottomRight" state="frozen"/>
      <selection/>
      <selection pane="topRight"/>
      <selection pane="bottomLeft"/>
      <selection pane="bottomRight" activeCell="G26" sqref="G26"/>
    </sheetView>
  </sheetViews>
  <sheetFormatPr defaultColWidth="9" defaultRowHeight="16.5"/>
  <cols>
    <col min="1" max="2" width="4.37272727272727" style="33" customWidth="1"/>
    <col min="3" max="3" width="8.12727272727273" style="33" customWidth="1"/>
    <col min="4" max="8" width="12" style="34" customWidth="1"/>
    <col min="9" max="9" width="12.7272727272727" style="34" customWidth="1"/>
    <col min="10" max="14" width="12" style="34" customWidth="1"/>
    <col min="15" max="15" width="12.2545454545455" style="33" customWidth="1"/>
    <col min="16" max="16" width="13.2545454545455" style="33" customWidth="1"/>
    <col min="17" max="17" width="16" style="33" customWidth="1"/>
    <col min="18" max="16384" width="9" style="33"/>
  </cols>
  <sheetData>
    <row r="1" s="32" customFormat="1" ht="28.5" customHeight="1" spans="1:17">
      <c r="A1" s="35" t="s">
        <v>7</v>
      </c>
      <c r="B1" s="35"/>
      <c r="C1" s="35"/>
      <c r="D1" s="36" t="s">
        <v>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Q1" s="68"/>
    </row>
    <row r="2" spans="1:14">
      <c r="A2" s="38" t="s">
        <v>218</v>
      </c>
      <c r="B2" s="38"/>
      <c r="C2" s="39"/>
      <c r="D2" s="40"/>
      <c r="E2" s="41" t="s">
        <v>219</v>
      </c>
      <c r="F2" s="42"/>
      <c r="G2" s="42"/>
      <c r="H2" s="42"/>
      <c r="I2" s="42"/>
      <c r="J2" s="42"/>
      <c r="K2" s="42"/>
      <c r="L2" s="42"/>
      <c r="M2" s="42"/>
      <c r="N2" s="62"/>
    </row>
    <row r="3" ht="33" spans="1:14">
      <c r="A3" s="43" t="s">
        <v>21</v>
      </c>
      <c r="B3" s="43" t="s">
        <v>220</v>
      </c>
      <c r="C3" s="43" t="s">
        <v>221</v>
      </c>
      <c r="D3" s="44" t="s">
        <v>151</v>
      </c>
      <c r="E3" s="44"/>
      <c r="F3" s="40" t="s">
        <v>222</v>
      </c>
      <c r="G3" s="45"/>
      <c r="H3" s="46"/>
      <c r="I3" s="46"/>
      <c r="J3" s="46"/>
      <c r="K3" s="46"/>
      <c r="L3" s="46"/>
      <c r="M3" s="46"/>
      <c r="N3" s="63" t="s">
        <v>172</v>
      </c>
    </row>
    <row r="4" ht="33" spans="1:14">
      <c r="A4" s="43"/>
      <c r="B4" s="43"/>
      <c r="C4" s="43" t="s">
        <v>152</v>
      </c>
      <c r="D4" s="47" t="s">
        <v>153</v>
      </c>
      <c r="E4" s="47" t="s">
        <v>154</v>
      </c>
      <c r="F4" s="47"/>
      <c r="G4" s="47"/>
      <c r="H4" s="48"/>
      <c r="I4" s="48"/>
      <c r="J4" s="48"/>
      <c r="K4" s="48"/>
      <c r="L4" s="48"/>
      <c r="M4" s="48"/>
      <c r="N4" s="64"/>
    </row>
    <row r="5" ht="33" spans="1:14">
      <c r="A5" s="43"/>
      <c r="B5" s="43"/>
      <c r="C5" s="43" t="s">
        <v>155</v>
      </c>
      <c r="D5" s="47" t="s">
        <v>156</v>
      </c>
      <c r="E5" s="47" t="s">
        <v>157</v>
      </c>
      <c r="F5" s="47"/>
      <c r="G5" s="47"/>
      <c r="H5" s="47"/>
      <c r="I5" s="47"/>
      <c r="J5" s="47"/>
      <c r="K5" s="47"/>
      <c r="L5" s="47"/>
      <c r="M5" s="47"/>
      <c r="N5" s="65"/>
    </row>
    <row r="6" ht="91" spans="1:14">
      <c r="A6" s="49">
        <v>1</v>
      </c>
      <c r="B6" s="50" t="s">
        <v>223</v>
      </c>
      <c r="C6" s="51"/>
      <c r="D6" s="48" t="s">
        <v>159</v>
      </c>
      <c r="E6" s="48" t="s">
        <v>160</v>
      </c>
      <c r="F6" s="48"/>
      <c r="G6" s="48"/>
      <c r="H6" s="48"/>
      <c r="I6" s="48"/>
      <c r="J6" s="48"/>
      <c r="K6" s="48"/>
      <c r="L6" s="48"/>
      <c r="M6" s="48"/>
      <c r="N6" s="66"/>
    </row>
    <row r="7" spans="1:14">
      <c r="A7" s="49">
        <v>2</v>
      </c>
      <c r="B7" s="50" t="s">
        <v>224</v>
      </c>
      <c r="C7" s="51"/>
      <c r="D7" s="52"/>
      <c r="E7" s="48"/>
      <c r="F7" s="48"/>
      <c r="G7" s="48"/>
      <c r="H7" s="48"/>
      <c r="I7" s="48"/>
      <c r="J7" s="48"/>
      <c r="K7" s="48"/>
      <c r="L7" s="48"/>
      <c r="M7" s="48"/>
      <c r="N7" s="66"/>
    </row>
    <row r="8" spans="1:14">
      <c r="A8" s="49">
        <v>3</v>
      </c>
      <c r="B8" s="50" t="s">
        <v>225</v>
      </c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66"/>
    </row>
    <row r="9" spans="1:14">
      <c r="A9" s="49">
        <v>4</v>
      </c>
      <c r="B9" s="50" t="s">
        <v>226</v>
      </c>
      <c r="C9" s="51"/>
      <c r="D9" s="52"/>
      <c r="E9" s="48"/>
      <c r="F9" s="48"/>
      <c r="G9" s="48"/>
      <c r="H9" s="48"/>
      <c r="I9" s="48"/>
      <c r="J9" s="48"/>
      <c r="K9" s="48"/>
      <c r="L9" s="48"/>
      <c r="M9" s="48"/>
      <c r="N9" s="66"/>
    </row>
    <row r="10" spans="1:14">
      <c r="A10" s="49">
        <v>5</v>
      </c>
      <c r="B10" s="50" t="s">
        <v>227</v>
      </c>
      <c r="C10" s="51"/>
      <c r="D10" s="52"/>
      <c r="E10" s="48"/>
      <c r="F10" s="48"/>
      <c r="G10" s="48"/>
      <c r="H10" s="48"/>
      <c r="I10" s="48"/>
      <c r="J10" s="48"/>
      <c r="K10" s="48"/>
      <c r="L10" s="48"/>
      <c r="M10" s="48"/>
      <c r="N10" s="66"/>
    </row>
    <row r="11" spans="1:14">
      <c r="A11" s="49">
        <v>6</v>
      </c>
      <c r="B11" s="50" t="s">
        <v>228</v>
      </c>
      <c r="C11" s="51"/>
      <c r="D11" s="52"/>
      <c r="E11" s="48"/>
      <c r="F11" s="48"/>
      <c r="G11" s="48"/>
      <c r="H11" s="48"/>
      <c r="I11" s="48"/>
      <c r="J11" s="48"/>
      <c r="K11" s="48"/>
      <c r="L11" s="48"/>
      <c r="M11" s="48"/>
      <c r="N11" s="66"/>
    </row>
    <row r="12" spans="1:14">
      <c r="A12" s="49">
        <v>7</v>
      </c>
      <c r="B12" s="50" t="s">
        <v>229</v>
      </c>
      <c r="C12" s="51"/>
      <c r="D12" s="52"/>
      <c r="E12" s="48"/>
      <c r="F12" s="48"/>
      <c r="G12" s="48"/>
      <c r="H12" s="48"/>
      <c r="I12" s="48"/>
      <c r="J12" s="48"/>
      <c r="K12" s="48"/>
      <c r="L12" s="48"/>
      <c r="M12" s="48"/>
      <c r="N12" s="66"/>
    </row>
    <row r="13" spans="1:14">
      <c r="A13" s="49">
        <v>8</v>
      </c>
      <c r="B13" s="50" t="s">
        <v>230</v>
      </c>
      <c r="C13" s="51"/>
      <c r="D13" s="52"/>
      <c r="E13" s="48"/>
      <c r="F13" s="48"/>
      <c r="G13" s="48"/>
      <c r="H13" s="48"/>
      <c r="I13" s="48"/>
      <c r="J13" s="48"/>
      <c r="K13" s="48"/>
      <c r="L13" s="48"/>
      <c r="M13" s="48"/>
      <c r="N13" s="66"/>
    </row>
    <row r="14" spans="1:14">
      <c r="A14" s="49">
        <v>9</v>
      </c>
      <c r="B14" s="50" t="s">
        <v>231</v>
      </c>
      <c r="C14" s="51"/>
      <c r="D14" s="52"/>
      <c r="E14" s="48"/>
      <c r="F14" s="48"/>
      <c r="G14" s="48"/>
      <c r="H14" s="48"/>
      <c r="I14" s="48"/>
      <c r="J14" s="48"/>
      <c r="K14" s="48"/>
      <c r="L14" s="48"/>
      <c r="M14" s="48"/>
      <c r="N14" s="66"/>
    </row>
    <row r="15" spans="1:14">
      <c r="A15" s="49">
        <v>10</v>
      </c>
      <c r="B15" s="50" t="s">
        <v>232</v>
      </c>
      <c r="C15" s="51"/>
      <c r="D15" s="52"/>
      <c r="E15" s="48"/>
      <c r="F15" s="48"/>
      <c r="G15" s="48"/>
      <c r="H15" s="48"/>
      <c r="I15" s="48"/>
      <c r="J15" s="48"/>
      <c r="K15" s="48"/>
      <c r="L15" s="48"/>
      <c r="M15" s="48"/>
      <c r="N15" s="66"/>
    </row>
    <row r="16" spans="1:14">
      <c r="A16" s="49">
        <v>11</v>
      </c>
      <c r="B16" s="50" t="s">
        <v>233</v>
      </c>
      <c r="C16" s="51"/>
      <c r="D16" s="52"/>
      <c r="E16" s="48"/>
      <c r="F16" s="48"/>
      <c r="G16" s="48"/>
      <c r="H16" s="48"/>
      <c r="I16" s="48"/>
      <c r="J16" s="48"/>
      <c r="K16" s="48"/>
      <c r="L16" s="48"/>
      <c r="M16" s="48"/>
      <c r="N16" s="66"/>
    </row>
    <row r="17" spans="1:14">
      <c r="A17" s="49">
        <v>12</v>
      </c>
      <c r="B17" s="50" t="s">
        <v>234</v>
      </c>
      <c r="C17" s="51"/>
      <c r="D17" s="52"/>
      <c r="E17" s="48"/>
      <c r="F17" s="48"/>
      <c r="G17" s="48"/>
      <c r="H17" s="48"/>
      <c r="I17" s="48"/>
      <c r="J17" s="48"/>
      <c r="K17" s="48"/>
      <c r="L17" s="48"/>
      <c r="M17" s="48"/>
      <c r="N17" s="66"/>
    </row>
    <row r="18" spans="1:14">
      <c r="A18" s="49">
        <v>13</v>
      </c>
      <c r="B18" s="50" t="s">
        <v>235</v>
      </c>
      <c r="C18" s="51"/>
      <c r="D18" s="52"/>
      <c r="E18" s="48"/>
      <c r="F18" s="48"/>
      <c r="G18" s="48"/>
      <c r="H18" s="48"/>
      <c r="I18" s="48"/>
      <c r="J18" s="48"/>
      <c r="K18" s="48"/>
      <c r="L18" s="48"/>
      <c r="M18" s="48"/>
      <c r="N18" s="66"/>
    </row>
    <row r="19" spans="1:14">
      <c r="A19" s="49">
        <v>14</v>
      </c>
      <c r="B19" s="50" t="s">
        <v>236</v>
      </c>
      <c r="C19" s="51"/>
      <c r="D19" s="52"/>
      <c r="E19" s="48"/>
      <c r="F19" s="48"/>
      <c r="G19" s="48"/>
      <c r="H19" s="48"/>
      <c r="I19" s="48"/>
      <c r="J19" s="48"/>
      <c r="K19" s="48"/>
      <c r="L19" s="48"/>
      <c r="M19" s="48"/>
      <c r="N19" s="66"/>
    </row>
    <row r="20" spans="1:14">
      <c r="A20" s="49">
        <v>15</v>
      </c>
      <c r="B20" s="50" t="s">
        <v>237</v>
      </c>
      <c r="C20" s="51"/>
      <c r="D20" s="52"/>
      <c r="E20" s="48"/>
      <c r="F20" s="48"/>
      <c r="G20" s="48"/>
      <c r="H20" s="48"/>
      <c r="I20" s="48"/>
      <c r="J20" s="48"/>
      <c r="K20" s="48"/>
      <c r="L20" s="48"/>
      <c r="M20" s="48"/>
      <c r="N20" s="66"/>
    </row>
    <row r="21" spans="1:14">
      <c r="A21" s="49">
        <v>16</v>
      </c>
      <c r="B21" s="50" t="s">
        <v>238</v>
      </c>
      <c r="C21" s="51"/>
      <c r="D21" s="52"/>
      <c r="E21" s="48"/>
      <c r="F21" s="48"/>
      <c r="G21" s="48"/>
      <c r="H21" s="48"/>
      <c r="I21" s="48"/>
      <c r="J21" s="48"/>
      <c r="K21" s="48"/>
      <c r="L21" s="48"/>
      <c r="M21" s="48"/>
      <c r="N21" s="66"/>
    </row>
    <row r="22" spans="1:14">
      <c r="A22" s="49">
        <v>17</v>
      </c>
      <c r="B22" s="50" t="s">
        <v>39</v>
      </c>
      <c r="C22" s="51"/>
      <c r="D22" s="52"/>
      <c r="E22" s="48"/>
      <c r="F22" s="48"/>
      <c r="G22" s="48"/>
      <c r="H22" s="48"/>
      <c r="I22" s="48"/>
      <c r="J22" s="48"/>
      <c r="K22" s="48"/>
      <c r="L22" s="48"/>
      <c r="M22" s="48"/>
      <c r="N22" s="66"/>
    </row>
    <row r="23" spans="1:14">
      <c r="A23" s="49">
        <v>18</v>
      </c>
      <c r="B23" s="50" t="s">
        <v>239</v>
      </c>
      <c r="C23" s="51"/>
      <c r="D23" s="53">
        <v>1403.29</v>
      </c>
      <c r="E23" s="54">
        <v>128.08</v>
      </c>
      <c r="F23" s="53"/>
      <c r="G23" s="54"/>
      <c r="H23" s="55"/>
      <c r="I23" s="55"/>
      <c r="J23" s="55"/>
      <c r="K23" s="55"/>
      <c r="L23" s="55"/>
      <c r="M23" s="55"/>
      <c r="N23" s="67"/>
    </row>
    <row r="24" ht="31.5" customHeight="1" spans="1:14">
      <c r="A24" s="56" t="s">
        <v>240</v>
      </c>
      <c r="B24" s="57"/>
      <c r="C24" s="58"/>
      <c r="D24" s="59">
        <f t="shared" ref="D24:M24" si="0">SUM(D6:D23)</f>
        <v>1403.29</v>
      </c>
      <c r="E24" s="59">
        <f t="shared" si="0"/>
        <v>128.08</v>
      </c>
      <c r="F24" s="59">
        <f t="shared" si="0"/>
        <v>0</v>
      </c>
      <c r="G24" s="59">
        <f t="shared" si="0"/>
        <v>0</v>
      </c>
      <c r="H24" s="59">
        <f t="shared" si="0"/>
        <v>0</v>
      </c>
      <c r="I24" s="59">
        <f t="shared" si="0"/>
        <v>0</v>
      </c>
      <c r="J24" s="59">
        <f t="shared" si="0"/>
        <v>0</v>
      </c>
      <c r="K24" s="59">
        <f t="shared" si="0"/>
        <v>0</v>
      </c>
      <c r="L24" s="59">
        <f t="shared" si="0"/>
        <v>0</v>
      </c>
      <c r="M24" s="59">
        <f t="shared" si="0"/>
        <v>0</v>
      </c>
      <c r="N24" s="67"/>
    </row>
    <row r="25" spans="3:13">
      <c r="C25" s="33" t="s">
        <v>241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</row>
    <row r="27" spans="3:13">
      <c r="C27" s="33" t="s">
        <v>54</v>
      </c>
      <c r="D27" s="61">
        <f>D24</f>
        <v>1403.29</v>
      </c>
      <c r="E27" s="61">
        <f>E24</f>
        <v>128.08</v>
      </c>
      <c r="F27" s="61">
        <f t="shared" ref="D27:M27" si="1">F24*0.94</f>
        <v>0</v>
      </c>
      <c r="G27" s="61">
        <f t="shared" si="1"/>
        <v>0</v>
      </c>
      <c r="H27" s="61">
        <f t="shared" si="1"/>
        <v>0</v>
      </c>
      <c r="I27" s="61">
        <f t="shared" si="1"/>
        <v>0</v>
      </c>
      <c r="J27" s="61">
        <f t="shared" si="1"/>
        <v>0</v>
      </c>
      <c r="K27" s="61">
        <f t="shared" si="1"/>
        <v>0</v>
      </c>
      <c r="L27" s="61">
        <f t="shared" si="1"/>
        <v>0</v>
      </c>
      <c r="M27" s="61">
        <f t="shared" si="1"/>
        <v>0</v>
      </c>
    </row>
    <row r="28" spans="3:13">
      <c r="C28" s="33" t="s">
        <v>55</v>
      </c>
      <c r="D28" s="61">
        <f>D27</f>
        <v>1403.29</v>
      </c>
      <c r="E28" s="61">
        <f>E27</f>
        <v>128.08</v>
      </c>
      <c r="F28" s="61">
        <f t="shared" ref="D28:M28" si="2">F27*0.94</f>
        <v>0</v>
      </c>
      <c r="G28" s="61">
        <f t="shared" si="2"/>
        <v>0</v>
      </c>
      <c r="H28" s="61">
        <f t="shared" si="2"/>
        <v>0</v>
      </c>
      <c r="I28" s="61">
        <f t="shared" si="2"/>
        <v>0</v>
      </c>
      <c r="J28" s="61">
        <f t="shared" si="2"/>
        <v>0</v>
      </c>
      <c r="K28" s="61">
        <f t="shared" si="2"/>
        <v>0</v>
      </c>
      <c r="L28" s="61">
        <f t="shared" si="2"/>
        <v>0</v>
      </c>
      <c r="M28" s="61">
        <f t="shared" si="2"/>
        <v>0</v>
      </c>
    </row>
  </sheetData>
  <mergeCells count="27">
    <mergeCell ref="A1:B1"/>
    <mergeCell ref="A2:D2"/>
    <mergeCell ref="E2:N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N3:N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假设条件</vt:lpstr>
      <vt:lpstr>现金</vt:lpstr>
      <vt:lpstr>损益表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2024-07-04T02:56:47Z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9545D4B7266740A89BCEAE7E60B7E103</vt:lpwstr>
  </property>
</Properties>
</file>