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290" tabRatio="810" activeTab="2"/>
  </bookViews>
  <sheets>
    <sheet name="假设条件" sheetId="34" r:id="rId1"/>
    <sheet name="现金" sheetId="36" state="hidden" r:id="rId2"/>
    <sheet name="损益表" sheetId="56" r:id="rId3"/>
    <sheet name="2025年" sheetId="43" r:id="rId4"/>
    <sheet name="2026年" sheetId="57" r:id="rId5"/>
    <sheet name="2027年" sheetId="58" r:id="rId6"/>
    <sheet name="项目投资" sheetId="51" r:id="rId7"/>
    <sheet name="销量" sheetId="55" r:id="rId8"/>
    <sheet name="材料成本" sheetId="53" r:id="rId9"/>
    <sheet name="其他" sheetId="54" r:id="rId10"/>
    <sheet name="标准成本" sheetId="50" r:id="rId11"/>
  </sheets>
  <externalReferences>
    <externalReference r:id="rId12"/>
    <externalReference r:id="rId13"/>
  </externalReferences>
  <definedNames>
    <definedName name="_xlnm.Print_Area" localSheetId="3">'2025年'!$A$1:$D$48</definedName>
    <definedName name="_xlnm.Print_Area" localSheetId="4">'2026年'!$A$1:$D$48</definedName>
    <definedName name="_xlnm.Print_Area" localSheetId="5">'2027年'!$A$1:$D$48</definedName>
    <definedName name="_xlnm.Print_Area" localSheetId="6">项目投资!$A$1:$C$35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N3" authorId="0">
      <text>
        <r>
          <rPr>
            <b/>
            <sz val="9"/>
            <rFont val="宋体"/>
            <charset val="134"/>
          </rPr>
          <t>委外加工、客户指定信息必须填写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<sst xmlns="http://schemas.openxmlformats.org/spreadsheetml/2006/main" count="1185" uniqueCount="295">
  <si>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</si>
  <si>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</si>
  <si>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</si>
  <si>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</si>
  <si>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</si>
  <si>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</si>
  <si>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</si>
  <si>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</si>
  <si>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成本预估由项目经理提供。供应商年度降价与销价降价同步。</t>
  </si>
  <si>
    <t>单台材料成本为未税价格，面套、骨架、底支架自制。</t>
  </si>
  <si>
    <t>变动费用</t>
  </si>
  <si>
    <t>变动费用参考河北工厂2022年实际及2023预算暂估。</t>
  </si>
  <si>
    <t>固定费用</t>
  </si>
  <si>
    <t>预测工厂产能满足客户订单。</t>
  </si>
  <si>
    <t>研发费用按照产销量摊销。</t>
  </si>
  <si>
    <t>财务费用按集团综合。</t>
  </si>
  <si>
    <t>如有产线改造按照产销量摊销，无净残值。</t>
  </si>
  <si>
    <t>投资回收期</t>
  </si>
  <si>
    <t>投资仅指此项目研发费用及模夹检具工装、生产地产线改造投入。</t>
  </si>
  <si>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</si>
  <si>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</si>
  <si>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</si>
  <si>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</si>
  <si>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</si>
  <si>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</si>
  <si>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</si>
  <si>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</si>
  <si>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</si>
  <si>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</si>
  <si>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</si>
  <si>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</si>
  <si>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</si>
  <si>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</si>
  <si>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</si>
  <si>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</si>
  <si>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</si>
  <si>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</si>
  <si>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</si>
  <si>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</si>
  <si>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</si>
  <si>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</si>
  <si>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</si>
  <si>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</si>
  <si>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</si>
  <si>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</si>
  <si>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</si>
  <si>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</si>
  <si>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</si>
  <si>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</si>
  <si>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</si>
  <si>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</si>
  <si>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北京福田戴姆勒A6座椅项目可行性分析            单位：元</t>
  </si>
  <si>
    <t>面套、骨架、底支架自制</t>
  </si>
  <si>
    <t>2025年</t>
  </si>
  <si>
    <t>2026年</t>
  </si>
  <si>
    <t>2027年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</si>
  <si>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</si>
  <si>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</si>
  <si>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</si>
  <si>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</si>
  <si>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</si>
  <si>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</si>
  <si>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</si>
  <si>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</si>
  <si>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</si>
  <si>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</si>
  <si>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</si>
  <si>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r>
      <rPr>
        <sz val="10"/>
        <color theme="1"/>
        <rFont val="微软雅黑"/>
        <charset val="134"/>
      </rPr>
      <t xml:space="preserve">直接材料  </t>
    </r>
    <r>
      <rPr>
        <b/>
        <sz val="10"/>
        <color rgb="FFFF0000"/>
        <rFont val="微软雅黑"/>
        <charset val="134"/>
      </rPr>
      <t>面套、骨架、底支架自制</t>
    </r>
  </si>
  <si>
    <t>5、</t>
  </si>
  <si>
    <t>直接材料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</si>
  <si>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</si>
  <si>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</si>
  <si>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</si>
  <si>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</si>
  <si>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</si>
  <si>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</si>
  <si>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</si>
  <si>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</si>
  <si>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</si>
  <si>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</si>
  <si>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</si>
  <si>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</si>
  <si>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</si>
  <si>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</si>
  <si>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</si>
  <si>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</si>
  <si>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</si>
  <si>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</si>
  <si>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</si>
  <si>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</si>
  <si>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</si>
  <si>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</si>
  <si>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</si>
  <si>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</si>
  <si>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</si>
  <si>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</si>
  <si>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</si>
  <si>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</si>
  <si>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</si>
  <si>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</si>
  <si>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</si>
  <si>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</si>
  <si>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</si>
  <si>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</si>
  <si>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</si>
  <si>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</si>
  <si>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</si>
  <si>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</si>
  <si>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</si>
  <si>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</si>
  <si>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</si>
  <si>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</si>
  <si>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</si>
  <si>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</si>
  <si>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</si>
  <si>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</si>
  <si>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</si>
  <si>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单件边际贡献率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</si>
  <si>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</si>
  <si>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</si>
  <si>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</si>
  <si>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</si>
  <si>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</si>
  <si>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</si>
  <si>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</si>
  <si>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</si>
  <si>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</si>
  <si>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</si>
  <si>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</si>
  <si>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</si>
  <si>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</si>
  <si>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</si>
  <si>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</si>
  <si>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</si>
  <si>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</si>
  <si>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</si>
  <si>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</si>
  <si>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</si>
  <si>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</si>
  <si>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</si>
  <si>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</si>
  <si>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</si>
  <si>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</si>
  <si>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</si>
  <si>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</si>
  <si>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</si>
  <si>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</si>
  <si>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</si>
  <si>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年度</t>
  </si>
  <si>
    <t xml:space="preserve">2025年  </t>
  </si>
  <si>
    <t>客户全称</t>
  </si>
  <si>
    <t>北京福田戴姆勒</t>
  </si>
  <si>
    <t>产品名称</t>
  </si>
  <si>
    <t>驾驶员座椅</t>
  </si>
  <si>
    <t>产品图号</t>
  </si>
  <si>
    <t>A668100000004</t>
  </si>
  <si>
    <t>车型</t>
  </si>
  <si>
    <t>舒适</t>
  </si>
  <si>
    <t>销量(件）</t>
  </si>
  <si>
    <t>设备模具等折旧分摊</t>
  </si>
  <si>
    <t>假设包含在固定制造费用中</t>
  </si>
  <si>
    <t>所得税(税率25%）</t>
  </si>
  <si>
    <t>单位：元</t>
  </si>
  <si>
    <t>单件销售收入净额</t>
  </si>
  <si>
    <t xml:space="preserve">2026年  </t>
  </si>
  <si>
    <t>标准</t>
  </si>
  <si>
    <t xml:space="preserve">2027年  </t>
  </si>
  <si>
    <r>
      <rPr>
        <b/>
        <sz val="16"/>
        <color indexed="8"/>
        <rFont val="宋体"/>
        <charset val="134"/>
      </rPr>
      <t xml:space="preserve">    项目建设及投资估算表    </t>
    </r>
    <r>
      <rPr>
        <b/>
        <sz val="8"/>
        <color indexed="8"/>
        <rFont val="宋体"/>
        <charset val="134"/>
      </rPr>
      <t>单位：万元</t>
    </r>
  </si>
  <si>
    <t xml:space="preserve">北京福田戴姆勒驾驶员座椅项目研发费用预算表 </t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</si>
  <si>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</si>
  <si>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</si>
  <si>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</si>
  <si>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</si>
  <si>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</si>
  <si>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</si>
  <si>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</si>
  <si>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</si>
  <si>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</si>
  <si>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</si>
  <si>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</si>
  <si>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</si>
  <si>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</si>
  <si>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</si>
  <si>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</si>
  <si>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</si>
  <si>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</si>
  <si>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</si>
  <si>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</si>
  <si>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</si>
  <si>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</si>
  <si>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</si>
  <si>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</si>
  <si>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</si>
  <si>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</si>
  <si>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</si>
  <si>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</si>
  <si>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</si>
  <si>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</si>
  <si>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</si>
  <si>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</si>
  <si>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</si>
  <si>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</si>
  <si>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2028年</t>
  </si>
  <si>
    <t>2029年</t>
  </si>
  <si>
    <t>预计净残值</t>
  </si>
  <si>
    <t>研发费用分摊</t>
  </si>
  <si>
    <t>产品量价规划</t>
  </si>
  <si>
    <t>一、销量、售价</t>
  </si>
  <si>
    <t>预计销价年降</t>
  </si>
  <si>
    <t xml:space="preserve">  年</t>
  </si>
  <si>
    <t>新开发产品</t>
  </si>
  <si>
    <t>配置</t>
  </si>
  <si>
    <t xml:space="preserve">销售价格
（元，未税）  </t>
  </si>
  <si>
    <t>销量（件）</t>
  </si>
  <si>
    <t>原材料成本</t>
  </si>
  <si>
    <t>附加值率</t>
  </si>
  <si>
    <t>预估原材料成本（单位：元，未税）</t>
  </si>
  <si>
    <t>供应商年降：       年6 %</t>
  </si>
  <si>
    <t>模块</t>
  </si>
  <si>
    <t>项目名称</t>
  </si>
  <si>
    <t>A6</t>
  </si>
  <si>
    <t>项目编号</t>
  </si>
  <si>
    <t>ZY2248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</si>
  <si>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</si>
  <si>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</si>
  <si>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</si>
  <si>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</si>
  <si>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</si>
  <si>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</si>
  <si>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</si>
  <si>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</si>
  <si>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</si>
  <si>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</si>
  <si>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标准件</t>
  </si>
  <si>
    <t>包装膜</t>
  </si>
  <si>
    <t>通风加热</t>
  </si>
  <si>
    <t>安全带</t>
  </si>
  <si>
    <t>SBR</t>
  </si>
  <si>
    <t>喷涂</t>
  </si>
  <si>
    <t>预计材料成本</t>
  </si>
  <si>
    <t>汇总</t>
  </si>
  <si>
    <t>第一次</t>
  </si>
  <si>
    <t>项    目</t>
  </si>
  <si>
    <t>内容</t>
  </si>
  <si>
    <t>说明</t>
  </si>
  <si>
    <t>生产地点</t>
  </si>
  <si>
    <t>河北光华荣昌</t>
  </si>
  <si>
    <t>客户地点</t>
  </si>
  <si>
    <t>怀柔</t>
  </si>
  <si>
    <t>送货地点</t>
  </si>
  <si>
    <t>客户付款方式</t>
  </si>
  <si>
    <t>承兑</t>
  </si>
  <si>
    <t>喷涂件生产地点</t>
  </si>
  <si>
    <t>委外加工</t>
  </si>
  <si>
    <t>物流包装信息</t>
  </si>
  <si>
    <t>周转箱</t>
  </si>
  <si>
    <t>客户现场服务要求</t>
  </si>
  <si>
    <t>现场服务</t>
  </si>
  <si>
    <t>客户所在地第三方收费标准</t>
  </si>
  <si>
    <t>客户是否指定供方及其结算方式</t>
  </si>
  <si>
    <t>安全带、面料</t>
  </si>
  <si>
    <t>面料价格</t>
  </si>
  <si>
    <t>包含所有的主、辅料</t>
  </si>
  <si>
    <t>产品特殊特性</t>
  </si>
  <si>
    <t>开发费分摊情况</t>
  </si>
  <si>
    <t>自承担</t>
  </si>
  <si>
    <t>产品应用场景</t>
  </si>
  <si>
    <t>公路车、工程车</t>
  </si>
  <si>
    <t>三包周期</t>
  </si>
  <si>
    <t>涂红色处为必填项</t>
  </si>
  <si>
    <t>单位：元、%、未税</t>
  </si>
  <si>
    <t>A668100000010</t>
  </si>
  <si>
    <t>科目</t>
  </si>
  <si>
    <t>河北工厂平均值</t>
  </si>
  <si>
    <t>预计</t>
  </si>
  <si>
    <t>座椅单件金额</t>
  </si>
  <si>
    <t>后视镜单件金额</t>
  </si>
  <si>
    <t>综合单件金额</t>
  </si>
  <si>
    <t>座椅占收入比率</t>
  </si>
  <si>
    <t>后视镜占收入比率</t>
  </si>
  <si>
    <t>综合占收入比率</t>
  </si>
  <si>
    <t>人工成本</t>
  </si>
  <si>
    <t>制造费用</t>
  </si>
  <si>
    <t>固定</t>
  </si>
  <si>
    <t>变动</t>
  </si>
  <si>
    <t>标准成本小计</t>
  </si>
  <si>
    <t>销售费用</t>
  </si>
  <si>
    <t>A668100000023</t>
  </si>
  <si>
    <t>A668100000026</t>
  </si>
  <si>
    <t>A668100000011</t>
  </si>
  <si>
    <t>A668100000024</t>
  </si>
  <si>
    <t>A668100000006</t>
  </si>
  <si>
    <t>A668100000025</t>
  </si>
  <si>
    <t>A668100000007</t>
  </si>
  <si>
    <t>A668100000022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</si>
</sst>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_ * #,##0_ ;_ * \-#,##0_ ;_ * &quot;-&quot;??_ ;_ @_ "/>
    <numFmt numFmtId="178" formatCode="0.0%"/>
    <numFmt numFmtId="179" formatCode="0_ "/>
    <numFmt numFmtId="180" formatCode="0.00_ "/>
    <numFmt numFmtId="181" formatCode="&quot;$&quot;#,##0.00_);[Red]\(&quot;$&quot;#,##0.00\)"/>
  </numFmts>
  <fonts count="6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微软雅黑"/>
      <charset val="134"/>
    </font>
    <font>
      <sz val="11"/>
      <color theme="1"/>
      <name val="微软雅黑"/>
      <charset val="134"/>
    </font>
    <font>
      <sz val="11"/>
      <color rgb="FF000000"/>
      <name val="宋体"/>
      <charset val="134"/>
    </font>
    <font>
      <sz val="9"/>
      <color theme="1"/>
      <name val="微软雅黑"/>
      <charset val="134"/>
    </font>
    <font>
      <b/>
      <sz val="10"/>
      <color rgb="FFFF0000"/>
      <name val="微软雅黑"/>
      <charset val="134"/>
    </font>
    <font>
      <b/>
      <sz val="11"/>
      <name val="微软雅黑"/>
      <charset val="134"/>
    </font>
    <font>
      <b/>
      <sz val="9"/>
      <name val="微软雅黑"/>
      <charset val="134"/>
    </font>
    <font>
      <sz val="11"/>
      <name val="微软雅黑"/>
      <charset val="134"/>
    </font>
    <font>
      <sz val="9"/>
      <name val="微软雅黑"/>
      <charset val="134"/>
    </font>
    <font>
      <b/>
      <sz val="11"/>
      <color theme="1"/>
      <name val="微软雅黑"/>
      <charset val="134"/>
    </font>
    <font>
      <sz val="12"/>
      <color rgb="FF000000"/>
      <name val="微软雅黑"/>
      <charset val="134"/>
    </font>
    <font>
      <sz val="14"/>
      <color rgb="FF000000"/>
      <name val="宋体"/>
      <charset val="134"/>
    </font>
    <font>
      <b/>
      <sz val="12"/>
      <color rgb="FFFF0000"/>
      <name val="微软雅黑"/>
      <charset val="134"/>
    </font>
    <font>
      <b/>
      <sz val="16"/>
      <color indexed="8"/>
      <name val="宋体"/>
      <charset val="134"/>
    </font>
    <font>
      <sz val="10"/>
      <color indexed="12"/>
      <name val="宋体"/>
      <charset val="134"/>
    </font>
    <font>
      <sz val="10"/>
      <name val="宋体"/>
      <charset val="134"/>
    </font>
    <font>
      <sz val="10"/>
      <color indexed="8"/>
      <name val="Times New Roman"/>
      <charset val="134"/>
    </font>
    <font>
      <sz val="10"/>
      <color indexed="8"/>
      <name val="宋体"/>
      <charset val="134"/>
    </font>
    <font>
      <sz val="10"/>
      <color rgb="FFFF0000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b/>
      <sz val="10"/>
      <name val="宋体"/>
      <charset val="134"/>
    </font>
    <font>
      <b/>
      <sz val="10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8"/>
      <color theme="1"/>
      <name val="微软雅黑"/>
      <charset val="134"/>
    </font>
    <font>
      <b/>
      <sz val="10"/>
      <name val="CorpoS"/>
      <charset val="134"/>
    </font>
    <font>
      <b/>
      <sz val="10"/>
      <name val="微软雅黑"/>
      <charset val="134"/>
    </font>
    <font>
      <sz val="14"/>
      <name val="宋体"/>
      <charset val="134"/>
    </font>
    <font>
      <sz val="12"/>
      <color theme="1"/>
      <name val="宋体"/>
      <charset val="134"/>
      <scheme val="minor"/>
    </font>
    <font>
      <b/>
      <sz val="12"/>
      <color rgb="FF000000"/>
      <name val="微软雅黑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S Sans Serif"/>
      <charset val="134"/>
    </font>
    <font>
      <sz val="9"/>
      <name val="Arial"/>
      <charset val="134"/>
    </font>
    <font>
      <sz val="12"/>
      <name val="宋体"/>
      <charset val="134"/>
    </font>
    <font>
      <sz val="12"/>
      <name val="Times New Roman"/>
      <charset val="134"/>
    </font>
    <font>
      <b/>
      <sz val="12"/>
      <name val="仿宋体"/>
      <charset val="134"/>
    </font>
    <font>
      <sz val="11"/>
      <color indexed="8"/>
      <name val="宋体"/>
      <charset val="134"/>
    </font>
    <font>
      <b/>
      <sz val="8"/>
      <color indexed="8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11" borderId="19" applyNumberFormat="0" applyAlignment="0" applyProtection="0">
      <alignment vertical="center"/>
    </xf>
    <xf numFmtId="0" fontId="42" fillId="12" borderId="20" applyNumberFormat="0" applyAlignment="0" applyProtection="0">
      <alignment vertical="center"/>
    </xf>
    <xf numFmtId="0" fontId="43" fillId="12" borderId="19" applyNumberFormat="0" applyAlignment="0" applyProtection="0">
      <alignment vertical="center"/>
    </xf>
    <xf numFmtId="0" fontId="44" fillId="13" borderId="21" applyNumberFormat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2" fillId="0" borderId="0"/>
    <xf numFmtId="0" fontId="53" fillId="0" borderId="2" applyNumberFormat="0" applyFill="0" applyBorder="0" applyAlignment="0" applyProtection="0">
      <alignment vertical="center"/>
    </xf>
    <xf numFmtId="0" fontId="0" fillId="0" borderId="0">
      <alignment vertical="center"/>
    </xf>
    <xf numFmtId="0" fontId="54" fillId="0" borderId="0"/>
    <xf numFmtId="0" fontId="55" fillId="0" borderId="0"/>
    <xf numFmtId="1" fontId="56" fillId="0" borderId="2" applyBorder="0"/>
    <xf numFmtId="43" fontId="57" fillId="0" borderId="0" applyFont="0" applyFill="0" applyBorder="0" applyAlignment="0" applyProtection="0">
      <alignment vertical="center"/>
    </xf>
    <xf numFmtId="0" fontId="54" fillId="0" borderId="0"/>
  </cellStyleXfs>
  <cellXfs count="24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0" fontId="0" fillId="0" borderId="0" xfId="3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>
      <alignment vertical="center"/>
    </xf>
    <xf numFmtId="43" fontId="0" fillId="0" borderId="2" xfId="1" applyFont="1" applyFill="1" applyBorder="1">
      <alignment vertical="center"/>
    </xf>
    <xf numFmtId="43" fontId="0" fillId="0" borderId="2" xfId="0" applyNumberFormat="1" applyFill="1" applyBorder="1" applyAlignment="1">
      <alignment horizontal="center" vertical="center"/>
    </xf>
    <xf numFmtId="10" fontId="0" fillId="0" borderId="2" xfId="0" applyNumberForma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43" fontId="1" fillId="0" borderId="2" xfId="1" applyFont="1" applyFill="1" applyBorder="1">
      <alignment vertical="center"/>
    </xf>
    <xf numFmtId="10" fontId="0" fillId="0" borderId="2" xfId="3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2" fillId="0" borderId="8" xfId="0" applyFont="1" applyFill="1" applyBorder="1" applyAlignment="1">
      <alignment horizontal="center" vertical="center" wrapText="1"/>
    </xf>
    <xf numFmtId="43" fontId="0" fillId="0" borderId="0" xfId="1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10" fontId="4" fillId="4" borderId="2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43" fontId="5" fillId="4" borderId="2" xfId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43" fontId="10" fillId="4" borderId="2" xfId="1" applyFont="1" applyFill="1" applyBorder="1" applyAlignment="1">
      <alignment horizontal="center" vertical="center" wrapText="1"/>
    </xf>
    <xf numFmtId="43" fontId="5" fillId="5" borderId="2" xfId="1" applyFont="1" applyFill="1" applyBorder="1" applyAlignment="1">
      <alignment horizontal="center" vertical="center" wrapText="1"/>
    </xf>
    <xf numFmtId="43" fontId="5" fillId="5" borderId="0" xfId="1" applyFont="1" applyFill="1" applyAlignment="1">
      <alignment horizontal="center" vertical="center" wrapText="1"/>
    </xf>
    <xf numFmtId="43" fontId="5" fillId="5" borderId="2" xfId="1" applyFont="1" applyFill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3" fontId="10" fillId="0" borderId="2" xfId="1" applyFont="1" applyBorder="1" applyAlignment="1">
      <alignment vertical="center" wrapText="1"/>
    </xf>
    <xf numFmtId="43" fontId="5" fillId="0" borderId="0" xfId="1" applyFont="1" applyAlignment="1">
      <alignment horizontal="center" vertical="center" wrapText="1"/>
    </xf>
    <xf numFmtId="43" fontId="5" fillId="0" borderId="0" xfId="0" applyNumberFormat="1" applyFont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43" fontId="5" fillId="0" borderId="6" xfId="0" applyNumberFormat="1" applyFont="1" applyBorder="1" applyAlignment="1">
      <alignment horizontal="center" vertical="center" wrapText="1"/>
    </xf>
    <xf numFmtId="43" fontId="5" fillId="0" borderId="10" xfId="0" applyNumberFormat="1" applyFont="1" applyBorder="1" applyAlignment="1">
      <alignment horizontal="center" vertical="center" wrapText="1"/>
    </xf>
    <xf numFmtId="43" fontId="5" fillId="0" borderId="7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43" fontId="3" fillId="0" borderId="0" xfId="0" applyNumberFormat="1" applyFont="1" applyBorder="1">
      <alignment vertical="center"/>
    </xf>
    <xf numFmtId="0" fontId="3" fillId="0" borderId="0" xfId="0" applyFont="1" applyFill="1">
      <alignment vertical="center"/>
    </xf>
    <xf numFmtId="176" fontId="3" fillId="0" borderId="0" xfId="0" applyNumberFormat="1" applyFont="1" applyFill="1">
      <alignment vertical="center"/>
    </xf>
    <xf numFmtId="0" fontId="11" fillId="0" borderId="0" xfId="0" applyFont="1" applyFill="1" applyAlignment="1">
      <alignment vertical="center" wrapText="1"/>
    </xf>
    <xf numFmtId="177" fontId="3" fillId="0" borderId="0" xfId="1" applyNumberFormat="1" applyFont="1" applyFill="1">
      <alignment vertical="center"/>
    </xf>
    <xf numFmtId="0" fontId="11" fillId="0" borderId="0" xfId="0" applyFont="1" applyFill="1" applyAlignment="1">
      <alignment vertical="center"/>
    </xf>
    <xf numFmtId="10" fontId="3" fillId="0" borderId="0" xfId="0" applyNumberFormat="1" applyFont="1" applyFill="1">
      <alignment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 readingOrder="1"/>
    </xf>
    <xf numFmtId="176" fontId="12" fillId="0" borderId="2" xfId="0" applyNumberFormat="1" applyFont="1" applyFill="1" applyBorder="1" applyAlignment="1">
      <alignment horizontal="center" vertical="center" wrapText="1" readingOrder="1"/>
    </xf>
    <xf numFmtId="176" fontId="13" fillId="0" borderId="2" xfId="0" applyNumberFormat="1" applyFont="1" applyFill="1" applyBorder="1" applyAlignment="1">
      <alignment horizontal="center" vertical="center" wrapText="1" readingOrder="1"/>
    </xf>
    <xf numFmtId="177" fontId="2" fillId="0" borderId="2" xfId="0" applyNumberFormat="1" applyFont="1" applyFill="1" applyBorder="1" applyAlignment="1">
      <alignment horizontal="center" wrapText="1" readingOrder="1"/>
    </xf>
    <xf numFmtId="43" fontId="3" fillId="0" borderId="0" xfId="1" applyFont="1" applyFill="1">
      <alignment vertical="center"/>
    </xf>
    <xf numFmtId="0" fontId="14" fillId="0" borderId="0" xfId="0" applyFont="1" applyBorder="1" applyAlignment="1">
      <alignment horizontal="center" vertical="center" wrapText="1"/>
    </xf>
    <xf numFmtId="43" fontId="3" fillId="0" borderId="0" xfId="0" applyNumberFormat="1" applyFont="1" applyFill="1">
      <alignment vertical="center"/>
    </xf>
    <xf numFmtId="178" fontId="3" fillId="0" borderId="0" xfId="3" applyNumberFormat="1" applyFont="1" applyFill="1">
      <alignment vertical="center"/>
    </xf>
    <xf numFmtId="178" fontId="3" fillId="5" borderId="0" xfId="3" applyNumberFormat="1" applyFont="1" applyFill="1">
      <alignment vertical="center"/>
    </xf>
    <xf numFmtId="0" fontId="12" fillId="0" borderId="6" xfId="0" applyFont="1" applyFill="1" applyBorder="1" applyAlignment="1">
      <alignment horizontal="center" vertical="center" wrapText="1" readingOrder="1"/>
    </xf>
    <xf numFmtId="0" fontId="12" fillId="0" borderId="10" xfId="0" applyFont="1" applyFill="1" applyBorder="1" applyAlignment="1">
      <alignment horizontal="center" vertical="center" wrapText="1" readingOrder="1"/>
    </xf>
    <xf numFmtId="0" fontId="12" fillId="0" borderId="7" xfId="0" applyFont="1" applyFill="1" applyBorder="1" applyAlignment="1">
      <alignment horizontal="center" vertical="center" wrapText="1" readingOrder="1"/>
    </xf>
    <xf numFmtId="177" fontId="12" fillId="0" borderId="2" xfId="1" applyNumberFormat="1" applyFont="1" applyFill="1" applyBorder="1" applyAlignment="1">
      <alignment horizontal="center" vertical="center" wrapText="1" readingOrder="1"/>
    </xf>
    <xf numFmtId="43" fontId="0" fillId="0" borderId="0" xfId="1" applyFont="1">
      <alignment vertical="center"/>
    </xf>
    <xf numFmtId="0" fontId="15" fillId="6" borderId="1" xfId="49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9" fontId="16" fillId="7" borderId="2" xfId="53" applyNumberFormat="1" applyFont="1" applyFill="1" applyBorder="1" applyAlignment="1">
      <alignment horizontal="center" vertical="center" wrapText="1"/>
    </xf>
    <xf numFmtId="43" fontId="16" fillId="7" borderId="2" xfId="1" applyFont="1" applyFill="1" applyBorder="1" applyAlignment="1">
      <alignment horizontal="center" vertical="center" wrapText="1"/>
    </xf>
    <xf numFmtId="0" fontId="16" fillId="7" borderId="2" xfId="49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179" fontId="17" fillId="0" borderId="2" xfId="53" applyNumberFormat="1" applyFont="1" applyFill="1" applyBorder="1" applyAlignment="1">
      <alignment horizontal="left" vertical="center"/>
    </xf>
    <xf numFmtId="43" fontId="17" fillId="4" borderId="2" xfId="1" applyFont="1" applyFill="1" applyBorder="1" applyAlignment="1">
      <alignment horizontal="center" vertical="center"/>
    </xf>
    <xf numFmtId="0" fontId="18" fillId="6" borderId="2" xfId="49" applyNumberFormat="1" applyFont="1" applyFill="1" applyBorder="1" applyAlignment="1" applyProtection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>
      <alignment vertical="center"/>
    </xf>
    <xf numFmtId="43" fontId="4" fillId="3" borderId="2" xfId="1" applyFont="1" applyFill="1" applyBorder="1" applyAlignment="1" applyProtection="1">
      <alignment horizontal="center" vertical="center"/>
    </xf>
    <xf numFmtId="0" fontId="19" fillId="6" borderId="2" xfId="49" applyNumberFormat="1" applyFont="1" applyFill="1" applyBorder="1" applyAlignment="1" applyProtection="1">
      <alignment horizontal="center" vertical="center"/>
    </xf>
    <xf numFmtId="0" fontId="0" fillId="0" borderId="10" xfId="0" applyBorder="1" applyAlignment="1">
      <alignment horizontal="center" vertical="center"/>
    </xf>
    <xf numFmtId="43" fontId="17" fillId="0" borderId="2" xfId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8" borderId="2" xfId="0" applyFill="1" applyBorder="1">
      <alignment vertical="center"/>
    </xf>
    <xf numFmtId="0" fontId="0" fillId="0" borderId="10" xfId="0" applyBorder="1" applyAlignment="1">
      <alignment horizontal="center" vertical="center" wrapText="1"/>
    </xf>
    <xf numFmtId="179" fontId="17" fillId="0" borderId="3" xfId="53" applyNumberFormat="1" applyFont="1" applyFill="1" applyBorder="1" applyAlignment="1">
      <alignment horizontal="center" vertical="center"/>
    </xf>
    <xf numFmtId="179" fontId="17" fillId="0" borderId="3" xfId="53" applyNumberFormat="1" applyFont="1" applyFill="1" applyBorder="1" applyAlignment="1">
      <alignment horizontal="left" vertical="center" wrapText="1"/>
    </xf>
    <xf numFmtId="0" fontId="18" fillId="6" borderId="2" xfId="49" applyNumberFormat="1" applyFont="1" applyFill="1" applyBorder="1" applyAlignment="1" applyProtection="1">
      <alignment horizontal="center" vertical="center" wrapText="1"/>
    </xf>
    <xf numFmtId="43" fontId="17" fillId="3" borderId="2" xfId="1" applyFont="1" applyFill="1" applyBorder="1" applyAlignment="1" applyProtection="1">
      <alignment horizontal="center" vertical="center"/>
    </xf>
    <xf numFmtId="0" fontId="0" fillId="0" borderId="2" xfId="0" applyFont="1" applyBorder="1">
      <alignment vertic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readingOrder="1"/>
    </xf>
    <xf numFmtId="43" fontId="9" fillId="0" borderId="2" xfId="0" applyNumberFormat="1" applyFont="1" applyBorder="1">
      <alignment vertical="center"/>
    </xf>
    <xf numFmtId="43" fontId="9" fillId="0" borderId="2" xfId="1" applyNumberFormat="1" applyFont="1" applyBorder="1">
      <alignment vertical="center"/>
    </xf>
    <xf numFmtId="43" fontId="9" fillId="0" borderId="2" xfId="1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20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2" fillId="0" borderId="0" xfId="0" applyFont="1" applyFill="1">
      <alignment vertical="center"/>
    </xf>
    <xf numFmtId="43" fontId="22" fillId="0" borderId="0" xfId="1" applyFont="1" applyFill="1">
      <alignment vertical="center"/>
    </xf>
    <xf numFmtId="0" fontId="22" fillId="0" borderId="2" xfId="0" applyFont="1" applyFill="1" applyBorder="1" applyAlignment="1">
      <alignment horizontal="center" vertical="center"/>
    </xf>
    <xf numFmtId="43" fontId="22" fillId="0" borderId="3" xfId="1" applyFont="1" applyFill="1" applyBorder="1" applyAlignment="1">
      <alignment horizontal="center" vertical="center"/>
    </xf>
    <xf numFmtId="43" fontId="22" fillId="0" borderId="5" xfId="1" applyFont="1" applyFill="1" applyBorder="1" applyAlignment="1">
      <alignment horizontal="center" vertical="center"/>
    </xf>
    <xf numFmtId="43" fontId="22" fillId="4" borderId="2" xfId="1" applyFont="1" applyFill="1" applyBorder="1" applyAlignment="1">
      <alignment horizontal="center" vertical="center"/>
    </xf>
    <xf numFmtId="43" fontId="23" fillId="0" borderId="6" xfId="1" applyFont="1" applyFill="1" applyBorder="1" applyAlignment="1">
      <alignment horizontal="center" vertical="center" wrapText="1"/>
    </xf>
    <xf numFmtId="43" fontId="23" fillId="0" borderId="10" xfId="1" applyFont="1" applyFill="1" applyBorder="1" applyAlignment="1">
      <alignment horizontal="center" vertical="center" wrapText="1"/>
    </xf>
    <xf numFmtId="43" fontId="23" fillId="0" borderId="7" xfId="1" applyFont="1" applyFill="1" applyBorder="1" applyAlignment="1">
      <alignment horizontal="center" vertical="center" wrapText="1"/>
    </xf>
    <xf numFmtId="0" fontId="22" fillId="0" borderId="2" xfId="0" applyFont="1" applyFill="1" applyBorder="1">
      <alignment vertical="center"/>
    </xf>
    <xf numFmtId="0" fontId="24" fillId="0" borderId="2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 wrapText="1" readingOrder="1"/>
    </xf>
    <xf numFmtId="43" fontId="22" fillId="0" borderId="2" xfId="1" applyFont="1" applyFill="1" applyBorder="1" applyAlignment="1">
      <alignment horizontal="center" vertical="center"/>
    </xf>
    <xf numFmtId="43" fontId="22" fillId="0" borderId="0" xfId="0" applyNumberFormat="1" applyFont="1" applyFill="1">
      <alignment vertical="center"/>
    </xf>
    <xf numFmtId="0" fontId="24" fillId="0" borderId="2" xfId="0" applyFont="1" applyFill="1" applyBorder="1">
      <alignment vertical="center"/>
    </xf>
    <xf numFmtId="10" fontId="22" fillId="0" borderId="2" xfId="3" applyNumberFormat="1" applyFont="1" applyFill="1" applyBorder="1" applyAlignment="1">
      <alignment horizontal="center" vertical="center"/>
    </xf>
    <xf numFmtId="10" fontId="22" fillId="0" borderId="0" xfId="0" applyNumberFormat="1" applyFont="1" applyFill="1">
      <alignment vertical="center"/>
    </xf>
    <xf numFmtId="0" fontId="20" fillId="0" borderId="2" xfId="0" applyFont="1" applyFill="1" applyBorder="1">
      <alignment vertical="center"/>
    </xf>
    <xf numFmtId="43" fontId="20" fillId="0" borderId="2" xfId="1" applyFont="1" applyFill="1" applyBorder="1">
      <alignment vertical="center"/>
    </xf>
    <xf numFmtId="0" fontId="25" fillId="0" borderId="0" xfId="0" applyFont="1" applyFill="1">
      <alignment vertical="center"/>
    </xf>
    <xf numFmtId="43" fontId="22" fillId="0" borderId="2" xfId="1" applyFont="1" applyFill="1" applyBorder="1">
      <alignment vertical="center"/>
    </xf>
    <xf numFmtId="0" fontId="21" fillId="0" borderId="2" xfId="0" applyFont="1" applyFill="1" applyBorder="1">
      <alignment vertical="center"/>
    </xf>
    <xf numFmtId="180" fontId="22" fillId="0" borderId="0" xfId="0" applyNumberFormat="1" applyFont="1" applyFill="1">
      <alignment vertical="center"/>
    </xf>
    <xf numFmtId="9" fontId="22" fillId="0" borderId="2" xfId="3" applyFont="1" applyFill="1" applyBorder="1">
      <alignment vertical="center"/>
    </xf>
    <xf numFmtId="10" fontId="22" fillId="0" borderId="2" xfId="3" applyNumberFormat="1" applyFont="1" applyFill="1" applyBorder="1">
      <alignment vertical="center"/>
    </xf>
    <xf numFmtId="43" fontId="20" fillId="0" borderId="2" xfId="1" applyFont="1" applyFill="1" applyBorder="1" applyAlignment="1">
      <alignment horizontal="center" vertical="center"/>
    </xf>
    <xf numFmtId="43" fontId="22" fillId="0" borderId="2" xfId="0" applyNumberFormat="1" applyFont="1" applyFill="1" applyBorder="1">
      <alignment vertical="center"/>
    </xf>
    <xf numFmtId="43" fontId="21" fillId="0" borderId="2" xfId="1" applyFont="1" applyFill="1" applyBorder="1">
      <alignment vertical="center"/>
    </xf>
    <xf numFmtId="43" fontId="22" fillId="0" borderId="0" xfId="1" applyFont="1" applyFill="1" applyAlignment="1">
      <alignment horizontal="center" vertical="center"/>
    </xf>
    <xf numFmtId="43" fontId="0" fillId="0" borderId="0" xfId="1" applyFont="1" applyFill="1">
      <alignment vertical="center"/>
    </xf>
    <xf numFmtId="0" fontId="21" fillId="0" borderId="0" xfId="0" applyFont="1">
      <alignment vertical="center"/>
    </xf>
    <xf numFmtId="0" fontId="22" fillId="0" borderId="0" xfId="0" applyFont="1" applyBorder="1">
      <alignment vertical="center"/>
    </xf>
    <xf numFmtId="0" fontId="22" fillId="0" borderId="0" xfId="0" applyFont="1">
      <alignment vertical="center"/>
    </xf>
    <xf numFmtId="43" fontId="22" fillId="0" borderId="0" xfId="1" applyFont="1">
      <alignment vertical="center"/>
    </xf>
    <xf numFmtId="0" fontId="26" fillId="0" borderId="1" xfId="0" applyFont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43" fontId="27" fillId="0" borderId="2" xfId="1" applyFont="1" applyFill="1" applyBorder="1" applyAlignment="1">
      <alignment horizontal="center" vertical="center" wrapText="1"/>
    </xf>
    <xf numFmtId="43" fontId="23" fillId="0" borderId="2" xfId="1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/>
    </xf>
    <xf numFmtId="177" fontId="22" fillId="0" borderId="2" xfId="1" applyNumberFormat="1" applyFont="1" applyFill="1" applyBorder="1" applyAlignment="1">
      <alignment horizontal="center" vertical="center"/>
    </xf>
    <xf numFmtId="177" fontId="21" fillId="0" borderId="2" xfId="1" applyNumberFormat="1" applyFont="1" applyFill="1" applyBorder="1" applyAlignment="1">
      <alignment horizontal="center" vertical="center"/>
    </xf>
    <xf numFmtId="0" fontId="24" fillId="9" borderId="2" xfId="0" applyFont="1" applyFill="1" applyBorder="1">
      <alignment vertical="center"/>
    </xf>
    <xf numFmtId="177" fontId="21" fillId="9" borderId="2" xfId="1" applyNumberFormat="1" applyFont="1" applyFill="1" applyBorder="1" applyAlignment="1">
      <alignment horizontal="center" vertical="center"/>
    </xf>
    <xf numFmtId="0" fontId="28" fillId="0" borderId="2" xfId="0" applyFont="1" applyFill="1" applyBorder="1">
      <alignment vertical="center"/>
    </xf>
    <xf numFmtId="0" fontId="22" fillId="0" borderId="2" xfId="0" applyFont="1" applyBorder="1">
      <alignment vertical="center"/>
    </xf>
    <xf numFmtId="10" fontId="21" fillId="0" borderId="2" xfId="3" applyNumberFormat="1" applyFont="1" applyBorder="1" applyAlignment="1">
      <alignment vertical="center"/>
    </xf>
    <xf numFmtId="177" fontId="21" fillId="0" borderId="2" xfId="1" applyNumberFormat="1" applyFont="1" applyBorder="1" applyAlignment="1">
      <alignment horizontal="center" vertical="center"/>
    </xf>
    <xf numFmtId="177" fontId="22" fillId="0" borderId="2" xfId="1" applyNumberFormat="1" applyFont="1" applyFill="1" applyBorder="1">
      <alignment vertical="center"/>
    </xf>
    <xf numFmtId="0" fontId="28" fillId="9" borderId="2" xfId="0" applyFont="1" applyFill="1" applyBorder="1">
      <alignment vertical="center"/>
    </xf>
    <xf numFmtId="177" fontId="22" fillId="0" borderId="2" xfId="1" applyNumberFormat="1" applyFont="1" applyBorder="1" applyAlignment="1">
      <alignment horizontal="center" vertical="center"/>
    </xf>
    <xf numFmtId="43" fontId="20" fillId="0" borderId="0" xfId="0" applyNumberFormat="1" applyFont="1" applyFill="1">
      <alignment vertical="center"/>
    </xf>
    <xf numFmtId="10" fontId="22" fillId="0" borderId="2" xfId="3" applyNumberFormat="1" applyFont="1" applyBorder="1">
      <alignment vertical="center"/>
    </xf>
    <xf numFmtId="10" fontId="22" fillId="0" borderId="0" xfId="3" applyNumberFormat="1" applyFont="1" applyBorder="1">
      <alignment vertical="center"/>
    </xf>
    <xf numFmtId="43" fontId="22" fillId="0" borderId="0" xfId="0" applyNumberFormat="1" applyFont="1" applyFill="1" applyBorder="1">
      <alignment vertical="center"/>
    </xf>
    <xf numFmtId="43" fontId="22" fillId="0" borderId="0" xfId="1" applyFont="1" applyBorder="1">
      <alignment vertical="center"/>
    </xf>
    <xf numFmtId="0" fontId="22" fillId="0" borderId="2" xfId="0" applyFont="1" applyBorder="1" applyAlignment="1">
      <alignment horizontal="center" vertical="center"/>
    </xf>
    <xf numFmtId="0" fontId="24" fillId="0" borderId="2" xfId="0" applyFont="1" applyFill="1" applyBorder="1" applyAlignment="1">
      <alignment vertical="center" wrapText="1"/>
    </xf>
    <xf numFmtId="0" fontId="22" fillId="0" borderId="2" xfId="0" applyFont="1" applyFill="1" applyBorder="1" applyAlignment="1">
      <alignment vertical="center" wrapText="1"/>
    </xf>
    <xf numFmtId="43" fontId="22" fillId="0" borderId="2" xfId="1" applyFont="1" applyBorder="1">
      <alignment vertical="center"/>
    </xf>
    <xf numFmtId="177" fontId="22" fillId="0" borderId="2" xfId="1" applyNumberFormat="1" applyFont="1" applyBorder="1">
      <alignment vertical="center"/>
    </xf>
    <xf numFmtId="0" fontId="21" fillId="0" borderId="2" xfId="0" applyFont="1" applyBorder="1">
      <alignment vertical="center"/>
    </xf>
    <xf numFmtId="0" fontId="28" fillId="0" borderId="2" xfId="0" applyFont="1" applyBorder="1">
      <alignment vertical="center"/>
    </xf>
    <xf numFmtId="0" fontId="22" fillId="0" borderId="6" xfId="0" applyFont="1" applyBorder="1">
      <alignment vertical="center"/>
    </xf>
    <xf numFmtId="1" fontId="17" fillId="6" borderId="0" xfId="49" applyNumberFormat="1" applyFont="1" applyFill="1" applyProtection="1"/>
    <xf numFmtId="0" fontId="17" fillId="6" borderId="0" xfId="49" applyFont="1" applyFill="1" applyProtection="1"/>
    <xf numFmtId="0" fontId="29" fillId="6" borderId="0" xfId="49" applyFont="1" applyFill="1" applyAlignment="1" applyProtection="1">
      <alignment horizontal="centerContinuous"/>
    </xf>
    <xf numFmtId="0" fontId="17" fillId="6" borderId="0" xfId="49" applyFont="1" applyFill="1" applyAlignment="1">
      <alignment horizontal="centerContinuous"/>
    </xf>
    <xf numFmtId="0" fontId="17" fillId="6" borderId="0" xfId="49" applyFont="1" applyFill="1" applyAlignment="1" applyProtection="1">
      <alignment horizontal="centerContinuous"/>
    </xf>
    <xf numFmtId="9" fontId="17" fillId="6" borderId="0" xfId="49" applyNumberFormat="1" applyFont="1" applyFill="1" applyProtection="1"/>
    <xf numFmtId="0" fontId="17" fillId="6" borderId="6" xfId="49" applyFont="1" applyFill="1" applyBorder="1" applyAlignment="1" applyProtection="1">
      <alignment horizontal="center"/>
    </xf>
    <xf numFmtId="0" fontId="19" fillId="6" borderId="2" xfId="49" applyFont="1" applyFill="1" applyBorder="1" applyAlignment="1" applyProtection="1">
      <alignment horizontal="center"/>
    </xf>
    <xf numFmtId="0" fontId="19" fillId="6" borderId="4" xfId="49" applyFont="1" applyFill="1" applyBorder="1" applyAlignment="1" applyProtection="1">
      <alignment horizontal="center"/>
    </xf>
    <xf numFmtId="1" fontId="19" fillId="6" borderId="4" xfId="54" applyFont="1" applyFill="1" applyBorder="1"/>
    <xf numFmtId="1" fontId="17" fillId="6" borderId="4" xfId="54" applyFont="1" applyFill="1" applyBorder="1"/>
    <xf numFmtId="0" fontId="17" fillId="6" borderId="7" xfId="49" applyFont="1" applyFill="1" applyBorder="1" applyProtection="1"/>
    <xf numFmtId="0" fontId="17" fillId="6" borderId="2" xfId="49" applyFont="1" applyFill="1" applyBorder="1" applyAlignment="1" applyProtection="1">
      <alignment horizontal="center"/>
    </xf>
    <xf numFmtId="0" fontId="17" fillId="6" borderId="2" xfId="49" applyFont="1" applyFill="1" applyBorder="1" applyAlignment="1" applyProtection="1">
      <alignment horizontal="left"/>
    </xf>
    <xf numFmtId="0" fontId="17" fillId="9" borderId="2" xfId="49" applyFont="1" applyFill="1" applyBorder="1" applyProtection="1"/>
    <xf numFmtId="177" fontId="17" fillId="9" borderId="2" xfId="1" applyNumberFormat="1" applyFont="1" applyFill="1" applyBorder="1" applyAlignment="1" applyProtection="1"/>
    <xf numFmtId="0" fontId="17" fillId="6" borderId="2" xfId="49" applyFont="1" applyFill="1" applyBorder="1" applyProtection="1"/>
    <xf numFmtId="177" fontId="17" fillId="6" borderId="2" xfId="1" applyNumberFormat="1" applyFont="1" applyFill="1" applyBorder="1" applyAlignment="1" applyProtection="1"/>
    <xf numFmtId="0" fontId="17" fillId="6" borderId="2" xfId="49" applyNumberFormat="1" applyFont="1" applyFill="1" applyBorder="1" applyAlignment="1" applyProtection="1">
      <alignment horizontal="left"/>
    </xf>
    <xf numFmtId="1" fontId="17" fillId="6" borderId="2" xfId="49" applyNumberFormat="1" applyFont="1" applyFill="1" applyBorder="1" applyProtection="1"/>
    <xf numFmtId="1" fontId="17" fillId="6" borderId="2" xfId="49" applyNumberFormat="1" applyFont="1" applyFill="1" applyBorder="1" applyAlignment="1" applyProtection="1">
      <alignment horizontal="left"/>
    </xf>
    <xf numFmtId="0" fontId="17" fillId="6" borderId="9" xfId="49" applyFont="1" applyFill="1" applyBorder="1" applyProtection="1"/>
    <xf numFmtId="0" fontId="17" fillId="6" borderId="11" xfId="49" applyFont="1" applyFill="1" applyBorder="1" applyProtection="1"/>
    <xf numFmtId="0" fontId="17" fillId="6" borderId="12" xfId="49" applyFont="1" applyFill="1" applyBorder="1" applyProtection="1"/>
    <xf numFmtId="0" fontId="17" fillId="6" borderId="0" xfId="49" applyFont="1" applyFill="1" applyBorder="1" applyProtection="1"/>
    <xf numFmtId="181" fontId="17" fillId="6" borderId="0" xfId="49" applyNumberFormat="1" applyFont="1" applyFill="1" applyBorder="1" applyProtection="1"/>
    <xf numFmtId="10" fontId="17" fillId="6" borderId="0" xfId="49" applyNumberFormat="1" applyFont="1" applyFill="1" applyBorder="1" applyProtection="1"/>
    <xf numFmtId="1" fontId="17" fillId="6" borderId="0" xfId="49" applyNumberFormat="1" applyFont="1" applyFill="1" applyBorder="1" applyProtection="1"/>
    <xf numFmtId="0" fontId="17" fillId="6" borderId="13" xfId="49" applyFont="1" applyFill="1" applyBorder="1" applyProtection="1"/>
    <xf numFmtId="0" fontId="17" fillId="6" borderId="1" xfId="49" applyFont="1" applyFill="1" applyBorder="1" applyProtection="1"/>
    <xf numFmtId="2" fontId="17" fillId="6" borderId="1" xfId="49" applyNumberFormat="1" applyFont="1" applyFill="1" applyBorder="1" applyProtection="1"/>
    <xf numFmtId="0" fontId="17" fillId="6" borderId="5" xfId="49" applyFont="1" applyFill="1" applyBorder="1"/>
    <xf numFmtId="1" fontId="17" fillId="6" borderId="7" xfId="54" applyFont="1" applyFill="1" applyBorder="1" applyAlignment="1">
      <alignment horizontal="center"/>
    </xf>
    <xf numFmtId="0" fontId="17" fillId="6" borderId="8" xfId="49" applyFont="1" applyFill="1" applyBorder="1" applyProtection="1"/>
    <xf numFmtId="0" fontId="17" fillId="6" borderId="14" xfId="49" applyFont="1" applyFill="1" applyBorder="1" applyProtection="1"/>
    <xf numFmtId="0" fontId="17" fillId="6" borderId="15" xfId="49" applyFont="1" applyFill="1" applyBorder="1" applyProtection="1"/>
    <xf numFmtId="0" fontId="30" fillId="0" borderId="0" xfId="0" applyFont="1">
      <alignment vertical="center"/>
    </xf>
    <xf numFmtId="0" fontId="31" fillId="0" borderId="2" xfId="0" applyFont="1" applyBorder="1" applyAlignment="1">
      <alignment horizontal="center" vertical="center" wrapText="1" readingOrder="1"/>
    </xf>
    <xf numFmtId="0" fontId="30" fillId="0" borderId="0" xfId="0" applyFont="1" applyFill="1">
      <alignment vertical="center"/>
    </xf>
    <xf numFmtId="0" fontId="12" fillId="0" borderId="2" xfId="0" applyFont="1" applyBorder="1" applyAlignment="1">
      <alignment horizontal="center" vertical="center" wrapText="1" readingOrder="1"/>
    </xf>
    <xf numFmtId="0" fontId="32" fillId="0" borderId="2" xfId="0" applyFont="1" applyBorder="1" applyAlignment="1">
      <alignment horizontal="left" vertical="center" wrapText="1" readingOrder="1"/>
    </xf>
    <xf numFmtId="0" fontId="12" fillId="0" borderId="6" xfId="0" applyFont="1" applyBorder="1" applyAlignment="1">
      <alignment horizontal="center" vertical="center" wrapText="1" readingOrder="1"/>
    </xf>
    <xf numFmtId="0" fontId="32" fillId="0" borderId="2" xfId="0" applyFont="1" applyFill="1" applyBorder="1" applyAlignment="1">
      <alignment horizontal="left" vertical="center" wrapText="1" readingOrder="1"/>
    </xf>
    <xf numFmtId="0" fontId="12" fillId="0" borderId="10" xfId="0" applyFont="1" applyBorder="1" applyAlignment="1">
      <alignment horizontal="center" vertical="center" wrapText="1" readingOrder="1"/>
    </xf>
    <xf numFmtId="0" fontId="32" fillId="0" borderId="2" xfId="0" applyFont="1" applyBorder="1" applyAlignment="1">
      <alignment horizontal="center" vertical="center" wrapText="1" readingOrder="1"/>
    </xf>
    <xf numFmtId="0" fontId="32" fillId="0" borderId="0" xfId="0" applyFont="1" applyFill="1" applyBorder="1" applyAlignment="1">
      <alignment horizontal="left" vertical="center" wrapText="1" readingOrder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BOM_Level_Below3" xfId="50"/>
    <cellStyle name="常规 11 2" xfId="51"/>
    <cellStyle name="常规 2" xfId="52"/>
    <cellStyle name="常规_20061221C2项目损益分析（概念稿）" xfId="53"/>
    <cellStyle name="普通_销售收入.XLS" xfId="54"/>
    <cellStyle name="千位分隔 2 25" xfId="55"/>
    <cellStyle name="样式 1" xfId="5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487;&#34892;&#24615;&#20998;&#26512;\&#36731;&#21345;\&#19968;&#27773;&#39046;&#36884;&#36731;&#21345;&#24231;&#26885;&#39033;&#30446;&#25237;&#36164;&#25910;&#30410;&#20998;&#26512;2022.11.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假设条件"/>
      <sheetName val="损益表"/>
      <sheetName val="现金"/>
      <sheetName val="2023年"/>
      <sheetName val="2024年"/>
      <sheetName val="2025年"/>
      <sheetName val="2026年"/>
      <sheetName val="2027年"/>
      <sheetName val="项目投资"/>
      <sheetName val="销量"/>
      <sheetName val="材料成本"/>
      <sheetName val="其他"/>
      <sheetName val="标准成本"/>
    </sheetNames>
    <sheetDataSet>
      <sheetData sheetId="0"/>
      <sheetData sheetId="1"/>
      <sheetData sheetId="2"/>
      <sheetData sheetId="3">
        <row r="18">
          <cell r="I18">
            <v>0</v>
          </cell>
        </row>
      </sheetData>
      <sheetData sheetId="4"/>
      <sheetData sheetId="5"/>
      <sheetData sheetId="6"/>
      <sheetData sheetId="7"/>
      <sheetData sheetId="8">
        <row r="26">
          <cell r="G26">
            <v>0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5"/>
  <sheetViews>
    <sheetView zoomScale="80" zoomScaleNormal="80" workbookViewId="0">
      <selection activeCell="C6" sqref="C6"/>
    </sheetView>
  </sheetViews>
  <sheetFormatPr defaultColWidth="9" defaultRowHeight="14" outlineLevelCol="3"/>
  <cols>
    <col min="1" max="1" width="8.87272727272727" customWidth="1"/>
    <col min="2" max="2" width="16.3727272727273" customWidth="1"/>
    <col min="3" max="3" width="89.7545454545455" customWidth="1"/>
  </cols>
  <sheetData>
    <row r="2" s="236" customFormat="1" ht="35.25" customHeight="1" spans="1:4">
      <c r="A2" s="237" t="s">
        <v>0</v>
      </c>
      <c r="B2" s="237" t="s">
        <v>1</v>
      </c>
      <c r="C2" s="237" t="s">
        <v>2</v>
      </c>
      <c r="D2" s="238"/>
    </row>
    <row r="3" s="236" customFormat="1" ht="33.75" customHeight="1" spans="1:4">
      <c r="A3" s="239">
        <v>1</v>
      </c>
      <c r="B3" s="239" t="s">
        <v>3</v>
      </c>
      <c r="C3" s="240" t="s">
        <v>4</v>
      </c>
      <c r="D3" s="238"/>
    </row>
    <row r="4" s="236" customFormat="1" ht="33.75" customHeight="1" spans="1:3">
      <c r="A4" s="239">
        <v>2</v>
      </c>
      <c r="B4" s="239" t="s">
        <v>5</v>
      </c>
      <c r="C4" s="240" t="s">
        <v>6</v>
      </c>
    </row>
    <row r="5" s="236" customFormat="1" ht="33.75" customHeight="1" spans="1:3">
      <c r="A5" s="239">
        <v>3</v>
      </c>
      <c r="B5" s="241" t="s">
        <v>7</v>
      </c>
      <c r="C5" s="242" t="s">
        <v>8</v>
      </c>
    </row>
    <row r="6" s="236" customFormat="1" ht="33.75" customHeight="1" spans="1:3">
      <c r="A6" s="239">
        <v>4</v>
      </c>
      <c r="B6" s="243"/>
      <c r="C6" s="240" t="s">
        <v>9</v>
      </c>
    </row>
    <row r="7" s="236" customFormat="1" ht="33.75" customHeight="1" spans="1:3">
      <c r="A7" s="239">
        <v>5</v>
      </c>
      <c r="B7" s="244" t="s">
        <v>10</v>
      </c>
      <c r="C7" s="240" t="s">
        <v>11</v>
      </c>
    </row>
    <row r="8" s="236" customFormat="1" ht="33.75" customHeight="1" spans="1:3">
      <c r="A8" s="239">
        <v>6</v>
      </c>
      <c r="B8" s="241" t="s">
        <v>12</v>
      </c>
      <c r="C8" s="240" t="s">
        <v>13</v>
      </c>
    </row>
    <row r="9" s="236" customFormat="1" ht="33.75" customHeight="1" spans="1:3">
      <c r="A9" s="239">
        <v>7</v>
      </c>
      <c r="B9" s="243"/>
      <c r="C9" s="240" t="s">
        <v>14</v>
      </c>
    </row>
    <row r="10" s="236" customFormat="1" ht="33.75" customHeight="1" spans="1:3">
      <c r="A10" s="239">
        <v>8</v>
      </c>
      <c r="B10" s="243"/>
      <c r="C10" s="242" t="s">
        <v>15</v>
      </c>
    </row>
    <row r="11" s="236" customFormat="1" ht="33.75" customHeight="1" spans="1:3">
      <c r="A11" s="239">
        <v>9</v>
      </c>
      <c r="B11" s="243"/>
      <c r="C11" s="240" t="s">
        <v>16</v>
      </c>
    </row>
    <row r="12" s="236" customFormat="1" ht="33.75" customHeight="1" spans="1:3">
      <c r="A12" s="239">
        <v>10</v>
      </c>
      <c r="B12" s="244" t="s">
        <v>17</v>
      </c>
      <c r="C12" s="240" t="s">
        <v>18</v>
      </c>
    </row>
    <row r="13" ht="33.75" customHeight="1"/>
    <row r="14" ht="33.75" customHeight="1"/>
    <row r="15" ht="33.75" customHeight="1" spans="3:3">
      <c r="C15" s="245"/>
    </row>
  </sheetData>
  <mergeCells count="2">
    <mergeCell ref="B5:B6"/>
    <mergeCell ref="B8:B11"/>
  </mergeCells>
  <pageMargins left="0.7" right="0.7" top="0.75" bottom="0.75" header="0.3" footer="0.3"/>
  <pageSetup paperSize="9" scale="75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pane xSplit="2" ySplit="1" topLeftCell="C2" activePane="bottomRight" state="frozen"/>
      <selection/>
      <selection pane="topRight"/>
      <selection pane="bottomLeft"/>
      <selection pane="bottomRight" activeCell="C12" sqref="C12"/>
    </sheetView>
  </sheetViews>
  <sheetFormatPr defaultColWidth="9" defaultRowHeight="14" outlineLevelCol="3"/>
  <cols>
    <col min="1" max="1" width="9" style="24"/>
    <col min="2" max="2" width="29.6272727272727" style="24" customWidth="1"/>
    <col min="3" max="3" width="25.5" style="24" customWidth="1"/>
    <col min="4" max="4" width="22" style="24" customWidth="1"/>
    <col min="5" max="16384" width="9" style="24"/>
  </cols>
  <sheetData>
    <row r="1" ht="27" customHeight="1" spans="1:4">
      <c r="A1" s="25" t="s">
        <v>21</v>
      </c>
      <c r="B1" s="25" t="s">
        <v>242</v>
      </c>
      <c r="C1" s="25" t="s">
        <v>243</v>
      </c>
      <c r="D1" s="25" t="s">
        <v>244</v>
      </c>
    </row>
    <row r="2" ht="19.5" customHeight="1" spans="1:4">
      <c r="A2" s="25">
        <v>1</v>
      </c>
      <c r="B2" s="26" t="s">
        <v>245</v>
      </c>
      <c r="C2" s="27" t="s">
        <v>246</v>
      </c>
      <c r="D2" s="25"/>
    </row>
    <row r="3" ht="36" customHeight="1" spans="1:4">
      <c r="A3" s="25">
        <v>2</v>
      </c>
      <c r="B3" s="26" t="s">
        <v>247</v>
      </c>
      <c r="C3" s="28" t="s">
        <v>248</v>
      </c>
      <c r="D3" s="25" t="s">
        <v>249</v>
      </c>
    </row>
    <row r="4" ht="19.5" customHeight="1" spans="1:4">
      <c r="A4" s="25">
        <v>3</v>
      </c>
      <c r="B4" s="26" t="s">
        <v>250</v>
      </c>
      <c r="C4" s="27" t="s">
        <v>251</v>
      </c>
      <c r="D4" s="25"/>
    </row>
    <row r="5" ht="42.75" customHeight="1" spans="1:4">
      <c r="A5" s="25">
        <v>4</v>
      </c>
      <c r="B5" s="26" t="s">
        <v>252</v>
      </c>
      <c r="C5" s="27"/>
      <c r="D5" s="25"/>
    </row>
    <row r="6" ht="39" customHeight="1" spans="1:4">
      <c r="A6" s="25">
        <v>5</v>
      </c>
      <c r="B6" s="26" t="s">
        <v>253</v>
      </c>
      <c r="C6" s="27"/>
      <c r="D6" s="25"/>
    </row>
    <row r="7" ht="27.75" customHeight="1" spans="1:3">
      <c r="A7" s="25">
        <v>6</v>
      </c>
      <c r="B7" s="25" t="s">
        <v>254</v>
      </c>
      <c r="C7" s="28" t="s">
        <v>255</v>
      </c>
    </row>
    <row r="8" ht="36" customHeight="1" spans="1:4">
      <c r="A8" s="25">
        <v>7</v>
      </c>
      <c r="B8" s="26" t="s">
        <v>256</v>
      </c>
      <c r="C8" s="29" t="s">
        <v>257</v>
      </c>
      <c r="D8" s="25"/>
    </row>
    <row r="9" ht="34.5" customHeight="1" spans="1:4">
      <c r="A9" s="25">
        <v>8</v>
      </c>
      <c r="B9" s="25" t="s">
        <v>258</v>
      </c>
      <c r="C9" s="30">
        <v>0.003</v>
      </c>
      <c r="D9" s="25"/>
    </row>
    <row r="10" ht="34.5" customHeight="1" spans="1:4">
      <c r="A10" s="25">
        <v>9</v>
      </c>
      <c r="B10" s="25" t="s">
        <v>259</v>
      </c>
      <c r="C10" s="29" t="s">
        <v>260</v>
      </c>
      <c r="D10" s="25"/>
    </row>
    <row r="11" ht="34.5" customHeight="1" spans="1:4">
      <c r="A11" s="25">
        <v>10</v>
      </c>
      <c r="B11" s="25" t="s">
        <v>261</v>
      </c>
      <c r="C11" s="29"/>
      <c r="D11" s="25" t="s">
        <v>262</v>
      </c>
    </row>
    <row r="12" ht="34.5" customHeight="1" spans="1:4">
      <c r="A12" s="25">
        <v>11</v>
      </c>
      <c r="B12" s="25" t="s">
        <v>263</v>
      </c>
      <c r="C12" s="29"/>
      <c r="D12" s="25"/>
    </row>
    <row r="13" ht="24" customHeight="1" spans="1:4">
      <c r="A13" s="25">
        <v>12</v>
      </c>
      <c r="B13" s="26" t="s">
        <v>264</v>
      </c>
      <c r="C13" s="29" t="s">
        <v>265</v>
      </c>
      <c r="D13" s="25"/>
    </row>
    <row r="14" ht="24" customHeight="1" spans="1:4">
      <c r="A14" s="25">
        <v>13</v>
      </c>
      <c r="B14" s="26" t="s">
        <v>266</v>
      </c>
      <c r="C14" s="29" t="s">
        <v>267</v>
      </c>
      <c r="D14" s="25"/>
    </row>
    <row r="15" ht="24" customHeight="1" spans="1:4">
      <c r="A15" s="25">
        <v>14</v>
      </c>
      <c r="B15" s="26" t="s">
        <v>268</v>
      </c>
      <c r="C15" s="29"/>
      <c r="D15" s="25"/>
    </row>
    <row r="16" ht="24" customHeight="1" spans="1:4">
      <c r="A16" s="25">
        <v>15</v>
      </c>
      <c r="B16" s="25" t="s">
        <v>39</v>
      </c>
      <c r="C16" s="25"/>
      <c r="D16" s="25"/>
    </row>
    <row r="17" ht="16.5" spans="2:2">
      <c r="B17" s="31" t="s">
        <v>269</v>
      </c>
    </row>
  </sheetData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127"/>
  <sheetViews>
    <sheetView zoomScale="85" zoomScaleNormal="85" workbookViewId="0">
      <selection activeCell="I3" sqref="I3"/>
    </sheetView>
  </sheetViews>
  <sheetFormatPr defaultColWidth="9" defaultRowHeight="14"/>
  <cols>
    <col min="1" max="2" width="9" style="2"/>
    <col min="3" max="5" width="15.7545454545455" style="2" customWidth="1"/>
    <col min="6" max="8" width="11.1272727272727" style="2" customWidth="1"/>
    <col min="9" max="9" width="18.5" style="3" customWidth="1"/>
    <col min="10" max="16384" width="9" style="2"/>
  </cols>
  <sheetData>
    <row r="1" s="1" customFormat="1" ht="18.75" customHeight="1" spans="7:9">
      <c r="G1" s="4" t="s">
        <v>270</v>
      </c>
      <c r="H1" s="4"/>
      <c r="I1" s="21" t="s">
        <v>271</v>
      </c>
    </row>
    <row r="2" ht="39" customHeight="1" spans="1:9">
      <c r="A2" s="5" t="s">
        <v>272</v>
      </c>
      <c r="B2" s="5"/>
      <c r="C2" s="6" t="s">
        <v>273</v>
      </c>
      <c r="D2" s="7"/>
      <c r="E2" s="7"/>
      <c r="F2" s="7"/>
      <c r="G2" s="7"/>
      <c r="H2" s="8"/>
      <c r="I2" s="3" t="s">
        <v>274</v>
      </c>
    </row>
    <row r="3" ht="34.5" customHeight="1" spans="1:9">
      <c r="A3" s="5"/>
      <c r="B3" s="5"/>
      <c r="C3" s="9" t="s">
        <v>275</v>
      </c>
      <c r="D3" s="9" t="s">
        <v>276</v>
      </c>
      <c r="E3" s="9" t="s">
        <v>277</v>
      </c>
      <c r="F3" s="10" t="s">
        <v>278</v>
      </c>
      <c r="G3" s="10" t="s">
        <v>279</v>
      </c>
      <c r="H3" s="10" t="s">
        <v>280</v>
      </c>
      <c r="I3" s="22">
        <f>销量!C8</f>
        <v>1818.58407079646</v>
      </c>
    </row>
    <row r="4" ht="24" customHeight="1" spans="1:9">
      <c r="A4" s="11" t="s">
        <v>281</v>
      </c>
      <c r="B4" s="11"/>
      <c r="C4" s="12"/>
      <c r="D4" s="13"/>
      <c r="E4" s="14">
        <f>I3*I4</f>
        <v>78.3809734513274</v>
      </c>
      <c r="F4" s="14"/>
      <c r="G4" s="14"/>
      <c r="H4" s="15">
        <v>0.0448</v>
      </c>
      <c r="I4" s="3">
        <v>0.0431</v>
      </c>
    </row>
    <row r="5" ht="24" customHeight="1" spans="1:9">
      <c r="A5" s="11" t="s">
        <v>282</v>
      </c>
      <c r="B5" s="11" t="s">
        <v>283</v>
      </c>
      <c r="C5" s="12"/>
      <c r="D5" s="13"/>
      <c r="E5" s="14">
        <f>$I$3*I5</f>
        <v>74.5619469026549</v>
      </c>
      <c r="F5" s="14"/>
      <c r="G5" s="14"/>
      <c r="H5" s="15">
        <v>0.0404</v>
      </c>
      <c r="I5" s="3">
        <v>0.041</v>
      </c>
    </row>
    <row r="6" ht="24" customHeight="1" spans="1:9">
      <c r="A6" s="11"/>
      <c r="B6" s="11" t="s">
        <v>284</v>
      </c>
      <c r="C6" s="12"/>
      <c r="D6" s="13"/>
      <c r="E6" s="14">
        <f>$I$3*I6</f>
        <v>39.4632743362832</v>
      </c>
      <c r="F6" s="14"/>
      <c r="G6" s="14"/>
      <c r="H6" s="15">
        <v>0.0166</v>
      </c>
      <c r="I6" s="3">
        <v>0.0217</v>
      </c>
    </row>
    <row r="7" ht="24" customHeight="1" spans="1:9">
      <c r="A7" s="6" t="s">
        <v>285</v>
      </c>
      <c r="B7" s="8"/>
      <c r="C7" s="16"/>
      <c r="D7" s="17"/>
      <c r="E7" s="14">
        <f t="shared" ref="E7:E11" si="0">$I$3*I7</f>
        <v>192.406194690266</v>
      </c>
      <c r="F7" s="14"/>
      <c r="G7" s="14"/>
      <c r="H7" s="18">
        <f>SUM(H4:H6)</f>
        <v>0.1018</v>
      </c>
      <c r="I7" s="3">
        <f>SUM(I4:I6)</f>
        <v>0.1058</v>
      </c>
    </row>
    <row r="8" ht="24" customHeight="1" spans="1:9">
      <c r="A8" s="11" t="s">
        <v>87</v>
      </c>
      <c r="B8" s="11"/>
      <c r="C8" s="12"/>
      <c r="D8" s="13"/>
      <c r="E8" s="14">
        <f t="shared" si="0"/>
        <v>61.8318584070797</v>
      </c>
      <c r="F8" s="14"/>
      <c r="G8" s="14"/>
      <c r="H8" s="15">
        <f>1.97%+0.75%</f>
        <v>0.0272</v>
      </c>
      <c r="I8" s="3">
        <v>0.034</v>
      </c>
    </row>
    <row r="9" ht="24" customHeight="1" spans="1:9">
      <c r="A9" s="19" t="s">
        <v>286</v>
      </c>
      <c r="B9" s="11" t="s">
        <v>283</v>
      </c>
      <c r="C9" s="12"/>
      <c r="D9" s="13"/>
      <c r="E9" s="14">
        <f t="shared" si="0"/>
        <v>12.7300884955752</v>
      </c>
      <c r="F9" s="14"/>
      <c r="G9" s="14"/>
      <c r="H9" s="15">
        <v>0.0053</v>
      </c>
      <c r="I9" s="3">
        <v>0.007</v>
      </c>
    </row>
    <row r="10" ht="24" customHeight="1" spans="1:9">
      <c r="A10" s="20"/>
      <c r="B10" s="11" t="s">
        <v>284</v>
      </c>
      <c r="C10" s="12"/>
      <c r="D10" s="13"/>
      <c r="E10" s="14">
        <f t="shared" si="0"/>
        <v>80.0176991150443</v>
      </c>
      <c r="F10" s="14"/>
      <c r="G10" s="14"/>
      <c r="H10" s="15">
        <v>0.0341</v>
      </c>
      <c r="I10" s="3">
        <f>2.8%+1.6%</f>
        <v>0.044</v>
      </c>
    </row>
    <row r="11" ht="24" customHeight="1" spans="1:9">
      <c r="A11" s="11" t="s">
        <v>90</v>
      </c>
      <c r="B11" s="11"/>
      <c r="C11" s="12"/>
      <c r="D11" s="13"/>
      <c r="E11" s="14">
        <f t="shared" si="0"/>
        <v>54.5575221238938</v>
      </c>
      <c r="F11" s="14"/>
      <c r="G11" s="14"/>
      <c r="H11" s="15">
        <v>0.011</v>
      </c>
      <c r="I11" s="3">
        <v>0.03</v>
      </c>
    </row>
    <row r="13" s="1" customFormat="1" ht="18.75" customHeight="1" spans="7:9">
      <c r="G13" s="4" t="s">
        <v>270</v>
      </c>
      <c r="H13" s="4"/>
      <c r="I13" s="23" t="s">
        <v>287</v>
      </c>
    </row>
    <row r="14" ht="39" customHeight="1" spans="1:9">
      <c r="A14" s="5" t="s">
        <v>272</v>
      </c>
      <c r="B14" s="5"/>
      <c r="C14" s="6" t="s">
        <v>273</v>
      </c>
      <c r="D14" s="7"/>
      <c r="E14" s="7"/>
      <c r="F14" s="7"/>
      <c r="G14" s="7"/>
      <c r="H14" s="8"/>
      <c r="I14" s="3" t="s">
        <v>274</v>
      </c>
    </row>
    <row r="15" ht="34.5" customHeight="1" spans="1:9">
      <c r="A15" s="5"/>
      <c r="B15" s="5"/>
      <c r="C15" s="9" t="s">
        <v>275</v>
      </c>
      <c r="D15" s="9" t="s">
        <v>276</v>
      </c>
      <c r="E15" s="9" t="s">
        <v>277</v>
      </c>
      <c r="F15" s="10" t="s">
        <v>278</v>
      </c>
      <c r="G15" s="10" t="s">
        <v>279</v>
      </c>
      <c r="H15" s="10" t="s">
        <v>280</v>
      </c>
      <c r="I15" s="22">
        <f>销量!D8</f>
        <v>0</v>
      </c>
    </row>
    <row r="16" ht="24" customHeight="1" spans="1:9">
      <c r="A16" s="11" t="s">
        <v>281</v>
      </c>
      <c r="B16" s="11"/>
      <c r="C16" s="12"/>
      <c r="D16" s="13"/>
      <c r="E16" s="14">
        <f>I15*I16</f>
        <v>0</v>
      </c>
      <c r="F16" s="14"/>
      <c r="G16" s="14"/>
      <c r="H16" s="15">
        <v>0.0448</v>
      </c>
      <c r="I16" s="3">
        <v>0.0431</v>
      </c>
    </row>
    <row r="17" ht="24" customHeight="1" spans="1:9">
      <c r="A17" s="11" t="s">
        <v>282</v>
      </c>
      <c r="B17" s="11" t="s">
        <v>283</v>
      </c>
      <c r="C17" s="12"/>
      <c r="D17" s="13"/>
      <c r="E17" s="14">
        <f>$I$15*I17</f>
        <v>0</v>
      </c>
      <c r="F17" s="14"/>
      <c r="G17" s="14"/>
      <c r="H17" s="15">
        <v>0.0404</v>
      </c>
      <c r="I17" s="3">
        <v>0.041</v>
      </c>
    </row>
    <row r="18" ht="24" customHeight="1" spans="1:9">
      <c r="A18" s="11"/>
      <c r="B18" s="11" t="s">
        <v>284</v>
      </c>
      <c r="C18" s="12"/>
      <c r="D18" s="13"/>
      <c r="E18" s="14">
        <f t="shared" ref="E18:E23" si="1">$I$15*I18</f>
        <v>0</v>
      </c>
      <c r="F18" s="14"/>
      <c r="G18" s="14"/>
      <c r="H18" s="15">
        <v>0.0166</v>
      </c>
      <c r="I18" s="3">
        <v>0.0217</v>
      </c>
    </row>
    <row r="19" ht="24" customHeight="1" spans="1:9">
      <c r="A19" s="6" t="s">
        <v>285</v>
      </c>
      <c r="B19" s="8"/>
      <c r="C19" s="16"/>
      <c r="D19" s="17"/>
      <c r="E19" s="14">
        <f t="shared" si="1"/>
        <v>0</v>
      </c>
      <c r="F19" s="14"/>
      <c r="G19" s="14"/>
      <c r="H19" s="18">
        <f>SUM(H16:H18)</f>
        <v>0.1018</v>
      </c>
      <c r="I19" s="3">
        <f>SUM(I16:I18)</f>
        <v>0.1058</v>
      </c>
    </row>
    <row r="20" ht="24" customHeight="1" spans="1:9">
      <c r="A20" s="11" t="s">
        <v>87</v>
      </c>
      <c r="B20" s="11"/>
      <c r="C20" s="12"/>
      <c r="D20" s="13"/>
      <c r="E20" s="14">
        <f t="shared" si="1"/>
        <v>0</v>
      </c>
      <c r="F20" s="14"/>
      <c r="G20" s="14"/>
      <c r="H20" s="15">
        <f>1.97%+0.75%</f>
        <v>0.0272</v>
      </c>
      <c r="I20" s="3">
        <v>0.034</v>
      </c>
    </row>
    <row r="21" ht="24" customHeight="1" spans="1:9">
      <c r="A21" s="19" t="s">
        <v>286</v>
      </c>
      <c r="B21" s="11" t="s">
        <v>283</v>
      </c>
      <c r="C21" s="12"/>
      <c r="D21" s="13"/>
      <c r="E21" s="14">
        <f t="shared" si="1"/>
        <v>0</v>
      </c>
      <c r="F21" s="14"/>
      <c r="G21" s="14"/>
      <c r="H21" s="15">
        <v>0.0053</v>
      </c>
      <c r="I21" s="3">
        <v>0.007</v>
      </c>
    </row>
    <row r="22" ht="24" customHeight="1" spans="1:9">
      <c r="A22" s="20"/>
      <c r="B22" s="11" t="s">
        <v>284</v>
      </c>
      <c r="C22" s="12"/>
      <c r="D22" s="13"/>
      <c r="E22" s="14">
        <f t="shared" si="1"/>
        <v>0</v>
      </c>
      <c r="F22" s="14"/>
      <c r="G22" s="14"/>
      <c r="H22" s="15">
        <v>0.0341</v>
      </c>
      <c r="I22" s="3">
        <f>2.8%+1.6%</f>
        <v>0.044</v>
      </c>
    </row>
    <row r="23" ht="24" customHeight="1" spans="1:9">
      <c r="A23" s="11" t="s">
        <v>90</v>
      </c>
      <c r="B23" s="11"/>
      <c r="C23" s="12"/>
      <c r="D23" s="13"/>
      <c r="E23" s="14">
        <f t="shared" si="1"/>
        <v>0</v>
      </c>
      <c r="F23" s="14"/>
      <c r="G23" s="14"/>
      <c r="H23" s="15">
        <v>0.011</v>
      </c>
      <c r="I23" s="3">
        <v>0.03</v>
      </c>
    </row>
    <row r="26" s="1" customFormat="1" ht="18.75" customHeight="1" spans="7:9">
      <c r="G26" s="4" t="s">
        <v>270</v>
      </c>
      <c r="H26" s="4"/>
      <c r="I26" s="23" t="s">
        <v>155</v>
      </c>
    </row>
    <row r="27" ht="39" customHeight="1" spans="1:9">
      <c r="A27" s="5" t="s">
        <v>272</v>
      </c>
      <c r="B27" s="5"/>
      <c r="C27" s="6" t="s">
        <v>273</v>
      </c>
      <c r="D27" s="7"/>
      <c r="E27" s="7"/>
      <c r="F27" s="7"/>
      <c r="G27" s="7"/>
      <c r="H27" s="8"/>
      <c r="I27" s="3" t="s">
        <v>274</v>
      </c>
    </row>
    <row r="28" ht="34.5" customHeight="1" spans="1:9">
      <c r="A28" s="5"/>
      <c r="B28" s="5"/>
      <c r="C28" s="9" t="s">
        <v>275</v>
      </c>
      <c r="D28" s="9" t="s">
        <v>276</v>
      </c>
      <c r="E28" s="9" t="s">
        <v>277</v>
      </c>
      <c r="F28" s="10" t="s">
        <v>278</v>
      </c>
      <c r="G28" s="10" t="s">
        <v>279</v>
      </c>
      <c r="H28" s="10" t="s">
        <v>280</v>
      </c>
      <c r="I28" s="22">
        <f>销量!E8</f>
        <v>0</v>
      </c>
    </row>
    <row r="29" ht="24" customHeight="1" spans="1:9">
      <c r="A29" s="11" t="s">
        <v>281</v>
      </c>
      <c r="B29" s="11"/>
      <c r="C29" s="12"/>
      <c r="D29" s="13"/>
      <c r="E29" s="14">
        <f>I28*I29</f>
        <v>0</v>
      </c>
      <c r="F29" s="14"/>
      <c r="G29" s="14"/>
      <c r="H29" s="15">
        <v>0.0448</v>
      </c>
      <c r="I29" s="3">
        <v>0.0431</v>
      </c>
    </row>
    <row r="30" ht="24" customHeight="1" spans="1:9">
      <c r="A30" s="11" t="s">
        <v>282</v>
      </c>
      <c r="B30" s="11" t="s">
        <v>283</v>
      </c>
      <c r="C30" s="12"/>
      <c r="D30" s="13"/>
      <c r="E30" s="14">
        <f t="shared" ref="E30:E36" si="2">$I$28*I30</f>
        <v>0</v>
      </c>
      <c r="F30" s="14"/>
      <c r="G30" s="14"/>
      <c r="H30" s="15">
        <v>0.0404</v>
      </c>
      <c r="I30" s="3">
        <v>0.041</v>
      </c>
    </row>
    <row r="31" ht="24" customHeight="1" spans="1:9">
      <c r="A31" s="11"/>
      <c r="B31" s="11" t="s">
        <v>284</v>
      </c>
      <c r="C31" s="12"/>
      <c r="D31" s="13"/>
      <c r="E31" s="14">
        <f t="shared" si="2"/>
        <v>0</v>
      </c>
      <c r="F31" s="14"/>
      <c r="G31" s="14"/>
      <c r="H31" s="15">
        <v>0.0166</v>
      </c>
      <c r="I31" s="3">
        <v>0.0217</v>
      </c>
    </row>
    <row r="32" ht="24" customHeight="1" spans="1:9">
      <c r="A32" s="6" t="s">
        <v>285</v>
      </c>
      <c r="B32" s="8"/>
      <c r="C32" s="16"/>
      <c r="D32" s="17"/>
      <c r="E32" s="14">
        <f t="shared" si="2"/>
        <v>0</v>
      </c>
      <c r="F32" s="14"/>
      <c r="G32" s="14"/>
      <c r="H32" s="18">
        <f>SUM(H29:H31)</f>
        <v>0.1018</v>
      </c>
      <c r="I32" s="3">
        <f>SUM(I29:I31)</f>
        <v>0.1058</v>
      </c>
    </row>
    <row r="33" ht="24" customHeight="1" spans="1:9">
      <c r="A33" s="11" t="s">
        <v>87</v>
      </c>
      <c r="B33" s="11"/>
      <c r="C33" s="12"/>
      <c r="D33" s="13"/>
      <c r="E33" s="14">
        <f t="shared" si="2"/>
        <v>0</v>
      </c>
      <c r="F33" s="14"/>
      <c r="G33" s="14"/>
      <c r="H33" s="15">
        <f>1.97%+0.75%</f>
        <v>0.0272</v>
      </c>
      <c r="I33" s="3">
        <v>0.034</v>
      </c>
    </row>
    <row r="34" ht="24" customHeight="1" spans="1:9">
      <c r="A34" s="19" t="s">
        <v>286</v>
      </c>
      <c r="B34" s="11" t="s">
        <v>283</v>
      </c>
      <c r="C34" s="12"/>
      <c r="D34" s="13"/>
      <c r="E34" s="14">
        <f t="shared" si="2"/>
        <v>0</v>
      </c>
      <c r="F34" s="14"/>
      <c r="G34" s="14"/>
      <c r="H34" s="15">
        <v>0.0053</v>
      </c>
      <c r="I34" s="3">
        <v>0.007</v>
      </c>
    </row>
    <row r="35" ht="24" customHeight="1" spans="1:9">
      <c r="A35" s="20"/>
      <c r="B35" s="11" t="s">
        <v>284</v>
      </c>
      <c r="C35" s="12"/>
      <c r="D35" s="13"/>
      <c r="E35" s="14">
        <f t="shared" si="2"/>
        <v>0</v>
      </c>
      <c r="F35" s="14"/>
      <c r="G35" s="14"/>
      <c r="H35" s="15">
        <v>0.0341</v>
      </c>
      <c r="I35" s="3">
        <f>2.8%+1.6%</f>
        <v>0.044</v>
      </c>
    </row>
    <row r="36" ht="24" customHeight="1" spans="1:9">
      <c r="A36" s="11" t="s">
        <v>90</v>
      </c>
      <c r="B36" s="11"/>
      <c r="C36" s="12"/>
      <c r="D36" s="13"/>
      <c r="E36" s="14">
        <f t="shared" si="2"/>
        <v>0</v>
      </c>
      <c r="F36" s="14"/>
      <c r="G36" s="14"/>
      <c r="H36" s="15">
        <v>0.011</v>
      </c>
      <c r="I36" s="3">
        <v>0.03</v>
      </c>
    </row>
    <row r="39" s="1" customFormat="1" ht="18.75" customHeight="1" spans="7:9">
      <c r="G39" s="4" t="s">
        <v>270</v>
      </c>
      <c r="H39" s="4"/>
      <c r="I39" s="23" t="s">
        <v>288</v>
      </c>
    </row>
    <row r="40" ht="39" customHeight="1" spans="1:9">
      <c r="A40" s="5" t="s">
        <v>272</v>
      </c>
      <c r="B40" s="5"/>
      <c r="C40" s="6" t="s">
        <v>273</v>
      </c>
      <c r="D40" s="7"/>
      <c r="E40" s="7"/>
      <c r="F40" s="7"/>
      <c r="G40" s="7"/>
      <c r="H40" s="8"/>
      <c r="I40" s="3" t="s">
        <v>274</v>
      </c>
    </row>
    <row r="41" ht="34.5" customHeight="1" spans="1:9">
      <c r="A41" s="5"/>
      <c r="B41" s="5"/>
      <c r="C41" s="9" t="s">
        <v>275</v>
      </c>
      <c r="D41" s="9" t="s">
        <v>276</v>
      </c>
      <c r="E41" s="9" t="s">
        <v>277</v>
      </c>
      <c r="F41" s="10" t="s">
        <v>278</v>
      </c>
      <c r="G41" s="10" t="s">
        <v>279</v>
      </c>
      <c r="H41" s="10" t="s">
        <v>280</v>
      </c>
      <c r="I41" s="22">
        <f>销量!F8</f>
        <v>0</v>
      </c>
    </row>
    <row r="42" ht="24" customHeight="1" spans="1:9">
      <c r="A42" s="11" t="s">
        <v>281</v>
      </c>
      <c r="B42" s="11"/>
      <c r="C42" s="12"/>
      <c r="D42" s="13"/>
      <c r="E42" s="14">
        <f>I41*I42</f>
        <v>0</v>
      </c>
      <c r="F42" s="14"/>
      <c r="G42" s="14"/>
      <c r="H42" s="15">
        <v>0.0448</v>
      </c>
      <c r="I42" s="3">
        <v>0.0431</v>
      </c>
    </row>
    <row r="43" ht="24" customHeight="1" spans="1:9">
      <c r="A43" s="11" t="s">
        <v>282</v>
      </c>
      <c r="B43" s="11" t="s">
        <v>283</v>
      </c>
      <c r="C43" s="12"/>
      <c r="D43" s="13"/>
      <c r="E43" s="14">
        <f>$I$28*I43</f>
        <v>0</v>
      </c>
      <c r="F43" s="14"/>
      <c r="G43" s="14"/>
      <c r="H43" s="15">
        <v>0.0404</v>
      </c>
      <c r="I43" s="3">
        <v>0.041</v>
      </c>
    </row>
    <row r="44" ht="24" customHeight="1" spans="1:9">
      <c r="A44" s="11"/>
      <c r="B44" s="11" t="s">
        <v>284</v>
      </c>
      <c r="C44" s="12"/>
      <c r="D44" s="13"/>
      <c r="E44" s="14">
        <f t="shared" ref="E44:E49" si="3">$I$28*I44</f>
        <v>0</v>
      </c>
      <c r="F44" s="14"/>
      <c r="G44" s="14"/>
      <c r="H44" s="15">
        <v>0.0166</v>
      </c>
      <c r="I44" s="3">
        <v>0.0217</v>
      </c>
    </row>
    <row r="45" ht="24" customHeight="1" spans="1:9">
      <c r="A45" s="6" t="s">
        <v>285</v>
      </c>
      <c r="B45" s="8"/>
      <c r="C45" s="16"/>
      <c r="D45" s="17"/>
      <c r="E45" s="14">
        <f t="shared" si="3"/>
        <v>0</v>
      </c>
      <c r="F45" s="14"/>
      <c r="G45" s="14"/>
      <c r="H45" s="18">
        <f>SUM(H42:H44)</f>
        <v>0.1018</v>
      </c>
      <c r="I45" s="3">
        <f>SUM(I42:I44)</f>
        <v>0.1058</v>
      </c>
    </row>
    <row r="46" ht="24" customHeight="1" spans="1:9">
      <c r="A46" s="11" t="s">
        <v>87</v>
      </c>
      <c r="B46" s="11"/>
      <c r="C46" s="12"/>
      <c r="D46" s="13"/>
      <c r="E46" s="14">
        <f t="shared" si="3"/>
        <v>0</v>
      </c>
      <c r="F46" s="14"/>
      <c r="G46" s="14"/>
      <c r="H46" s="15">
        <f>1.97%+0.75%</f>
        <v>0.0272</v>
      </c>
      <c r="I46" s="3">
        <v>0.034</v>
      </c>
    </row>
    <row r="47" ht="24" customHeight="1" spans="1:9">
      <c r="A47" s="19" t="s">
        <v>286</v>
      </c>
      <c r="B47" s="11" t="s">
        <v>283</v>
      </c>
      <c r="C47" s="12"/>
      <c r="D47" s="13"/>
      <c r="E47" s="14">
        <f t="shared" si="3"/>
        <v>0</v>
      </c>
      <c r="F47" s="14"/>
      <c r="G47" s="14"/>
      <c r="H47" s="15">
        <v>0.0053</v>
      </c>
      <c r="I47" s="3">
        <v>0.007</v>
      </c>
    </row>
    <row r="48" ht="24" customHeight="1" spans="1:9">
      <c r="A48" s="20"/>
      <c r="B48" s="11" t="s">
        <v>284</v>
      </c>
      <c r="C48" s="12"/>
      <c r="D48" s="13"/>
      <c r="E48" s="14">
        <f t="shared" si="3"/>
        <v>0</v>
      </c>
      <c r="F48" s="14"/>
      <c r="G48" s="14"/>
      <c r="H48" s="15">
        <v>0.0341</v>
      </c>
      <c r="I48" s="3">
        <f>2.8%+1.6%</f>
        <v>0.044</v>
      </c>
    </row>
    <row r="49" ht="24" customHeight="1" spans="1:9">
      <c r="A49" s="11" t="s">
        <v>90</v>
      </c>
      <c r="B49" s="11"/>
      <c r="C49" s="12"/>
      <c r="D49" s="13"/>
      <c r="E49" s="14">
        <f t="shared" si="3"/>
        <v>0</v>
      </c>
      <c r="F49" s="14"/>
      <c r="G49" s="14"/>
      <c r="H49" s="15">
        <v>0.011</v>
      </c>
      <c r="I49" s="3">
        <v>0.03</v>
      </c>
    </row>
    <row r="52" s="1" customFormat="1" ht="18.75" customHeight="1" spans="7:9">
      <c r="G52" s="4" t="s">
        <v>270</v>
      </c>
      <c r="H52" s="4"/>
      <c r="I52" s="23" t="s">
        <v>289</v>
      </c>
    </row>
    <row r="53" ht="39" customHeight="1" spans="1:9">
      <c r="A53" s="5" t="s">
        <v>272</v>
      </c>
      <c r="B53" s="5"/>
      <c r="C53" s="6" t="s">
        <v>273</v>
      </c>
      <c r="D53" s="7"/>
      <c r="E53" s="7"/>
      <c r="F53" s="7"/>
      <c r="G53" s="7"/>
      <c r="H53" s="8"/>
      <c r="I53" s="3" t="s">
        <v>274</v>
      </c>
    </row>
    <row r="54" ht="34.5" customHeight="1" spans="1:9">
      <c r="A54" s="5"/>
      <c r="B54" s="5"/>
      <c r="C54" s="9" t="s">
        <v>275</v>
      </c>
      <c r="D54" s="9" t="s">
        <v>276</v>
      </c>
      <c r="E54" s="9" t="s">
        <v>277</v>
      </c>
      <c r="F54" s="10" t="s">
        <v>278</v>
      </c>
      <c r="G54" s="10" t="s">
        <v>279</v>
      </c>
      <c r="H54" s="10" t="s">
        <v>280</v>
      </c>
      <c r="I54" s="22">
        <f>销量!G8</f>
        <v>0</v>
      </c>
    </row>
    <row r="55" ht="24" customHeight="1" spans="1:9">
      <c r="A55" s="11" t="s">
        <v>281</v>
      </c>
      <c r="B55" s="11"/>
      <c r="C55" s="12"/>
      <c r="D55" s="13"/>
      <c r="E55" s="14">
        <f>I54*I55</f>
        <v>0</v>
      </c>
      <c r="F55" s="14"/>
      <c r="G55" s="14"/>
      <c r="H55" s="15">
        <v>0.0448</v>
      </c>
      <c r="I55" s="3">
        <v>0.0431</v>
      </c>
    </row>
    <row r="56" ht="24" customHeight="1" spans="1:9">
      <c r="A56" s="11" t="s">
        <v>282</v>
      </c>
      <c r="B56" s="11" t="s">
        <v>283</v>
      </c>
      <c r="C56" s="12"/>
      <c r="D56" s="13"/>
      <c r="E56" s="14">
        <f>$I$54*I56</f>
        <v>0</v>
      </c>
      <c r="F56" s="14"/>
      <c r="G56" s="14"/>
      <c r="H56" s="15">
        <v>0.0404</v>
      </c>
      <c r="I56" s="3">
        <v>0.041</v>
      </c>
    </row>
    <row r="57" ht="24" customHeight="1" spans="1:9">
      <c r="A57" s="11"/>
      <c r="B57" s="11" t="s">
        <v>284</v>
      </c>
      <c r="C57" s="12"/>
      <c r="D57" s="13"/>
      <c r="E57" s="14">
        <f t="shared" ref="E57:E62" si="4">$I$54*I57</f>
        <v>0</v>
      </c>
      <c r="F57" s="14"/>
      <c r="G57" s="14"/>
      <c r="H57" s="15">
        <v>0.0166</v>
      </c>
      <c r="I57" s="3">
        <v>0.0217</v>
      </c>
    </row>
    <row r="58" ht="24" customHeight="1" spans="1:9">
      <c r="A58" s="6" t="s">
        <v>285</v>
      </c>
      <c r="B58" s="8"/>
      <c r="C58" s="16"/>
      <c r="D58" s="17"/>
      <c r="E58" s="14">
        <f t="shared" si="4"/>
        <v>0</v>
      </c>
      <c r="F58" s="14"/>
      <c r="G58" s="14"/>
      <c r="H58" s="18">
        <f>SUM(H55:H57)</f>
        <v>0.1018</v>
      </c>
      <c r="I58" s="3">
        <f>SUM(I55:I57)</f>
        <v>0.1058</v>
      </c>
    </row>
    <row r="59" ht="24" customHeight="1" spans="1:9">
      <c r="A59" s="11" t="s">
        <v>87</v>
      </c>
      <c r="B59" s="11"/>
      <c r="C59" s="12"/>
      <c r="D59" s="13"/>
      <c r="E59" s="14">
        <f t="shared" si="4"/>
        <v>0</v>
      </c>
      <c r="F59" s="14"/>
      <c r="G59" s="14"/>
      <c r="H59" s="15">
        <f>1.97%+0.75%</f>
        <v>0.0272</v>
      </c>
      <c r="I59" s="3">
        <v>0.034</v>
      </c>
    </row>
    <row r="60" ht="24" customHeight="1" spans="1:9">
      <c r="A60" s="19" t="s">
        <v>286</v>
      </c>
      <c r="B60" s="11" t="s">
        <v>283</v>
      </c>
      <c r="C60" s="12"/>
      <c r="D60" s="13"/>
      <c r="E60" s="14">
        <f t="shared" si="4"/>
        <v>0</v>
      </c>
      <c r="F60" s="14"/>
      <c r="G60" s="14"/>
      <c r="H60" s="15">
        <v>0.0053</v>
      </c>
      <c r="I60" s="3">
        <v>0.007</v>
      </c>
    </row>
    <row r="61" ht="24" customHeight="1" spans="1:9">
      <c r="A61" s="20"/>
      <c r="B61" s="11" t="s">
        <v>284</v>
      </c>
      <c r="C61" s="12"/>
      <c r="D61" s="13"/>
      <c r="E61" s="14">
        <f t="shared" si="4"/>
        <v>0</v>
      </c>
      <c r="F61" s="14"/>
      <c r="G61" s="14"/>
      <c r="H61" s="15">
        <v>0.0341</v>
      </c>
      <c r="I61" s="3">
        <f>2.8%+1.6%</f>
        <v>0.044</v>
      </c>
    </row>
    <row r="62" ht="24" customHeight="1" spans="1:9">
      <c r="A62" s="11" t="s">
        <v>90</v>
      </c>
      <c r="B62" s="11"/>
      <c r="C62" s="12"/>
      <c r="D62" s="13"/>
      <c r="E62" s="14">
        <f t="shared" si="4"/>
        <v>0</v>
      </c>
      <c r="F62" s="14"/>
      <c r="G62" s="14"/>
      <c r="H62" s="15">
        <v>0.011</v>
      </c>
      <c r="I62" s="3">
        <v>0.03</v>
      </c>
    </row>
    <row r="65" s="1" customFormat="1" ht="18.75" customHeight="1" spans="7:9">
      <c r="G65" s="4" t="s">
        <v>270</v>
      </c>
      <c r="H65" s="4"/>
      <c r="I65" s="23" t="s">
        <v>290</v>
      </c>
    </row>
    <row r="66" ht="39" customHeight="1" spans="1:9">
      <c r="A66" s="5" t="s">
        <v>272</v>
      </c>
      <c r="B66" s="5"/>
      <c r="C66" s="6" t="s">
        <v>273</v>
      </c>
      <c r="D66" s="7"/>
      <c r="E66" s="7"/>
      <c r="F66" s="7"/>
      <c r="G66" s="7"/>
      <c r="H66" s="8"/>
      <c r="I66" s="3" t="s">
        <v>274</v>
      </c>
    </row>
    <row r="67" ht="34.5" customHeight="1" spans="1:9">
      <c r="A67" s="5"/>
      <c r="B67" s="5"/>
      <c r="C67" s="9" t="s">
        <v>275</v>
      </c>
      <c r="D67" s="9" t="s">
        <v>276</v>
      </c>
      <c r="E67" s="9" t="s">
        <v>277</v>
      </c>
      <c r="F67" s="10" t="s">
        <v>278</v>
      </c>
      <c r="G67" s="10" t="s">
        <v>279</v>
      </c>
      <c r="H67" s="10" t="s">
        <v>280</v>
      </c>
      <c r="I67" s="22">
        <f>销量!H8</f>
        <v>0</v>
      </c>
    </row>
    <row r="68" ht="24" customHeight="1" spans="1:9">
      <c r="A68" s="11" t="s">
        <v>281</v>
      </c>
      <c r="B68" s="11"/>
      <c r="C68" s="12"/>
      <c r="D68" s="13"/>
      <c r="E68" s="14">
        <f>I67*I68</f>
        <v>0</v>
      </c>
      <c r="F68" s="14"/>
      <c r="G68" s="14"/>
      <c r="H68" s="15">
        <v>0.0448</v>
      </c>
      <c r="I68" s="3">
        <v>0.0431</v>
      </c>
    </row>
    <row r="69" ht="24" customHeight="1" spans="1:9">
      <c r="A69" s="11" t="s">
        <v>282</v>
      </c>
      <c r="B69" s="11" t="s">
        <v>283</v>
      </c>
      <c r="C69" s="12"/>
      <c r="D69" s="13"/>
      <c r="E69" s="14">
        <f t="shared" ref="E69:E75" si="5">$I$67*I69</f>
        <v>0</v>
      </c>
      <c r="F69" s="14"/>
      <c r="G69" s="14"/>
      <c r="H69" s="15">
        <v>0.0404</v>
      </c>
      <c r="I69" s="3">
        <v>0.041</v>
      </c>
    </row>
    <row r="70" ht="24" customHeight="1" spans="1:9">
      <c r="A70" s="11"/>
      <c r="B70" s="11" t="s">
        <v>284</v>
      </c>
      <c r="C70" s="12"/>
      <c r="D70" s="13"/>
      <c r="E70" s="14">
        <f t="shared" si="5"/>
        <v>0</v>
      </c>
      <c r="F70" s="14"/>
      <c r="G70" s="14"/>
      <c r="H70" s="15">
        <v>0.0166</v>
      </c>
      <c r="I70" s="3">
        <v>0.0217</v>
      </c>
    </row>
    <row r="71" ht="24" customHeight="1" spans="1:9">
      <c r="A71" s="6" t="s">
        <v>285</v>
      </c>
      <c r="B71" s="8"/>
      <c r="C71" s="16"/>
      <c r="D71" s="17"/>
      <c r="E71" s="14">
        <f t="shared" si="5"/>
        <v>0</v>
      </c>
      <c r="F71" s="14"/>
      <c r="G71" s="14"/>
      <c r="H71" s="18">
        <f>SUM(H68:H70)</f>
        <v>0.1018</v>
      </c>
      <c r="I71" s="3">
        <f>SUM(I68:I70)</f>
        <v>0.1058</v>
      </c>
    </row>
    <row r="72" ht="24" customHeight="1" spans="1:9">
      <c r="A72" s="11" t="s">
        <v>87</v>
      </c>
      <c r="B72" s="11"/>
      <c r="C72" s="12"/>
      <c r="D72" s="13"/>
      <c r="E72" s="14">
        <f t="shared" si="5"/>
        <v>0</v>
      </c>
      <c r="F72" s="14"/>
      <c r="G72" s="14"/>
      <c r="H72" s="15">
        <f>1.97%+0.75%</f>
        <v>0.0272</v>
      </c>
      <c r="I72" s="3">
        <v>0.034</v>
      </c>
    </row>
    <row r="73" ht="24" customHeight="1" spans="1:9">
      <c r="A73" s="19" t="s">
        <v>286</v>
      </c>
      <c r="B73" s="11" t="s">
        <v>283</v>
      </c>
      <c r="C73" s="12"/>
      <c r="D73" s="13"/>
      <c r="E73" s="14">
        <f t="shared" si="5"/>
        <v>0</v>
      </c>
      <c r="F73" s="14"/>
      <c r="G73" s="14"/>
      <c r="H73" s="15">
        <v>0.0053</v>
      </c>
      <c r="I73" s="3">
        <v>0.007</v>
      </c>
    </row>
    <row r="74" ht="24" customHeight="1" spans="1:9">
      <c r="A74" s="20"/>
      <c r="B74" s="11" t="s">
        <v>284</v>
      </c>
      <c r="C74" s="12"/>
      <c r="D74" s="13"/>
      <c r="E74" s="14">
        <f t="shared" si="5"/>
        <v>0</v>
      </c>
      <c r="F74" s="14"/>
      <c r="G74" s="14"/>
      <c r="H74" s="15">
        <v>0.0341</v>
      </c>
      <c r="I74" s="3">
        <f>2.8%+1.6%</f>
        <v>0.044</v>
      </c>
    </row>
    <row r="75" ht="24" customHeight="1" spans="1:9">
      <c r="A75" s="11" t="s">
        <v>90</v>
      </c>
      <c r="B75" s="11"/>
      <c r="C75" s="12"/>
      <c r="D75" s="13"/>
      <c r="E75" s="14">
        <f t="shared" si="5"/>
        <v>0</v>
      </c>
      <c r="F75" s="14"/>
      <c r="G75" s="14"/>
      <c r="H75" s="15">
        <v>0.011</v>
      </c>
      <c r="I75" s="3">
        <v>0.03</v>
      </c>
    </row>
    <row r="78" s="1" customFormat="1" ht="18.75" customHeight="1" spans="7:9">
      <c r="G78" s="4" t="s">
        <v>270</v>
      </c>
      <c r="H78" s="4"/>
      <c r="I78" s="23" t="s">
        <v>291</v>
      </c>
    </row>
    <row r="79" ht="39" customHeight="1" spans="1:9">
      <c r="A79" s="5" t="s">
        <v>272</v>
      </c>
      <c r="B79" s="5"/>
      <c r="C79" s="6" t="s">
        <v>273</v>
      </c>
      <c r="D79" s="7"/>
      <c r="E79" s="7"/>
      <c r="F79" s="7"/>
      <c r="G79" s="7"/>
      <c r="H79" s="8"/>
      <c r="I79" s="3" t="s">
        <v>274</v>
      </c>
    </row>
    <row r="80" ht="34.5" customHeight="1" spans="1:9">
      <c r="A80" s="5"/>
      <c r="B80" s="5"/>
      <c r="C80" s="9" t="s">
        <v>275</v>
      </c>
      <c r="D80" s="9" t="s">
        <v>276</v>
      </c>
      <c r="E80" s="9" t="s">
        <v>277</v>
      </c>
      <c r="F80" s="10" t="s">
        <v>278</v>
      </c>
      <c r="G80" s="10" t="s">
        <v>279</v>
      </c>
      <c r="H80" s="10" t="s">
        <v>280</v>
      </c>
      <c r="I80" s="22">
        <f>销量!I8</f>
        <v>0</v>
      </c>
    </row>
    <row r="81" ht="24" customHeight="1" spans="1:9">
      <c r="A81" s="11" t="s">
        <v>281</v>
      </c>
      <c r="B81" s="11"/>
      <c r="C81" s="12"/>
      <c r="D81" s="13"/>
      <c r="E81" s="14">
        <f>I80*I81</f>
        <v>0</v>
      </c>
      <c r="F81" s="14"/>
      <c r="G81" s="14"/>
      <c r="H81" s="15">
        <v>0.0448</v>
      </c>
      <c r="I81" s="3">
        <v>0.0431</v>
      </c>
    </row>
    <row r="82" ht="24" customHeight="1" spans="1:9">
      <c r="A82" s="11" t="s">
        <v>282</v>
      </c>
      <c r="B82" s="11" t="s">
        <v>283</v>
      </c>
      <c r="C82" s="12"/>
      <c r="D82" s="13"/>
      <c r="E82" s="14">
        <f t="shared" ref="E82:E88" si="6">$I$80*I82</f>
        <v>0</v>
      </c>
      <c r="F82" s="14"/>
      <c r="G82" s="14"/>
      <c r="H82" s="15">
        <v>0.0404</v>
      </c>
      <c r="I82" s="3">
        <v>0.041</v>
      </c>
    </row>
    <row r="83" ht="24" customHeight="1" spans="1:9">
      <c r="A83" s="11"/>
      <c r="B83" s="11" t="s">
        <v>284</v>
      </c>
      <c r="C83" s="12"/>
      <c r="D83" s="13"/>
      <c r="E83" s="14">
        <f t="shared" si="6"/>
        <v>0</v>
      </c>
      <c r="F83" s="14"/>
      <c r="G83" s="14"/>
      <c r="H83" s="15">
        <v>0.0166</v>
      </c>
      <c r="I83" s="3">
        <v>0.0217</v>
      </c>
    </row>
    <row r="84" ht="24" customHeight="1" spans="1:9">
      <c r="A84" s="6" t="s">
        <v>285</v>
      </c>
      <c r="B84" s="8"/>
      <c r="C84" s="16"/>
      <c r="D84" s="17"/>
      <c r="E84" s="14">
        <f t="shared" si="6"/>
        <v>0</v>
      </c>
      <c r="F84" s="14"/>
      <c r="G84" s="14"/>
      <c r="H84" s="18">
        <f>SUM(H81:H83)</f>
        <v>0.1018</v>
      </c>
      <c r="I84" s="3">
        <f>SUM(I81:I83)</f>
        <v>0.1058</v>
      </c>
    </row>
    <row r="85" ht="24" customHeight="1" spans="1:9">
      <c r="A85" s="11" t="s">
        <v>87</v>
      </c>
      <c r="B85" s="11"/>
      <c r="C85" s="12"/>
      <c r="D85" s="13"/>
      <c r="E85" s="14">
        <f t="shared" si="6"/>
        <v>0</v>
      </c>
      <c r="F85" s="14"/>
      <c r="G85" s="14"/>
      <c r="H85" s="15">
        <f>1.97%+0.75%</f>
        <v>0.0272</v>
      </c>
      <c r="I85" s="3">
        <v>0.034</v>
      </c>
    </row>
    <row r="86" ht="24" customHeight="1" spans="1:9">
      <c r="A86" s="19" t="s">
        <v>286</v>
      </c>
      <c r="B86" s="11" t="s">
        <v>283</v>
      </c>
      <c r="C86" s="12"/>
      <c r="D86" s="13"/>
      <c r="E86" s="14">
        <f t="shared" si="6"/>
        <v>0</v>
      </c>
      <c r="F86" s="14"/>
      <c r="G86" s="14"/>
      <c r="H86" s="15">
        <v>0.0053</v>
      </c>
      <c r="I86" s="3">
        <v>0.007</v>
      </c>
    </row>
    <row r="87" ht="24" customHeight="1" spans="1:9">
      <c r="A87" s="20"/>
      <c r="B87" s="11" t="s">
        <v>284</v>
      </c>
      <c r="C87" s="12"/>
      <c r="D87" s="13"/>
      <c r="E87" s="14">
        <f t="shared" si="6"/>
        <v>0</v>
      </c>
      <c r="F87" s="14"/>
      <c r="G87" s="14"/>
      <c r="H87" s="15">
        <v>0.0341</v>
      </c>
      <c r="I87" s="3">
        <f>2.8%+1.6%</f>
        <v>0.044</v>
      </c>
    </row>
    <row r="88" ht="24" customHeight="1" spans="1:9">
      <c r="A88" s="11" t="s">
        <v>90</v>
      </c>
      <c r="B88" s="11"/>
      <c r="C88" s="12"/>
      <c r="D88" s="13"/>
      <c r="E88" s="14">
        <f t="shared" si="6"/>
        <v>0</v>
      </c>
      <c r="F88" s="14"/>
      <c r="G88" s="14"/>
      <c r="H88" s="15">
        <v>0.011</v>
      </c>
      <c r="I88" s="3">
        <v>0.03</v>
      </c>
    </row>
    <row r="91" s="1" customFormat="1" ht="18.75" customHeight="1" spans="7:9">
      <c r="G91" s="4" t="s">
        <v>270</v>
      </c>
      <c r="H91" s="4"/>
      <c r="I91" s="23" t="s">
        <v>292</v>
      </c>
    </row>
    <row r="92" ht="39" customHeight="1" spans="1:9">
      <c r="A92" s="5" t="s">
        <v>272</v>
      </c>
      <c r="B92" s="5"/>
      <c r="C92" s="6" t="s">
        <v>273</v>
      </c>
      <c r="D92" s="7"/>
      <c r="E92" s="7"/>
      <c r="F92" s="7"/>
      <c r="G92" s="7"/>
      <c r="H92" s="8"/>
      <c r="I92" s="3" t="s">
        <v>274</v>
      </c>
    </row>
    <row r="93" ht="34.5" customHeight="1" spans="1:9">
      <c r="A93" s="5"/>
      <c r="B93" s="5"/>
      <c r="C93" s="9" t="s">
        <v>275</v>
      </c>
      <c r="D93" s="9" t="s">
        <v>276</v>
      </c>
      <c r="E93" s="9" t="s">
        <v>277</v>
      </c>
      <c r="F93" s="10" t="s">
        <v>278</v>
      </c>
      <c r="G93" s="10" t="s">
        <v>279</v>
      </c>
      <c r="H93" s="10" t="s">
        <v>280</v>
      </c>
      <c r="I93" s="22">
        <f>销量!J8</f>
        <v>0</v>
      </c>
    </row>
    <row r="94" ht="24" customHeight="1" spans="1:9">
      <c r="A94" s="11" t="s">
        <v>281</v>
      </c>
      <c r="B94" s="11"/>
      <c r="C94" s="12"/>
      <c r="D94" s="13"/>
      <c r="E94" s="14">
        <f>I93*I94</f>
        <v>0</v>
      </c>
      <c r="F94" s="14"/>
      <c r="G94" s="14"/>
      <c r="H94" s="15">
        <v>0.0448</v>
      </c>
      <c r="I94" s="3">
        <v>0.0431</v>
      </c>
    </row>
    <row r="95" ht="24" customHeight="1" spans="1:9">
      <c r="A95" s="11" t="s">
        <v>282</v>
      </c>
      <c r="B95" s="11" t="s">
        <v>283</v>
      </c>
      <c r="C95" s="12"/>
      <c r="D95" s="13"/>
      <c r="E95" s="14">
        <f>$I$93*I95</f>
        <v>0</v>
      </c>
      <c r="F95" s="14"/>
      <c r="G95" s="14"/>
      <c r="H95" s="15">
        <v>0.0404</v>
      </c>
      <c r="I95" s="3">
        <v>0.041</v>
      </c>
    </row>
    <row r="96" ht="24" customHeight="1" spans="1:9">
      <c r="A96" s="11"/>
      <c r="B96" s="11" t="s">
        <v>284</v>
      </c>
      <c r="C96" s="12"/>
      <c r="D96" s="13"/>
      <c r="E96" s="14">
        <f t="shared" ref="E96:E101" si="7">$I$93*I96</f>
        <v>0</v>
      </c>
      <c r="F96" s="14"/>
      <c r="G96" s="14"/>
      <c r="H96" s="15">
        <v>0.0166</v>
      </c>
      <c r="I96" s="3">
        <v>0.0217</v>
      </c>
    </row>
    <row r="97" ht="24" customHeight="1" spans="1:9">
      <c r="A97" s="6" t="s">
        <v>285</v>
      </c>
      <c r="B97" s="8"/>
      <c r="C97" s="16"/>
      <c r="D97" s="17"/>
      <c r="E97" s="14">
        <f t="shared" si="7"/>
        <v>0</v>
      </c>
      <c r="F97" s="14"/>
      <c r="G97" s="14"/>
      <c r="H97" s="18">
        <f>SUM(H94:H96)</f>
        <v>0.1018</v>
      </c>
      <c r="I97" s="3">
        <f>SUM(I94:I96)</f>
        <v>0.1058</v>
      </c>
    </row>
    <row r="98" ht="24" customHeight="1" spans="1:9">
      <c r="A98" s="11" t="s">
        <v>87</v>
      </c>
      <c r="B98" s="11"/>
      <c r="C98" s="12"/>
      <c r="D98" s="13"/>
      <c r="E98" s="14">
        <f t="shared" si="7"/>
        <v>0</v>
      </c>
      <c r="F98" s="14"/>
      <c r="G98" s="14"/>
      <c r="H98" s="15">
        <f>1.97%+0.75%</f>
        <v>0.0272</v>
      </c>
      <c r="I98" s="3">
        <v>0.034</v>
      </c>
    </row>
    <row r="99" ht="24" customHeight="1" spans="1:9">
      <c r="A99" s="19" t="s">
        <v>286</v>
      </c>
      <c r="B99" s="11" t="s">
        <v>283</v>
      </c>
      <c r="C99" s="12"/>
      <c r="D99" s="13"/>
      <c r="E99" s="14">
        <f t="shared" si="7"/>
        <v>0</v>
      </c>
      <c r="F99" s="14"/>
      <c r="G99" s="14"/>
      <c r="H99" s="15">
        <v>0.0053</v>
      </c>
      <c r="I99" s="3">
        <v>0.007</v>
      </c>
    </row>
    <row r="100" ht="24" customHeight="1" spans="1:9">
      <c r="A100" s="20"/>
      <c r="B100" s="11" t="s">
        <v>284</v>
      </c>
      <c r="C100" s="12"/>
      <c r="D100" s="13"/>
      <c r="E100" s="14">
        <f t="shared" si="7"/>
        <v>0</v>
      </c>
      <c r="F100" s="14"/>
      <c r="G100" s="14"/>
      <c r="H100" s="15">
        <v>0.0341</v>
      </c>
      <c r="I100" s="3">
        <f>2.8%+1.6%</f>
        <v>0.044</v>
      </c>
    </row>
    <row r="101" ht="24" customHeight="1" spans="1:9">
      <c r="A101" s="11" t="s">
        <v>90</v>
      </c>
      <c r="B101" s="11"/>
      <c r="C101" s="12"/>
      <c r="D101" s="13"/>
      <c r="E101" s="14">
        <f t="shared" si="7"/>
        <v>0</v>
      </c>
      <c r="F101" s="14"/>
      <c r="G101" s="14"/>
      <c r="H101" s="15">
        <v>0.011</v>
      </c>
      <c r="I101" s="3">
        <v>0.03</v>
      </c>
    </row>
    <row r="104" s="1" customFormat="1" ht="18.75" customHeight="1" spans="7:9">
      <c r="G104" s="4" t="s">
        <v>270</v>
      </c>
      <c r="H104" s="4"/>
      <c r="I104" s="23" t="s">
        <v>293</v>
      </c>
    </row>
    <row r="105" ht="39" customHeight="1" spans="1:9">
      <c r="A105" s="5" t="s">
        <v>272</v>
      </c>
      <c r="B105" s="5"/>
      <c r="C105" s="6" t="s">
        <v>273</v>
      </c>
      <c r="D105" s="7"/>
      <c r="E105" s="7"/>
      <c r="F105" s="7"/>
      <c r="G105" s="7"/>
      <c r="H105" s="8"/>
      <c r="I105" s="3" t="s">
        <v>274</v>
      </c>
    </row>
    <row r="106" ht="34.5" customHeight="1" spans="1:9">
      <c r="A106" s="5"/>
      <c r="B106" s="5"/>
      <c r="C106" s="9" t="s">
        <v>275</v>
      </c>
      <c r="D106" s="9" t="s">
        <v>276</v>
      </c>
      <c r="E106" s="9" t="s">
        <v>277</v>
      </c>
      <c r="F106" s="10" t="s">
        <v>278</v>
      </c>
      <c r="G106" s="10" t="s">
        <v>279</v>
      </c>
      <c r="H106" s="10" t="s">
        <v>280</v>
      </c>
      <c r="I106" s="22">
        <f>销量!K8</f>
        <v>0</v>
      </c>
    </row>
    <row r="107" ht="24" customHeight="1" spans="1:9">
      <c r="A107" s="11" t="s">
        <v>281</v>
      </c>
      <c r="B107" s="11"/>
      <c r="C107" s="12"/>
      <c r="D107" s="13"/>
      <c r="E107" s="14">
        <f>I106*I107</f>
        <v>0</v>
      </c>
      <c r="F107" s="14"/>
      <c r="G107" s="14"/>
      <c r="H107" s="15">
        <v>0.0448</v>
      </c>
      <c r="I107" s="3">
        <v>0.0431</v>
      </c>
    </row>
    <row r="108" ht="24" customHeight="1" spans="1:9">
      <c r="A108" s="11" t="s">
        <v>282</v>
      </c>
      <c r="B108" s="11" t="s">
        <v>283</v>
      </c>
      <c r="C108" s="12"/>
      <c r="D108" s="13"/>
      <c r="E108" s="14">
        <f>$I$106*I108</f>
        <v>0</v>
      </c>
      <c r="F108" s="14"/>
      <c r="G108" s="14"/>
      <c r="H108" s="15">
        <v>0.0404</v>
      </c>
      <c r="I108" s="3">
        <v>0.041</v>
      </c>
    </row>
    <row r="109" ht="24" customHeight="1" spans="1:9">
      <c r="A109" s="11"/>
      <c r="B109" s="11" t="s">
        <v>284</v>
      </c>
      <c r="C109" s="12"/>
      <c r="D109" s="13"/>
      <c r="E109" s="14">
        <f t="shared" ref="E109:E114" si="8">$I$106*I109</f>
        <v>0</v>
      </c>
      <c r="F109" s="14"/>
      <c r="G109" s="14"/>
      <c r="H109" s="15">
        <v>0.0166</v>
      </c>
      <c r="I109" s="3">
        <v>0.0217</v>
      </c>
    </row>
    <row r="110" ht="24" customHeight="1" spans="1:9">
      <c r="A110" s="6" t="s">
        <v>285</v>
      </c>
      <c r="B110" s="8"/>
      <c r="C110" s="16"/>
      <c r="D110" s="17"/>
      <c r="E110" s="14">
        <f t="shared" si="8"/>
        <v>0</v>
      </c>
      <c r="F110" s="14"/>
      <c r="G110" s="14"/>
      <c r="H110" s="18">
        <f>SUM(H107:H109)</f>
        <v>0.1018</v>
      </c>
      <c r="I110" s="3">
        <f>SUM(I107:I109)</f>
        <v>0.1058</v>
      </c>
    </row>
    <row r="111" ht="24" customHeight="1" spans="1:9">
      <c r="A111" s="11" t="s">
        <v>87</v>
      </c>
      <c r="B111" s="11"/>
      <c r="C111" s="12"/>
      <c r="D111" s="13"/>
      <c r="E111" s="14">
        <f t="shared" si="8"/>
        <v>0</v>
      </c>
      <c r="F111" s="14"/>
      <c r="G111" s="14"/>
      <c r="H111" s="15">
        <f>1.97%+0.75%</f>
        <v>0.0272</v>
      </c>
      <c r="I111" s="3">
        <v>0.034</v>
      </c>
    </row>
    <row r="112" ht="24" customHeight="1" spans="1:9">
      <c r="A112" s="19" t="s">
        <v>286</v>
      </c>
      <c r="B112" s="11" t="s">
        <v>283</v>
      </c>
      <c r="C112" s="12"/>
      <c r="D112" s="13"/>
      <c r="E112" s="14">
        <f t="shared" si="8"/>
        <v>0</v>
      </c>
      <c r="F112" s="14"/>
      <c r="G112" s="14"/>
      <c r="H112" s="15">
        <v>0.0053</v>
      </c>
      <c r="I112" s="3">
        <v>0.007</v>
      </c>
    </row>
    <row r="113" ht="24" customHeight="1" spans="1:9">
      <c r="A113" s="20"/>
      <c r="B113" s="11" t="s">
        <v>284</v>
      </c>
      <c r="C113" s="12"/>
      <c r="D113" s="13"/>
      <c r="E113" s="14">
        <f t="shared" si="8"/>
        <v>0</v>
      </c>
      <c r="F113" s="14"/>
      <c r="G113" s="14"/>
      <c r="H113" s="15">
        <v>0.0341</v>
      </c>
      <c r="I113" s="3">
        <f>2.8%+1.6%</f>
        <v>0.044</v>
      </c>
    </row>
    <row r="114" ht="24" customHeight="1" spans="1:9">
      <c r="A114" s="11" t="s">
        <v>90</v>
      </c>
      <c r="B114" s="11"/>
      <c r="C114" s="12"/>
      <c r="D114" s="13"/>
      <c r="E114" s="14">
        <f t="shared" si="8"/>
        <v>0</v>
      </c>
      <c r="F114" s="14"/>
      <c r="G114" s="14"/>
      <c r="H114" s="15">
        <v>0.011</v>
      </c>
      <c r="I114" s="3">
        <v>0.03</v>
      </c>
    </row>
    <row r="117" s="1" customFormat="1" ht="18.75" customHeight="1" spans="7:9">
      <c r="G117" s="4" t="s">
        <v>270</v>
      </c>
      <c r="H117" s="4"/>
      <c r="I117" s="23" t="s">
        <v>294</v>
      </c>
    </row>
    <row r="118" ht="39" customHeight="1" spans="1:9">
      <c r="A118" s="5" t="s">
        <v>272</v>
      </c>
      <c r="B118" s="5"/>
      <c r="C118" s="6" t="s">
        <v>273</v>
      </c>
      <c r="D118" s="7"/>
      <c r="E118" s="7"/>
      <c r="F118" s="7"/>
      <c r="G118" s="7"/>
      <c r="H118" s="8"/>
      <c r="I118" s="3" t="s">
        <v>274</v>
      </c>
    </row>
    <row r="119" ht="34.5" customHeight="1" spans="1:9">
      <c r="A119" s="5"/>
      <c r="B119" s="5"/>
      <c r="C119" s="9" t="s">
        <v>275</v>
      </c>
      <c r="D119" s="9" t="s">
        <v>276</v>
      </c>
      <c r="E119" s="9" t="s">
        <v>277</v>
      </c>
      <c r="F119" s="10" t="s">
        <v>278</v>
      </c>
      <c r="G119" s="10" t="s">
        <v>279</v>
      </c>
      <c r="H119" s="10" t="s">
        <v>280</v>
      </c>
      <c r="I119" s="22">
        <f>销量!L8</f>
        <v>0</v>
      </c>
    </row>
    <row r="120" ht="24" customHeight="1" spans="1:9">
      <c r="A120" s="11" t="s">
        <v>281</v>
      </c>
      <c r="B120" s="11"/>
      <c r="C120" s="12"/>
      <c r="D120" s="13"/>
      <c r="E120" s="14">
        <f>I119*I120</f>
        <v>0</v>
      </c>
      <c r="F120" s="14"/>
      <c r="G120" s="14"/>
      <c r="H120" s="15">
        <v>0.0448</v>
      </c>
      <c r="I120" s="3">
        <v>0.0431</v>
      </c>
    </row>
    <row r="121" ht="24" customHeight="1" spans="1:9">
      <c r="A121" s="11" t="s">
        <v>282</v>
      </c>
      <c r="B121" s="11" t="s">
        <v>283</v>
      </c>
      <c r="C121" s="12"/>
      <c r="D121" s="13"/>
      <c r="E121" s="14">
        <f>$I$119*I121</f>
        <v>0</v>
      </c>
      <c r="F121" s="14"/>
      <c r="G121" s="14"/>
      <c r="H121" s="15">
        <v>0.0404</v>
      </c>
      <c r="I121" s="3">
        <v>0.041</v>
      </c>
    </row>
    <row r="122" ht="24" customHeight="1" spans="1:9">
      <c r="A122" s="11"/>
      <c r="B122" s="11" t="s">
        <v>284</v>
      </c>
      <c r="C122" s="12"/>
      <c r="D122" s="13"/>
      <c r="E122" s="14">
        <f t="shared" ref="E122:E127" si="9">$I$119*I122</f>
        <v>0</v>
      </c>
      <c r="F122" s="14"/>
      <c r="G122" s="14"/>
      <c r="H122" s="15">
        <v>0.0166</v>
      </c>
      <c r="I122" s="3">
        <v>0.0217</v>
      </c>
    </row>
    <row r="123" ht="24" customHeight="1" spans="1:9">
      <c r="A123" s="6" t="s">
        <v>285</v>
      </c>
      <c r="B123" s="8"/>
      <c r="C123" s="16"/>
      <c r="D123" s="17"/>
      <c r="E123" s="14">
        <f t="shared" si="9"/>
        <v>0</v>
      </c>
      <c r="F123" s="14"/>
      <c r="G123" s="14"/>
      <c r="H123" s="18">
        <f>SUM(H120:H122)</f>
        <v>0.1018</v>
      </c>
      <c r="I123" s="3">
        <f>SUM(I120:I122)</f>
        <v>0.1058</v>
      </c>
    </row>
    <row r="124" ht="24" customHeight="1" spans="1:9">
      <c r="A124" s="11" t="s">
        <v>87</v>
      </c>
      <c r="B124" s="11"/>
      <c r="C124" s="12"/>
      <c r="D124" s="13"/>
      <c r="E124" s="14">
        <f t="shared" si="9"/>
        <v>0</v>
      </c>
      <c r="F124" s="14"/>
      <c r="G124" s="14"/>
      <c r="H124" s="15">
        <f>1.97%+0.75%</f>
        <v>0.0272</v>
      </c>
      <c r="I124" s="3">
        <v>0.034</v>
      </c>
    </row>
    <row r="125" ht="24" customHeight="1" spans="1:9">
      <c r="A125" s="19" t="s">
        <v>286</v>
      </c>
      <c r="B125" s="11" t="s">
        <v>283</v>
      </c>
      <c r="C125" s="12"/>
      <c r="D125" s="13"/>
      <c r="E125" s="14">
        <f t="shared" si="9"/>
        <v>0</v>
      </c>
      <c r="F125" s="14"/>
      <c r="G125" s="14"/>
      <c r="H125" s="15">
        <v>0.0053</v>
      </c>
      <c r="I125" s="3">
        <v>0.007</v>
      </c>
    </row>
    <row r="126" ht="24" customHeight="1" spans="1:9">
      <c r="A126" s="20"/>
      <c r="B126" s="11" t="s">
        <v>284</v>
      </c>
      <c r="C126" s="12"/>
      <c r="D126" s="13"/>
      <c r="E126" s="14">
        <f t="shared" si="9"/>
        <v>0</v>
      </c>
      <c r="F126" s="14"/>
      <c r="G126" s="14"/>
      <c r="H126" s="15">
        <v>0.0341</v>
      </c>
      <c r="I126" s="3">
        <f>2.8%+1.6%</f>
        <v>0.044</v>
      </c>
    </row>
    <row r="127" ht="24" customHeight="1" spans="1:9">
      <c r="A127" s="11" t="s">
        <v>90</v>
      </c>
      <c r="B127" s="11"/>
      <c r="C127" s="12"/>
      <c r="D127" s="13"/>
      <c r="E127" s="14">
        <f t="shared" si="9"/>
        <v>0</v>
      </c>
      <c r="F127" s="14"/>
      <c r="G127" s="14"/>
      <c r="H127" s="15">
        <v>0.011</v>
      </c>
      <c r="I127" s="3">
        <v>0.03</v>
      </c>
    </row>
  </sheetData>
  <mergeCells count="90">
    <mergeCell ref="G1:H1"/>
    <mergeCell ref="C2:H2"/>
    <mergeCell ref="A4:B4"/>
    <mergeCell ref="A7:B7"/>
    <mergeCell ref="A8:B8"/>
    <mergeCell ref="A11:B11"/>
    <mergeCell ref="G13:H13"/>
    <mergeCell ref="C14:H14"/>
    <mergeCell ref="A16:B16"/>
    <mergeCell ref="A19:B19"/>
    <mergeCell ref="A20:B20"/>
    <mergeCell ref="A23:B23"/>
    <mergeCell ref="G26:H26"/>
    <mergeCell ref="C27:H27"/>
    <mergeCell ref="A29:B29"/>
    <mergeCell ref="A32:B32"/>
    <mergeCell ref="A33:B33"/>
    <mergeCell ref="A36:B36"/>
    <mergeCell ref="G39:H39"/>
    <mergeCell ref="C40:H40"/>
    <mergeCell ref="A42:B42"/>
    <mergeCell ref="A45:B45"/>
    <mergeCell ref="A46:B46"/>
    <mergeCell ref="A49:B49"/>
    <mergeCell ref="G52:H52"/>
    <mergeCell ref="C53:H53"/>
    <mergeCell ref="A55:B55"/>
    <mergeCell ref="A58:B58"/>
    <mergeCell ref="A59:B59"/>
    <mergeCell ref="A62:B62"/>
    <mergeCell ref="G65:H65"/>
    <mergeCell ref="C66:H66"/>
    <mergeCell ref="A68:B68"/>
    <mergeCell ref="A71:B71"/>
    <mergeCell ref="A72:B72"/>
    <mergeCell ref="A75:B75"/>
    <mergeCell ref="G78:H78"/>
    <mergeCell ref="C79:H79"/>
    <mergeCell ref="A81:B81"/>
    <mergeCell ref="A84:B84"/>
    <mergeCell ref="A85:B85"/>
    <mergeCell ref="A88:B88"/>
    <mergeCell ref="G91:H91"/>
    <mergeCell ref="C92:H92"/>
    <mergeCell ref="A94:B94"/>
    <mergeCell ref="A97:B97"/>
    <mergeCell ref="A98:B98"/>
    <mergeCell ref="A101:B101"/>
    <mergeCell ref="G104:H104"/>
    <mergeCell ref="C105:H105"/>
    <mergeCell ref="A107:B107"/>
    <mergeCell ref="A110:B110"/>
    <mergeCell ref="A111:B111"/>
    <mergeCell ref="A114:B114"/>
    <mergeCell ref="G117:H117"/>
    <mergeCell ref="C118:H118"/>
    <mergeCell ref="A120:B120"/>
    <mergeCell ref="A123:B123"/>
    <mergeCell ref="A124:B124"/>
    <mergeCell ref="A127:B127"/>
    <mergeCell ref="A5:A6"/>
    <mergeCell ref="A9:A10"/>
    <mergeCell ref="A17:A18"/>
    <mergeCell ref="A21:A22"/>
    <mergeCell ref="A30:A31"/>
    <mergeCell ref="A34:A35"/>
    <mergeCell ref="A43:A44"/>
    <mergeCell ref="A47:A48"/>
    <mergeCell ref="A56:A57"/>
    <mergeCell ref="A60:A61"/>
    <mergeCell ref="A69:A70"/>
    <mergeCell ref="A73:A74"/>
    <mergeCell ref="A82:A83"/>
    <mergeCell ref="A86:A87"/>
    <mergeCell ref="A95:A96"/>
    <mergeCell ref="A99:A100"/>
    <mergeCell ref="A108:A109"/>
    <mergeCell ref="A112:A113"/>
    <mergeCell ref="A121:A122"/>
    <mergeCell ref="A125:A126"/>
    <mergeCell ref="A2:B3"/>
    <mergeCell ref="A14:B15"/>
    <mergeCell ref="A27:B28"/>
    <mergeCell ref="A40:B41"/>
    <mergeCell ref="A53:B54"/>
    <mergeCell ref="A66:B67"/>
    <mergeCell ref="A79:B80"/>
    <mergeCell ref="A92:B93"/>
    <mergeCell ref="A105:B106"/>
    <mergeCell ref="A118:B11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B11" sqref="B11:B15"/>
    </sheetView>
  </sheetViews>
  <sheetFormatPr defaultColWidth="9.12727272727273" defaultRowHeight="19.9" customHeight="1"/>
  <cols>
    <col min="1" max="1" width="8" style="201" customWidth="1"/>
    <col min="2" max="2" width="28.5" style="201" customWidth="1"/>
    <col min="3" max="4" width="9.12727272727273" style="201"/>
    <col min="5" max="5" width="13.8727272727273" style="201" customWidth="1"/>
    <col min="6" max="12" width="16.1272727272727" style="201" customWidth="1"/>
    <col min="13" max="13" width="10.6272727272727" style="201" customWidth="1"/>
    <col min="14" max="254" width="9.12727272727273" style="201"/>
    <col min="255" max="255" width="8" style="201" customWidth="1"/>
    <col min="256" max="256" width="28.5" style="201" customWidth="1"/>
    <col min="257" max="268" width="9.12727272727273" style="201"/>
    <col min="269" max="269" width="10.6272727272727" style="201" customWidth="1"/>
    <col min="270" max="510" width="9.12727272727273" style="201"/>
    <col min="511" max="511" width="8" style="201" customWidth="1"/>
    <col min="512" max="512" width="28.5" style="201" customWidth="1"/>
    <col min="513" max="524" width="9.12727272727273" style="201"/>
    <col min="525" max="525" width="10.6272727272727" style="201" customWidth="1"/>
    <col min="526" max="766" width="9.12727272727273" style="201"/>
    <col min="767" max="767" width="8" style="201" customWidth="1"/>
    <col min="768" max="768" width="28.5" style="201" customWidth="1"/>
    <col min="769" max="780" width="9.12727272727273" style="201"/>
    <col min="781" max="781" width="10.6272727272727" style="201" customWidth="1"/>
    <col min="782" max="1022" width="9.12727272727273" style="201"/>
    <col min="1023" max="1023" width="8" style="201" customWidth="1"/>
    <col min="1024" max="1024" width="28.5" style="201" customWidth="1"/>
    <col min="1025" max="1036" width="9.12727272727273" style="201"/>
    <col min="1037" max="1037" width="10.6272727272727" style="201" customWidth="1"/>
    <col min="1038" max="1278" width="9.12727272727273" style="201"/>
    <col min="1279" max="1279" width="8" style="201" customWidth="1"/>
    <col min="1280" max="1280" width="28.5" style="201" customWidth="1"/>
    <col min="1281" max="1292" width="9.12727272727273" style="201"/>
    <col min="1293" max="1293" width="10.6272727272727" style="201" customWidth="1"/>
    <col min="1294" max="1534" width="9.12727272727273" style="201"/>
    <col min="1535" max="1535" width="8" style="201" customWidth="1"/>
    <col min="1536" max="1536" width="28.5" style="201" customWidth="1"/>
    <col min="1537" max="1548" width="9.12727272727273" style="201"/>
    <col min="1549" max="1549" width="10.6272727272727" style="201" customWidth="1"/>
    <col min="1550" max="1790" width="9.12727272727273" style="201"/>
    <col min="1791" max="1791" width="8" style="201" customWidth="1"/>
    <col min="1792" max="1792" width="28.5" style="201" customWidth="1"/>
    <col min="1793" max="1804" width="9.12727272727273" style="201"/>
    <col min="1805" max="1805" width="10.6272727272727" style="201" customWidth="1"/>
    <col min="1806" max="2046" width="9.12727272727273" style="201"/>
    <col min="2047" max="2047" width="8" style="201" customWidth="1"/>
    <col min="2048" max="2048" width="28.5" style="201" customWidth="1"/>
    <col min="2049" max="2060" width="9.12727272727273" style="201"/>
    <col min="2061" max="2061" width="10.6272727272727" style="201" customWidth="1"/>
    <col min="2062" max="2302" width="9.12727272727273" style="201"/>
    <col min="2303" max="2303" width="8" style="201" customWidth="1"/>
    <col min="2304" max="2304" width="28.5" style="201" customWidth="1"/>
    <col min="2305" max="2316" width="9.12727272727273" style="201"/>
    <col min="2317" max="2317" width="10.6272727272727" style="201" customWidth="1"/>
    <col min="2318" max="2558" width="9.12727272727273" style="201"/>
    <col min="2559" max="2559" width="8" style="201" customWidth="1"/>
    <col min="2560" max="2560" width="28.5" style="201" customWidth="1"/>
    <col min="2561" max="2572" width="9.12727272727273" style="201"/>
    <col min="2573" max="2573" width="10.6272727272727" style="201" customWidth="1"/>
    <col min="2574" max="2814" width="9.12727272727273" style="201"/>
    <col min="2815" max="2815" width="8" style="201" customWidth="1"/>
    <col min="2816" max="2816" width="28.5" style="201" customWidth="1"/>
    <col min="2817" max="2828" width="9.12727272727273" style="201"/>
    <col min="2829" max="2829" width="10.6272727272727" style="201" customWidth="1"/>
    <col min="2830" max="3070" width="9.12727272727273" style="201"/>
    <col min="3071" max="3071" width="8" style="201" customWidth="1"/>
    <col min="3072" max="3072" width="28.5" style="201" customWidth="1"/>
    <col min="3073" max="3084" width="9.12727272727273" style="201"/>
    <col min="3085" max="3085" width="10.6272727272727" style="201" customWidth="1"/>
    <col min="3086" max="3326" width="9.12727272727273" style="201"/>
    <col min="3327" max="3327" width="8" style="201" customWidth="1"/>
    <col min="3328" max="3328" width="28.5" style="201" customWidth="1"/>
    <col min="3329" max="3340" width="9.12727272727273" style="201"/>
    <col min="3341" max="3341" width="10.6272727272727" style="201" customWidth="1"/>
    <col min="3342" max="3582" width="9.12727272727273" style="201"/>
    <col min="3583" max="3583" width="8" style="201" customWidth="1"/>
    <col min="3584" max="3584" width="28.5" style="201" customWidth="1"/>
    <col min="3585" max="3596" width="9.12727272727273" style="201"/>
    <col min="3597" max="3597" width="10.6272727272727" style="201" customWidth="1"/>
    <col min="3598" max="3838" width="9.12727272727273" style="201"/>
    <col min="3839" max="3839" width="8" style="201" customWidth="1"/>
    <col min="3840" max="3840" width="28.5" style="201" customWidth="1"/>
    <col min="3841" max="3852" width="9.12727272727273" style="201"/>
    <col min="3853" max="3853" width="10.6272727272727" style="201" customWidth="1"/>
    <col min="3854" max="4094" width="9.12727272727273" style="201"/>
    <col min="4095" max="4095" width="8" style="201" customWidth="1"/>
    <col min="4096" max="4096" width="28.5" style="201" customWidth="1"/>
    <col min="4097" max="4108" width="9.12727272727273" style="201"/>
    <col min="4109" max="4109" width="10.6272727272727" style="201" customWidth="1"/>
    <col min="4110" max="4350" width="9.12727272727273" style="201"/>
    <col min="4351" max="4351" width="8" style="201" customWidth="1"/>
    <col min="4352" max="4352" width="28.5" style="201" customWidth="1"/>
    <col min="4353" max="4364" width="9.12727272727273" style="201"/>
    <col min="4365" max="4365" width="10.6272727272727" style="201" customWidth="1"/>
    <col min="4366" max="4606" width="9.12727272727273" style="201"/>
    <col min="4607" max="4607" width="8" style="201" customWidth="1"/>
    <col min="4608" max="4608" width="28.5" style="201" customWidth="1"/>
    <col min="4609" max="4620" width="9.12727272727273" style="201"/>
    <col min="4621" max="4621" width="10.6272727272727" style="201" customWidth="1"/>
    <col min="4622" max="4862" width="9.12727272727273" style="201"/>
    <col min="4863" max="4863" width="8" style="201" customWidth="1"/>
    <col min="4864" max="4864" width="28.5" style="201" customWidth="1"/>
    <col min="4865" max="4876" width="9.12727272727273" style="201"/>
    <col min="4877" max="4877" width="10.6272727272727" style="201" customWidth="1"/>
    <col min="4878" max="5118" width="9.12727272727273" style="201"/>
    <col min="5119" max="5119" width="8" style="201" customWidth="1"/>
    <col min="5120" max="5120" width="28.5" style="201" customWidth="1"/>
    <col min="5121" max="5132" width="9.12727272727273" style="201"/>
    <col min="5133" max="5133" width="10.6272727272727" style="201" customWidth="1"/>
    <col min="5134" max="5374" width="9.12727272727273" style="201"/>
    <col min="5375" max="5375" width="8" style="201" customWidth="1"/>
    <col min="5376" max="5376" width="28.5" style="201" customWidth="1"/>
    <col min="5377" max="5388" width="9.12727272727273" style="201"/>
    <col min="5389" max="5389" width="10.6272727272727" style="201" customWidth="1"/>
    <col min="5390" max="5630" width="9.12727272727273" style="201"/>
    <col min="5631" max="5631" width="8" style="201" customWidth="1"/>
    <col min="5632" max="5632" width="28.5" style="201" customWidth="1"/>
    <col min="5633" max="5644" width="9.12727272727273" style="201"/>
    <col min="5645" max="5645" width="10.6272727272727" style="201" customWidth="1"/>
    <col min="5646" max="5886" width="9.12727272727273" style="201"/>
    <col min="5887" max="5887" width="8" style="201" customWidth="1"/>
    <col min="5888" max="5888" width="28.5" style="201" customWidth="1"/>
    <col min="5889" max="5900" width="9.12727272727273" style="201"/>
    <col min="5901" max="5901" width="10.6272727272727" style="201" customWidth="1"/>
    <col min="5902" max="6142" width="9.12727272727273" style="201"/>
    <col min="6143" max="6143" width="8" style="201" customWidth="1"/>
    <col min="6144" max="6144" width="28.5" style="201" customWidth="1"/>
    <col min="6145" max="6156" width="9.12727272727273" style="201"/>
    <col min="6157" max="6157" width="10.6272727272727" style="201" customWidth="1"/>
    <col min="6158" max="6398" width="9.12727272727273" style="201"/>
    <col min="6399" max="6399" width="8" style="201" customWidth="1"/>
    <col min="6400" max="6400" width="28.5" style="201" customWidth="1"/>
    <col min="6401" max="6412" width="9.12727272727273" style="201"/>
    <col min="6413" max="6413" width="10.6272727272727" style="201" customWidth="1"/>
    <col min="6414" max="6654" width="9.12727272727273" style="201"/>
    <col min="6655" max="6655" width="8" style="201" customWidth="1"/>
    <col min="6656" max="6656" width="28.5" style="201" customWidth="1"/>
    <col min="6657" max="6668" width="9.12727272727273" style="201"/>
    <col min="6669" max="6669" width="10.6272727272727" style="201" customWidth="1"/>
    <col min="6670" max="6910" width="9.12727272727273" style="201"/>
    <col min="6911" max="6911" width="8" style="201" customWidth="1"/>
    <col min="6912" max="6912" width="28.5" style="201" customWidth="1"/>
    <col min="6913" max="6924" width="9.12727272727273" style="201"/>
    <col min="6925" max="6925" width="10.6272727272727" style="201" customWidth="1"/>
    <col min="6926" max="7166" width="9.12727272727273" style="201"/>
    <col min="7167" max="7167" width="8" style="201" customWidth="1"/>
    <col min="7168" max="7168" width="28.5" style="201" customWidth="1"/>
    <col min="7169" max="7180" width="9.12727272727273" style="201"/>
    <col min="7181" max="7181" width="10.6272727272727" style="201" customWidth="1"/>
    <col min="7182" max="7422" width="9.12727272727273" style="201"/>
    <col min="7423" max="7423" width="8" style="201" customWidth="1"/>
    <col min="7424" max="7424" width="28.5" style="201" customWidth="1"/>
    <col min="7425" max="7436" width="9.12727272727273" style="201"/>
    <col min="7437" max="7437" width="10.6272727272727" style="201" customWidth="1"/>
    <col min="7438" max="7678" width="9.12727272727273" style="201"/>
    <col min="7679" max="7679" width="8" style="201" customWidth="1"/>
    <col min="7680" max="7680" width="28.5" style="201" customWidth="1"/>
    <col min="7681" max="7692" width="9.12727272727273" style="201"/>
    <col min="7693" max="7693" width="10.6272727272727" style="201" customWidth="1"/>
    <col min="7694" max="7934" width="9.12727272727273" style="201"/>
    <col min="7935" max="7935" width="8" style="201" customWidth="1"/>
    <col min="7936" max="7936" width="28.5" style="201" customWidth="1"/>
    <col min="7937" max="7948" width="9.12727272727273" style="201"/>
    <col min="7949" max="7949" width="10.6272727272727" style="201" customWidth="1"/>
    <col min="7950" max="8190" width="9.12727272727273" style="201"/>
    <col min="8191" max="8191" width="8" style="201" customWidth="1"/>
    <col min="8192" max="8192" width="28.5" style="201" customWidth="1"/>
    <col min="8193" max="8204" width="9.12727272727273" style="201"/>
    <col min="8205" max="8205" width="10.6272727272727" style="201" customWidth="1"/>
    <col min="8206" max="8446" width="9.12727272727273" style="201"/>
    <col min="8447" max="8447" width="8" style="201" customWidth="1"/>
    <col min="8448" max="8448" width="28.5" style="201" customWidth="1"/>
    <col min="8449" max="8460" width="9.12727272727273" style="201"/>
    <col min="8461" max="8461" width="10.6272727272727" style="201" customWidth="1"/>
    <col min="8462" max="8702" width="9.12727272727273" style="201"/>
    <col min="8703" max="8703" width="8" style="201" customWidth="1"/>
    <col min="8704" max="8704" width="28.5" style="201" customWidth="1"/>
    <col min="8705" max="8716" width="9.12727272727273" style="201"/>
    <col min="8717" max="8717" width="10.6272727272727" style="201" customWidth="1"/>
    <col min="8718" max="8958" width="9.12727272727273" style="201"/>
    <col min="8959" max="8959" width="8" style="201" customWidth="1"/>
    <col min="8960" max="8960" width="28.5" style="201" customWidth="1"/>
    <col min="8961" max="8972" width="9.12727272727273" style="201"/>
    <col min="8973" max="8973" width="10.6272727272727" style="201" customWidth="1"/>
    <col min="8974" max="9214" width="9.12727272727273" style="201"/>
    <col min="9215" max="9215" width="8" style="201" customWidth="1"/>
    <col min="9216" max="9216" width="28.5" style="201" customWidth="1"/>
    <col min="9217" max="9228" width="9.12727272727273" style="201"/>
    <col min="9229" max="9229" width="10.6272727272727" style="201" customWidth="1"/>
    <col min="9230" max="9470" width="9.12727272727273" style="201"/>
    <col min="9471" max="9471" width="8" style="201" customWidth="1"/>
    <col min="9472" max="9472" width="28.5" style="201" customWidth="1"/>
    <col min="9473" max="9484" width="9.12727272727273" style="201"/>
    <col min="9485" max="9485" width="10.6272727272727" style="201" customWidth="1"/>
    <col min="9486" max="9726" width="9.12727272727273" style="201"/>
    <col min="9727" max="9727" width="8" style="201" customWidth="1"/>
    <col min="9728" max="9728" width="28.5" style="201" customWidth="1"/>
    <col min="9729" max="9740" width="9.12727272727273" style="201"/>
    <col min="9741" max="9741" width="10.6272727272727" style="201" customWidth="1"/>
    <col min="9742" max="9982" width="9.12727272727273" style="201"/>
    <col min="9983" max="9983" width="8" style="201" customWidth="1"/>
    <col min="9984" max="9984" width="28.5" style="201" customWidth="1"/>
    <col min="9985" max="9996" width="9.12727272727273" style="201"/>
    <col min="9997" max="9997" width="10.6272727272727" style="201" customWidth="1"/>
    <col min="9998" max="10238" width="9.12727272727273" style="201"/>
    <col min="10239" max="10239" width="8" style="201" customWidth="1"/>
    <col min="10240" max="10240" width="28.5" style="201" customWidth="1"/>
    <col min="10241" max="10252" width="9.12727272727273" style="201"/>
    <col min="10253" max="10253" width="10.6272727272727" style="201" customWidth="1"/>
    <col min="10254" max="10494" width="9.12727272727273" style="201"/>
    <col min="10495" max="10495" width="8" style="201" customWidth="1"/>
    <col min="10496" max="10496" width="28.5" style="201" customWidth="1"/>
    <col min="10497" max="10508" width="9.12727272727273" style="201"/>
    <col min="10509" max="10509" width="10.6272727272727" style="201" customWidth="1"/>
    <col min="10510" max="10750" width="9.12727272727273" style="201"/>
    <col min="10751" max="10751" width="8" style="201" customWidth="1"/>
    <col min="10752" max="10752" width="28.5" style="201" customWidth="1"/>
    <col min="10753" max="10764" width="9.12727272727273" style="201"/>
    <col min="10765" max="10765" width="10.6272727272727" style="201" customWidth="1"/>
    <col min="10766" max="11006" width="9.12727272727273" style="201"/>
    <col min="11007" max="11007" width="8" style="201" customWidth="1"/>
    <col min="11008" max="11008" width="28.5" style="201" customWidth="1"/>
    <col min="11009" max="11020" width="9.12727272727273" style="201"/>
    <col min="11021" max="11021" width="10.6272727272727" style="201" customWidth="1"/>
    <col min="11022" max="11262" width="9.12727272727273" style="201"/>
    <col min="11263" max="11263" width="8" style="201" customWidth="1"/>
    <col min="11264" max="11264" width="28.5" style="201" customWidth="1"/>
    <col min="11265" max="11276" width="9.12727272727273" style="201"/>
    <col min="11277" max="11277" width="10.6272727272727" style="201" customWidth="1"/>
    <col min="11278" max="11518" width="9.12727272727273" style="201"/>
    <col min="11519" max="11519" width="8" style="201" customWidth="1"/>
    <col min="11520" max="11520" width="28.5" style="201" customWidth="1"/>
    <col min="11521" max="11532" width="9.12727272727273" style="201"/>
    <col min="11533" max="11533" width="10.6272727272727" style="201" customWidth="1"/>
    <col min="11534" max="11774" width="9.12727272727273" style="201"/>
    <col min="11775" max="11775" width="8" style="201" customWidth="1"/>
    <col min="11776" max="11776" width="28.5" style="201" customWidth="1"/>
    <col min="11777" max="11788" width="9.12727272727273" style="201"/>
    <col min="11789" max="11789" width="10.6272727272727" style="201" customWidth="1"/>
    <col min="11790" max="12030" width="9.12727272727273" style="201"/>
    <col min="12031" max="12031" width="8" style="201" customWidth="1"/>
    <col min="12032" max="12032" width="28.5" style="201" customWidth="1"/>
    <col min="12033" max="12044" width="9.12727272727273" style="201"/>
    <col min="12045" max="12045" width="10.6272727272727" style="201" customWidth="1"/>
    <col min="12046" max="12286" width="9.12727272727273" style="201"/>
    <col min="12287" max="12287" width="8" style="201" customWidth="1"/>
    <col min="12288" max="12288" width="28.5" style="201" customWidth="1"/>
    <col min="12289" max="12300" width="9.12727272727273" style="201"/>
    <col min="12301" max="12301" width="10.6272727272727" style="201" customWidth="1"/>
    <col min="12302" max="12542" width="9.12727272727273" style="201"/>
    <col min="12543" max="12543" width="8" style="201" customWidth="1"/>
    <col min="12544" max="12544" width="28.5" style="201" customWidth="1"/>
    <col min="12545" max="12556" width="9.12727272727273" style="201"/>
    <col min="12557" max="12557" width="10.6272727272727" style="201" customWidth="1"/>
    <col min="12558" max="12798" width="9.12727272727273" style="201"/>
    <col min="12799" max="12799" width="8" style="201" customWidth="1"/>
    <col min="12800" max="12800" width="28.5" style="201" customWidth="1"/>
    <col min="12801" max="12812" width="9.12727272727273" style="201"/>
    <col min="12813" max="12813" width="10.6272727272727" style="201" customWidth="1"/>
    <col min="12814" max="13054" width="9.12727272727273" style="201"/>
    <col min="13055" max="13055" width="8" style="201" customWidth="1"/>
    <col min="13056" max="13056" width="28.5" style="201" customWidth="1"/>
    <col min="13057" max="13068" width="9.12727272727273" style="201"/>
    <col min="13069" max="13069" width="10.6272727272727" style="201" customWidth="1"/>
    <col min="13070" max="13310" width="9.12727272727273" style="201"/>
    <col min="13311" max="13311" width="8" style="201" customWidth="1"/>
    <col min="13312" max="13312" width="28.5" style="201" customWidth="1"/>
    <col min="13313" max="13324" width="9.12727272727273" style="201"/>
    <col min="13325" max="13325" width="10.6272727272727" style="201" customWidth="1"/>
    <col min="13326" max="13566" width="9.12727272727273" style="201"/>
    <col min="13567" max="13567" width="8" style="201" customWidth="1"/>
    <col min="13568" max="13568" width="28.5" style="201" customWidth="1"/>
    <col min="13569" max="13580" width="9.12727272727273" style="201"/>
    <col min="13581" max="13581" width="10.6272727272727" style="201" customWidth="1"/>
    <col min="13582" max="13822" width="9.12727272727273" style="201"/>
    <col min="13823" max="13823" width="8" style="201" customWidth="1"/>
    <col min="13824" max="13824" width="28.5" style="201" customWidth="1"/>
    <col min="13825" max="13836" width="9.12727272727273" style="201"/>
    <col min="13837" max="13837" width="10.6272727272727" style="201" customWidth="1"/>
    <col min="13838" max="14078" width="9.12727272727273" style="201"/>
    <col min="14079" max="14079" width="8" style="201" customWidth="1"/>
    <col min="14080" max="14080" width="28.5" style="201" customWidth="1"/>
    <col min="14081" max="14092" width="9.12727272727273" style="201"/>
    <col min="14093" max="14093" width="10.6272727272727" style="201" customWidth="1"/>
    <col min="14094" max="14334" width="9.12727272727273" style="201"/>
    <col min="14335" max="14335" width="8" style="201" customWidth="1"/>
    <col min="14336" max="14336" width="28.5" style="201" customWidth="1"/>
    <col min="14337" max="14348" width="9.12727272727273" style="201"/>
    <col min="14349" max="14349" width="10.6272727272727" style="201" customWidth="1"/>
    <col min="14350" max="14590" width="9.12727272727273" style="201"/>
    <col min="14591" max="14591" width="8" style="201" customWidth="1"/>
    <col min="14592" max="14592" width="28.5" style="201" customWidth="1"/>
    <col min="14593" max="14604" width="9.12727272727273" style="201"/>
    <col min="14605" max="14605" width="10.6272727272727" style="201" customWidth="1"/>
    <col min="14606" max="14846" width="9.12727272727273" style="201"/>
    <col min="14847" max="14847" width="8" style="201" customWidth="1"/>
    <col min="14848" max="14848" width="28.5" style="201" customWidth="1"/>
    <col min="14849" max="14860" width="9.12727272727273" style="201"/>
    <col min="14861" max="14861" width="10.6272727272727" style="201" customWidth="1"/>
    <col min="14862" max="15102" width="9.12727272727273" style="201"/>
    <col min="15103" max="15103" width="8" style="201" customWidth="1"/>
    <col min="15104" max="15104" width="28.5" style="201" customWidth="1"/>
    <col min="15105" max="15116" width="9.12727272727273" style="201"/>
    <col min="15117" max="15117" width="10.6272727272727" style="201" customWidth="1"/>
    <col min="15118" max="15358" width="9.12727272727273" style="201"/>
    <col min="15359" max="15359" width="8" style="201" customWidth="1"/>
    <col min="15360" max="15360" width="28.5" style="201" customWidth="1"/>
    <col min="15361" max="15372" width="9.12727272727273" style="201"/>
    <col min="15373" max="15373" width="10.6272727272727" style="201" customWidth="1"/>
    <col min="15374" max="15614" width="9.12727272727273" style="201"/>
    <col min="15615" max="15615" width="8" style="201" customWidth="1"/>
    <col min="15616" max="15616" width="28.5" style="201" customWidth="1"/>
    <col min="15617" max="15628" width="9.12727272727273" style="201"/>
    <col min="15629" max="15629" width="10.6272727272727" style="201" customWidth="1"/>
    <col min="15630" max="15870" width="9.12727272727273" style="201"/>
    <col min="15871" max="15871" width="8" style="201" customWidth="1"/>
    <col min="15872" max="15872" width="28.5" style="201" customWidth="1"/>
    <col min="15873" max="15884" width="9.12727272727273" style="201"/>
    <col min="15885" max="15885" width="10.6272727272727" style="201" customWidth="1"/>
    <col min="15886" max="16126" width="9.12727272727273" style="201"/>
    <col min="16127" max="16127" width="8" style="201" customWidth="1"/>
    <col min="16128" max="16128" width="28.5" style="201" customWidth="1"/>
    <col min="16129" max="16140" width="9.12727272727273" style="201"/>
    <col min="16141" max="16141" width="10.6272727272727" style="201" customWidth="1"/>
    <col min="16142" max="16384" width="9.12727272727273" style="201"/>
  </cols>
  <sheetData>
    <row r="1" ht="17.5" spans="1:13">
      <c r="A1" s="202" t="s">
        <v>19</v>
      </c>
      <c r="B1" s="203"/>
      <c r="C1" s="204"/>
      <c r="D1" s="204"/>
      <c r="E1" s="203"/>
      <c r="F1" s="204"/>
      <c r="G1" s="204"/>
      <c r="H1" s="203"/>
      <c r="I1" s="204"/>
      <c r="J1" s="204"/>
      <c r="K1" s="204"/>
      <c r="L1" s="204"/>
      <c r="M1" s="204"/>
    </row>
    <row r="2" ht="14" spans="1:2">
      <c r="A2" s="201" t="s">
        <v>20</v>
      </c>
      <c r="B2" s="205"/>
    </row>
    <row r="3" ht="16.9" customHeight="1" spans="1:13">
      <c r="A3" s="206" t="s">
        <v>21</v>
      </c>
      <c r="B3" s="206" t="s">
        <v>22</v>
      </c>
      <c r="C3" s="207" t="s">
        <v>23</v>
      </c>
      <c r="D3" s="207"/>
      <c r="E3" s="207"/>
      <c r="F3" s="208"/>
      <c r="G3" s="209"/>
      <c r="H3" s="210"/>
      <c r="I3" s="210"/>
      <c r="J3" s="210" t="s">
        <v>24</v>
      </c>
      <c r="K3" s="210"/>
      <c r="L3" s="210"/>
      <c r="M3" s="231"/>
    </row>
    <row r="4" ht="16.15" customHeight="1" spans="1:13">
      <c r="A4" s="211"/>
      <c r="B4" s="211" t="s">
        <v>25</v>
      </c>
      <c r="C4" s="207">
        <v>2017</v>
      </c>
      <c r="D4" s="207">
        <f t="shared" ref="D4:L4" si="0">C4+1</f>
        <v>2018</v>
      </c>
      <c r="E4" s="207">
        <f t="shared" si="0"/>
        <v>2019</v>
      </c>
      <c r="F4" s="207">
        <f t="shared" si="0"/>
        <v>2020</v>
      </c>
      <c r="G4" s="207">
        <f t="shared" si="0"/>
        <v>2021</v>
      </c>
      <c r="H4" s="212">
        <f t="shared" si="0"/>
        <v>2022</v>
      </c>
      <c r="I4" s="212">
        <f t="shared" si="0"/>
        <v>2023</v>
      </c>
      <c r="J4" s="212">
        <f t="shared" si="0"/>
        <v>2024</v>
      </c>
      <c r="K4" s="212">
        <f t="shared" si="0"/>
        <v>2025</v>
      </c>
      <c r="L4" s="212">
        <f t="shared" si="0"/>
        <v>2026</v>
      </c>
      <c r="M4" s="232" t="s">
        <v>26</v>
      </c>
    </row>
    <row r="5" ht="15.6" customHeight="1" spans="1:13">
      <c r="A5" s="213">
        <v>1</v>
      </c>
      <c r="B5" s="214" t="s">
        <v>27</v>
      </c>
      <c r="C5" s="215">
        <f>SUM(C6:C9)</f>
        <v>0</v>
      </c>
      <c r="D5" s="215">
        <f t="shared" ref="D5:L5" si="1">SUM(D6:D9)</f>
        <v>0</v>
      </c>
      <c r="E5" s="215" t="e">
        <f t="shared" si="1"/>
        <v>#REF!</v>
      </c>
      <c r="F5" s="215" t="e">
        <f t="shared" si="1"/>
        <v>#REF!</v>
      </c>
      <c r="G5" s="215" t="e">
        <f t="shared" si="1"/>
        <v>#REF!</v>
      </c>
      <c r="H5" s="215" t="e">
        <f t="shared" si="1"/>
        <v>#REF!</v>
      </c>
      <c r="I5" s="215" t="e">
        <f t="shared" si="1"/>
        <v>#REF!</v>
      </c>
      <c r="J5" s="215" t="e">
        <f t="shared" si="1"/>
        <v>#REF!</v>
      </c>
      <c r="K5" s="215" t="e">
        <f t="shared" si="1"/>
        <v>#REF!</v>
      </c>
      <c r="L5" s="215" t="e">
        <f t="shared" si="1"/>
        <v>#REF!</v>
      </c>
      <c r="M5" s="219" t="e">
        <f t="shared" ref="M5:M17" si="2">SUM(C5:L5)</f>
        <v>#REF!</v>
      </c>
    </row>
    <row r="6" ht="15.6" customHeight="1" spans="1:13">
      <c r="A6" s="213">
        <v>1.1</v>
      </c>
      <c r="B6" s="216" t="s">
        <v>28</v>
      </c>
      <c r="C6" s="217"/>
      <c r="D6" s="217"/>
      <c r="E6" s="217" t="e">
        <f>#REF!</f>
        <v>#REF!</v>
      </c>
      <c r="F6" s="217" t="e">
        <f>#REF!</f>
        <v>#REF!</v>
      </c>
      <c r="G6" s="217" t="e">
        <f>#REF!</f>
        <v>#REF!</v>
      </c>
      <c r="H6" s="217" t="e">
        <f>#REF!</f>
        <v>#REF!</v>
      </c>
      <c r="I6" s="217" t="e">
        <f>#REF!</f>
        <v>#REF!</v>
      </c>
      <c r="J6" s="217" t="e">
        <f>#REF!</f>
        <v>#REF!</v>
      </c>
      <c r="K6" s="217" t="e">
        <f>#REF!</f>
        <v>#REF!</v>
      </c>
      <c r="L6" s="217" t="e">
        <f>#REF!</f>
        <v>#REF!</v>
      </c>
      <c r="M6" s="219" t="e">
        <f t="shared" si="2"/>
        <v>#REF!</v>
      </c>
    </row>
    <row r="7" ht="15.6" customHeight="1" spans="1:13">
      <c r="A7" s="213">
        <v>1.2</v>
      </c>
      <c r="B7" s="216" t="s">
        <v>29</v>
      </c>
      <c r="C7" s="217"/>
      <c r="D7" s="217"/>
      <c r="E7" s="217">
        <f>[1]折、摊!G18</f>
        <v>0</v>
      </c>
      <c r="F7" s="217">
        <f>[1]折、摊!H18</f>
        <v>0</v>
      </c>
      <c r="G7" s="217">
        <f>[1]折、摊!I18</f>
        <v>0</v>
      </c>
      <c r="H7" s="217">
        <f>[1]折、摊!J18</f>
        <v>0</v>
      </c>
      <c r="I7" s="217">
        <f>[1]折、摊!K18</f>
        <v>0</v>
      </c>
      <c r="J7" s="217">
        <f>[1]折、摊!L18</f>
        <v>0</v>
      </c>
      <c r="K7" s="217">
        <f>[1]折、摊!M18</f>
        <v>0</v>
      </c>
      <c r="L7" s="217">
        <f>[1]折、摊!N18</f>
        <v>0</v>
      </c>
      <c r="M7" s="219">
        <f t="shared" si="2"/>
        <v>0</v>
      </c>
    </row>
    <row r="8" ht="15.6" customHeight="1" spans="1:13">
      <c r="A8" s="213">
        <v>1.3</v>
      </c>
      <c r="B8" s="216" t="s">
        <v>30</v>
      </c>
      <c r="C8" s="217" t="s">
        <v>31</v>
      </c>
      <c r="D8" s="217" t="s">
        <v>31</v>
      </c>
      <c r="E8" s="217" t="s">
        <v>31</v>
      </c>
      <c r="F8" s="217" t="s">
        <v>31</v>
      </c>
      <c r="G8" s="217" t="s">
        <v>31</v>
      </c>
      <c r="H8" s="217" t="s">
        <v>31</v>
      </c>
      <c r="I8" s="217" t="s">
        <v>31</v>
      </c>
      <c r="J8" s="217" t="s">
        <v>31</v>
      </c>
      <c r="K8" s="217" t="s">
        <v>31</v>
      </c>
      <c r="L8" s="217"/>
      <c r="M8" s="219">
        <f t="shared" si="2"/>
        <v>0</v>
      </c>
    </row>
    <row r="9" s="200" customFormat="1" ht="15.6" customHeight="1" spans="1:13">
      <c r="A9" s="218">
        <v>1.4</v>
      </c>
      <c r="B9" s="219" t="s">
        <v>32</v>
      </c>
      <c r="C9" s="217" t="s">
        <v>31</v>
      </c>
      <c r="D9" s="217" t="s">
        <v>31</v>
      </c>
      <c r="E9" s="217" t="s">
        <v>31</v>
      </c>
      <c r="F9" s="217" t="s">
        <v>31</v>
      </c>
      <c r="G9" s="217" t="s">
        <v>31</v>
      </c>
      <c r="H9" s="217" t="s">
        <v>31</v>
      </c>
      <c r="I9" s="217" t="s">
        <v>31</v>
      </c>
      <c r="J9" s="217" t="s">
        <v>31</v>
      </c>
      <c r="K9" s="217" t="s">
        <v>31</v>
      </c>
      <c r="L9" s="217" t="s">
        <v>31</v>
      </c>
      <c r="M9" s="219">
        <f t="shared" si="2"/>
        <v>0</v>
      </c>
    </row>
    <row r="10" ht="15.6" customHeight="1" spans="1:13">
      <c r="A10" s="218">
        <v>2</v>
      </c>
      <c r="B10" s="214" t="s">
        <v>33</v>
      </c>
      <c r="C10" s="215">
        <f t="shared" ref="C10:L10" si="3">SUM(C11:C16)</f>
        <v>0</v>
      </c>
      <c r="D10" s="215">
        <f t="shared" si="3"/>
        <v>0</v>
      </c>
      <c r="E10" s="215">
        <f t="shared" si="3"/>
        <v>0</v>
      </c>
      <c r="F10" s="215">
        <f t="shared" si="3"/>
        <v>0</v>
      </c>
      <c r="G10" s="215">
        <f t="shared" si="3"/>
        <v>0</v>
      </c>
      <c r="H10" s="215">
        <f t="shared" si="3"/>
        <v>0</v>
      </c>
      <c r="I10" s="215">
        <f t="shared" si="3"/>
        <v>0</v>
      </c>
      <c r="J10" s="215">
        <f t="shared" si="3"/>
        <v>0</v>
      </c>
      <c r="K10" s="215">
        <f t="shared" si="3"/>
        <v>0</v>
      </c>
      <c r="L10" s="215">
        <f t="shared" si="3"/>
        <v>0</v>
      </c>
      <c r="M10" s="219">
        <f t="shared" si="2"/>
        <v>0</v>
      </c>
    </row>
    <row r="11" ht="15" customHeight="1" spans="1:13">
      <c r="A11" s="213">
        <v>2.1</v>
      </c>
      <c r="B11" s="213" t="s">
        <v>34</v>
      </c>
      <c r="C11" s="217">
        <f>([1]计划!C6-[1]计划!C7)</f>
        <v>0</v>
      </c>
      <c r="D11" s="217">
        <f>([1]计划!D6-[1]计划!D7)</f>
        <v>0</v>
      </c>
      <c r="E11" s="217">
        <f>([1]计划!E6-[1]计划!E7)</f>
        <v>0</v>
      </c>
      <c r="F11" s="217">
        <f>([1]计划!F6-[1]计划!F7)</f>
        <v>0</v>
      </c>
      <c r="G11" s="217">
        <f>([1]计划!G6-[1]计划!G7)</f>
        <v>0</v>
      </c>
      <c r="H11" s="217">
        <f>([1]计划!H6-[1]计划!H7)</f>
        <v>0</v>
      </c>
      <c r="I11" s="217">
        <f>([1]计划!I6-[1]计划!I7)</f>
        <v>0</v>
      </c>
      <c r="J11" s="217">
        <f>([1]计划!J6-[1]计划!J7)</f>
        <v>0</v>
      </c>
      <c r="K11" s="217">
        <f>([1]计划!K6-[1]计划!K7)</f>
        <v>0</v>
      </c>
      <c r="L11" s="217">
        <f>([1]计划!L6-[1]计划!L7)</f>
        <v>0</v>
      </c>
      <c r="M11" s="219">
        <f t="shared" si="2"/>
        <v>0</v>
      </c>
    </row>
    <row r="12" s="200" customFormat="1" ht="15" customHeight="1" spans="1:13">
      <c r="A12" s="213">
        <v>2.2</v>
      </c>
      <c r="B12" s="219" t="s">
        <v>35</v>
      </c>
      <c r="C12" s="217">
        <f>[1]计划!C8</f>
        <v>0</v>
      </c>
      <c r="D12" s="217">
        <f>[1]计划!D8</f>
        <v>0</v>
      </c>
      <c r="E12" s="217">
        <f>[1]计划!E8</f>
        <v>0</v>
      </c>
      <c r="F12" s="217">
        <f>[1]计划!F8</f>
        <v>0</v>
      </c>
      <c r="G12" s="217">
        <f>[1]计划!G8</f>
        <v>0</v>
      </c>
      <c r="H12" s="217">
        <f>[1]计划!H8</f>
        <v>0</v>
      </c>
      <c r="I12" s="217">
        <f>[1]计划!I8</f>
        <v>0</v>
      </c>
      <c r="J12" s="217">
        <f>[1]计划!J8</f>
        <v>0</v>
      </c>
      <c r="K12" s="217">
        <f>[1]计划!K8</f>
        <v>0</v>
      </c>
      <c r="L12" s="217">
        <f>[1]计划!L8</f>
        <v>0</v>
      </c>
      <c r="M12" s="219">
        <f t="shared" si="2"/>
        <v>0</v>
      </c>
    </row>
    <row r="13" ht="15" customHeight="1" spans="1:13">
      <c r="A13" s="213">
        <v>2.3</v>
      </c>
      <c r="B13" s="216" t="s">
        <v>36</v>
      </c>
      <c r="C13" s="217">
        <f>[1]总成本!C22</f>
        <v>0</v>
      </c>
      <c r="D13" s="217">
        <f>[1]总成本!D22</f>
        <v>0</v>
      </c>
      <c r="E13" s="217">
        <f>[1]总成本!E22</f>
        <v>0</v>
      </c>
      <c r="F13" s="217">
        <f>[1]总成本!F22</f>
        <v>0</v>
      </c>
      <c r="G13" s="217">
        <f>[1]总成本!G22</f>
        <v>0</v>
      </c>
      <c r="H13" s="217">
        <f>[1]总成本!H22</f>
        <v>0</v>
      </c>
      <c r="I13" s="217">
        <f>[1]总成本!I22</f>
        <v>0</v>
      </c>
      <c r="J13" s="217">
        <f>[1]总成本!J22</f>
        <v>0</v>
      </c>
      <c r="K13" s="217">
        <f>[1]总成本!K22</f>
        <v>0</v>
      </c>
      <c r="L13" s="217">
        <f>[1]总成本!L22</f>
        <v>0</v>
      </c>
      <c r="M13" s="219">
        <f t="shared" si="2"/>
        <v>0</v>
      </c>
    </row>
    <row r="14" ht="15" customHeight="1" spans="1:13">
      <c r="A14" s="213">
        <v>2.4</v>
      </c>
      <c r="B14" s="216" t="s">
        <v>37</v>
      </c>
      <c r="C14" s="217">
        <f>[1]价格!D15</f>
        <v>0</v>
      </c>
      <c r="D14" s="217">
        <f>[1]价格!E15</f>
        <v>0</v>
      </c>
      <c r="E14" s="217">
        <f>[1]价格!F15</f>
        <v>0</v>
      </c>
      <c r="F14" s="217">
        <f>[1]价格!G15</f>
        <v>0</v>
      </c>
      <c r="G14" s="217">
        <f>[1]价格!H15</f>
        <v>0</v>
      </c>
      <c r="H14" s="217">
        <f>[1]价格!I15</f>
        <v>0</v>
      </c>
      <c r="I14" s="217">
        <f>[1]价格!J15</f>
        <v>0</v>
      </c>
      <c r="J14" s="217">
        <f>[1]价格!K15</f>
        <v>0</v>
      </c>
      <c r="K14" s="217">
        <f>[1]价格!L15</f>
        <v>0</v>
      </c>
      <c r="L14" s="217">
        <f>[1]价格!M15</f>
        <v>0</v>
      </c>
      <c r="M14" s="219">
        <f t="shared" si="2"/>
        <v>0</v>
      </c>
    </row>
    <row r="15" ht="15" customHeight="1" spans="1:13">
      <c r="A15" s="213">
        <v>2.5</v>
      </c>
      <c r="B15" s="216" t="s">
        <v>38</v>
      </c>
      <c r="C15" s="217">
        <f>[1]利润!C13</f>
        <v>0</v>
      </c>
      <c r="D15" s="217">
        <f>[1]利润!D13</f>
        <v>0</v>
      </c>
      <c r="E15" s="217">
        <f>[1]利润!E13</f>
        <v>0</v>
      </c>
      <c r="F15" s="217">
        <f>[1]利润!F13</f>
        <v>0</v>
      </c>
      <c r="G15" s="217">
        <f>[1]利润!G13</f>
        <v>0</v>
      </c>
      <c r="H15" s="217">
        <f>[1]利润!H13</f>
        <v>0</v>
      </c>
      <c r="I15" s="217">
        <f>[1]利润!I13</f>
        <v>0</v>
      </c>
      <c r="J15" s="217">
        <f>[1]利润!J13</f>
        <v>0</v>
      </c>
      <c r="K15" s="217">
        <f>[1]利润!K13</f>
        <v>0</v>
      </c>
      <c r="L15" s="217">
        <f>[1]利润!L13</f>
        <v>0</v>
      </c>
      <c r="M15" s="219">
        <f t="shared" si="2"/>
        <v>0</v>
      </c>
    </row>
    <row r="16" ht="15" customHeight="1" spans="1:13">
      <c r="A16" s="213">
        <v>2.6</v>
      </c>
      <c r="B16" s="216" t="s">
        <v>39</v>
      </c>
      <c r="C16" s="217"/>
      <c r="D16" s="217"/>
      <c r="E16" s="217"/>
      <c r="F16" s="217"/>
      <c r="G16" s="217"/>
      <c r="H16" s="217"/>
      <c r="I16" s="217"/>
      <c r="J16" s="217"/>
      <c r="K16" s="217"/>
      <c r="L16" s="217"/>
      <c r="M16" s="219">
        <f t="shared" si="2"/>
        <v>0</v>
      </c>
    </row>
    <row r="17" ht="14" spans="1:13">
      <c r="A17" s="213">
        <v>3</v>
      </c>
      <c r="B17" s="214" t="s">
        <v>40</v>
      </c>
      <c r="C17" s="215">
        <f t="shared" ref="C17:L17" si="4">C5-C10</f>
        <v>0</v>
      </c>
      <c r="D17" s="215">
        <f t="shared" si="4"/>
        <v>0</v>
      </c>
      <c r="E17" s="215" t="e">
        <f t="shared" si="4"/>
        <v>#REF!</v>
      </c>
      <c r="F17" s="215" t="e">
        <f t="shared" si="4"/>
        <v>#REF!</v>
      </c>
      <c r="G17" s="215" t="e">
        <f t="shared" si="4"/>
        <v>#REF!</v>
      </c>
      <c r="H17" s="215" t="e">
        <f t="shared" si="4"/>
        <v>#REF!</v>
      </c>
      <c r="I17" s="215" t="e">
        <f t="shared" si="4"/>
        <v>#REF!</v>
      </c>
      <c r="J17" s="215" t="e">
        <f t="shared" si="4"/>
        <v>#REF!</v>
      </c>
      <c r="K17" s="215" t="e">
        <f t="shared" si="4"/>
        <v>#REF!</v>
      </c>
      <c r="L17" s="215" t="e">
        <f t="shared" si="4"/>
        <v>#REF!</v>
      </c>
      <c r="M17" s="219" t="e">
        <f t="shared" si="2"/>
        <v>#REF!</v>
      </c>
    </row>
    <row r="18" ht="14" spans="1:13">
      <c r="A18" s="220">
        <v>4</v>
      </c>
      <c r="B18" s="216" t="s">
        <v>41</v>
      </c>
      <c r="C18" s="217">
        <f>C17</f>
        <v>0</v>
      </c>
      <c r="D18" s="217">
        <f t="shared" ref="D18:L18" si="5">C18+D17</f>
        <v>0</v>
      </c>
      <c r="E18" s="217" t="e">
        <f t="shared" si="5"/>
        <v>#REF!</v>
      </c>
      <c r="F18" s="217" t="e">
        <f t="shared" si="5"/>
        <v>#REF!</v>
      </c>
      <c r="G18" s="217" t="e">
        <f t="shared" si="5"/>
        <v>#REF!</v>
      </c>
      <c r="H18" s="217" t="e">
        <f t="shared" si="5"/>
        <v>#REF!</v>
      </c>
      <c r="I18" s="217" t="e">
        <f t="shared" si="5"/>
        <v>#REF!</v>
      </c>
      <c r="J18" s="217" t="e">
        <f t="shared" si="5"/>
        <v>#REF!</v>
      </c>
      <c r="K18" s="217" t="e">
        <f t="shared" si="5"/>
        <v>#REF!</v>
      </c>
      <c r="L18" s="217" t="e">
        <f t="shared" si="5"/>
        <v>#REF!</v>
      </c>
      <c r="M18" s="216" t="s">
        <v>31</v>
      </c>
    </row>
    <row r="19" s="200" customFormat="1" ht="13" spans="1:13">
      <c r="A19" s="220">
        <v>5</v>
      </c>
      <c r="B19" s="216" t="s">
        <v>42</v>
      </c>
      <c r="C19" s="217">
        <f t="shared" ref="C19:L19" si="6">C17+C15</f>
        <v>0</v>
      </c>
      <c r="D19" s="217">
        <f t="shared" si="6"/>
        <v>0</v>
      </c>
      <c r="E19" s="217" t="e">
        <f t="shared" si="6"/>
        <v>#REF!</v>
      </c>
      <c r="F19" s="217" t="e">
        <f t="shared" si="6"/>
        <v>#REF!</v>
      </c>
      <c r="G19" s="217" t="e">
        <f t="shared" si="6"/>
        <v>#REF!</v>
      </c>
      <c r="H19" s="217" t="e">
        <f t="shared" si="6"/>
        <v>#REF!</v>
      </c>
      <c r="I19" s="217" t="e">
        <f t="shared" si="6"/>
        <v>#REF!</v>
      </c>
      <c r="J19" s="217" t="e">
        <f t="shared" si="6"/>
        <v>#REF!</v>
      </c>
      <c r="K19" s="217" t="e">
        <f t="shared" si="6"/>
        <v>#REF!</v>
      </c>
      <c r="L19" s="217" t="e">
        <f t="shared" si="6"/>
        <v>#REF!</v>
      </c>
      <c r="M19" s="219" t="e">
        <f>SUM(C19:L19)</f>
        <v>#REF!</v>
      </c>
    </row>
    <row r="20" s="200" customFormat="1" ht="13" spans="1:13">
      <c r="A20" s="213">
        <v>6</v>
      </c>
      <c r="B20" s="216" t="s">
        <v>43</v>
      </c>
      <c r="C20" s="217">
        <f>C19</f>
        <v>0</v>
      </c>
      <c r="D20" s="217">
        <f t="shared" ref="D20:L20" si="7">C20+D19</f>
        <v>0</v>
      </c>
      <c r="E20" s="217" t="e">
        <f t="shared" si="7"/>
        <v>#REF!</v>
      </c>
      <c r="F20" s="217" t="e">
        <f t="shared" si="7"/>
        <v>#REF!</v>
      </c>
      <c r="G20" s="217" t="e">
        <f t="shared" si="7"/>
        <v>#REF!</v>
      </c>
      <c r="H20" s="217" t="e">
        <f t="shared" si="7"/>
        <v>#REF!</v>
      </c>
      <c r="I20" s="217" t="e">
        <f t="shared" si="7"/>
        <v>#REF!</v>
      </c>
      <c r="J20" s="217" t="e">
        <f t="shared" si="7"/>
        <v>#REF!</v>
      </c>
      <c r="K20" s="217" t="e">
        <f t="shared" si="7"/>
        <v>#REF!</v>
      </c>
      <c r="L20" s="217" t="e">
        <f t="shared" si="7"/>
        <v>#REF!</v>
      </c>
      <c r="M20" s="216" t="s">
        <v>31</v>
      </c>
    </row>
    <row r="21" ht="14" spans="1:13">
      <c r="A21" s="221"/>
      <c r="B21" s="222" t="s">
        <v>44</v>
      </c>
      <c r="C21" s="222"/>
      <c r="D21" s="222"/>
      <c r="E21" s="222" t="s">
        <v>45</v>
      </c>
      <c r="F21" s="222"/>
      <c r="G21" s="222"/>
      <c r="H21" s="222"/>
      <c r="I21" s="222" t="s">
        <v>46</v>
      </c>
      <c r="J21" s="222"/>
      <c r="K21" s="222"/>
      <c r="L21" s="222"/>
      <c r="M21" s="233"/>
    </row>
    <row r="22" ht="14" spans="1:13">
      <c r="A22" s="223"/>
      <c r="B22" s="224" t="s">
        <v>47</v>
      </c>
      <c r="C22" s="224"/>
      <c r="D22" s="225" t="s">
        <v>48</v>
      </c>
      <c r="E22" s="226" t="e">
        <f>IRR(C17:L17,0.15)</f>
        <v>#VALUE!</v>
      </c>
      <c r="F22" s="224"/>
      <c r="G22" s="224"/>
      <c r="H22" s="224"/>
      <c r="I22" s="226" t="e">
        <f>IRR(C19:L19,0.15)</f>
        <v>#VALUE!</v>
      </c>
      <c r="J22" s="224"/>
      <c r="K22" s="224"/>
      <c r="L22" s="224"/>
      <c r="M22" s="234"/>
    </row>
    <row r="23" ht="14" spans="1:18">
      <c r="A23" s="223"/>
      <c r="B23" s="224" t="s">
        <v>49</v>
      </c>
      <c r="C23" s="224"/>
      <c r="D23" s="224"/>
      <c r="E23" s="227" t="e">
        <f>NPV(0.12,C17:L17)</f>
        <v>#REF!</v>
      </c>
      <c r="F23" s="224"/>
      <c r="G23" s="224"/>
      <c r="H23" s="224"/>
      <c r="I23" s="227" t="e">
        <f>NPV(0.12,C19:L19)</f>
        <v>#REF!</v>
      </c>
      <c r="J23" s="224"/>
      <c r="K23" s="224"/>
      <c r="L23" s="224"/>
      <c r="M23" s="234"/>
      <c r="R23" s="201">
        <f>30.9-29.82</f>
        <v>1.08</v>
      </c>
    </row>
    <row r="24" ht="14" spans="1:13">
      <c r="A24" s="228"/>
      <c r="B24" s="229" t="s">
        <v>50</v>
      </c>
      <c r="C24" s="229"/>
      <c r="D24" s="229"/>
      <c r="E24" s="230" t="e">
        <f>6-H18/I17</f>
        <v>#REF!</v>
      </c>
      <c r="F24" s="229"/>
      <c r="G24" s="229"/>
      <c r="H24" s="229"/>
      <c r="I24" s="230" t="e">
        <f>6-H20/I19</f>
        <v>#REF!</v>
      </c>
      <c r="J24" s="229"/>
      <c r="K24" s="229"/>
      <c r="L24" s="229"/>
      <c r="M24" s="235"/>
    </row>
  </sheetData>
  <mergeCells count="1">
    <mergeCell ref="C3:E3"/>
  </mergeCells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63"/>
  <sheetViews>
    <sheetView tabSelected="1" workbookViewId="0">
      <pane xSplit="2" ySplit="4" topLeftCell="C5" activePane="bottomRight" state="frozen"/>
      <selection/>
      <selection pane="topRight"/>
      <selection pane="bottomLeft"/>
      <selection pane="bottomRight" activeCell="E24" sqref="E24"/>
    </sheetView>
  </sheetViews>
  <sheetFormatPr defaultColWidth="9" defaultRowHeight="14.5"/>
  <cols>
    <col min="1" max="1" width="5.12727272727273" style="169" customWidth="1"/>
    <col min="2" max="2" width="32.6272727272727" style="169" customWidth="1"/>
    <col min="3" max="3" width="14.5" style="170" customWidth="1"/>
    <col min="4" max="5" width="14.7545454545455" style="170" customWidth="1"/>
    <col min="6" max="6" width="16.5" style="170" customWidth="1"/>
    <col min="7" max="7" width="15.5" style="169" customWidth="1"/>
    <col min="8" max="33" width="9" style="169"/>
    <col min="34" max="34" width="4.37272727272727" style="169" customWidth="1"/>
    <col min="35" max="35" width="13.8727272727273" style="169" customWidth="1"/>
    <col min="36" max="16384" width="9" style="169"/>
  </cols>
  <sheetData>
    <row r="1" ht="27" customHeight="1" spans="1:7">
      <c r="A1" s="171" t="s">
        <v>51</v>
      </c>
      <c r="B1" s="171"/>
      <c r="C1" s="171"/>
      <c r="D1" s="171"/>
      <c r="E1" s="171"/>
      <c r="F1" s="171"/>
      <c r="G1" s="85" t="s">
        <v>52</v>
      </c>
    </row>
    <row r="2" ht="15.75" customHeight="1" spans="1:36">
      <c r="A2" s="172" t="s">
        <v>21</v>
      </c>
      <c r="B2" s="173" t="s">
        <v>1</v>
      </c>
      <c r="C2" s="173" t="s">
        <v>53</v>
      </c>
      <c r="D2" s="173" t="s">
        <v>54</v>
      </c>
      <c r="E2" s="173" t="s">
        <v>55</v>
      </c>
      <c r="F2" s="174" t="s">
        <v>56</v>
      </c>
      <c r="AJ2" s="169" t="s">
        <v>57</v>
      </c>
    </row>
    <row r="3" s="137" customFormat="1" ht="15.75" customHeight="1" spans="1:36">
      <c r="A3" s="175"/>
      <c r="B3" s="147" t="s">
        <v>3</v>
      </c>
      <c r="C3" s="176">
        <f>'2025年'!D6</f>
        <v>500</v>
      </c>
      <c r="D3" s="176">
        <f>'2026年'!D6</f>
        <v>10000</v>
      </c>
      <c r="E3" s="176">
        <f>'2027年'!D6</f>
        <v>20000</v>
      </c>
      <c r="F3" s="176">
        <f t="shared" ref="F3:F7" si="0">SUM(C3:E3)</f>
        <v>30500</v>
      </c>
      <c r="G3" s="150"/>
      <c r="AH3" s="146" t="s">
        <v>21</v>
      </c>
      <c r="AI3" s="147" t="s">
        <v>3</v>
      </c>
      <c r="AJ3" s="137" t="s">
        <v>58</v>
      </c>
    </row>
    <row r="4" s="137" customFormat="1" ht="15.75" customHeight="1" spans="1:36">
      <c r="A4" s="139">
        <v>1</v>
      </c>
      <c r="B4" s="147" t="s">
        <v>59</v>
      </c>
      <c r="C4" s="176">
        <f>'2025年'!D7</f>
        <v>909292.03539823</v>
      </c>
      <c r="D4" s="176">
        <f>'2026年'!D7</f>
        <v>18185840.7079646</v>
      </c>
      <c r="E4" s="176">
        <f>'2027年'!D7</f>
        <v>36371681.4159292</v>
      </c>
      <c r="F4" s="176">
        <f t="shared" si="0"/>
        <v>55466814.159292</v>
      </c>
      <c r="G4" s="150"/>
      <c r="AH4" s="146" t="s">
        <v>60</v>
      </c>
      <c r="AI4" s="147" t="s">
        <v>59</v>
      </c>
      <c r="AJ4" s="137" t="s">
        <v>58</v>
      </c>
    </row>
    <row r="5" s="137" customFormat="1" ht="15.75" customHeight="1" spans="1:36">
      <c r="A5" s="139">
        <v>2</v>
      </c>
      <c r="B5" s="139" t="s">
        <v>61</v>
      </c>
      <c r="C5" s="176">
        <f>'2025年'!D8</f>
        <v>0</v>
      </c>
      <c r="D5" s="176">
        <f>'2026年'!D8</f>
        <v>1091150.44247788</v>
      </c>
      <c r="E5" s="176">
        <f>'2027年'!D8</f>
        <v>4233663.71681416</v>
      </c>
      <c r="F5" s="176">
        <f t="shared" si="0"/>
        <v>5324814.15929203</v>
      </c>
      <c r="G5" s="150"/>
      <c r="AH5" s="146" t="s">
        <v>62</v>
      </c>
      <c r="AI5" s="139" t="s">
        <v>63</v>
      </c>
      <c r="AJ5" s="137" t="s">
        <v>58</v>
      </c>
    </row>
    <row r="6" s="137" customFormat="1" ht="15.75" customHeight="1" spans="1:36">
      <c r="A6" s="139">
        <v>3</v>
      </c>
      <c r="B6" s="147" t="s">
        <v>64</v>
      </c>
      <c r="C6" s="177">
        <f>C4-C5</f>
        <v>909292.03539823</v>
      </c>
      <c r="D6" s="177">
        <f>'2026年'!D9</f>
        <v>17094690.2654867</v>
      </c>
      <c r="E6" s="176">
        <f>'2027年'!D9</f>
        <v>32138017.699115</v>
      </c>
      <c r="F6" s="176">
        <f t="shared" si="0"/>
        <v>50142000</v>
      </c>
      <c r="G6" s="150"/>
      <c r="AH6" s="146" t="s">
        <v>65</v>
      </c>
      <c r="AI6" s="147" t="s">
        <v>64</v>
      </c>
      <c r="AJ6" s="137" t="s">
        <v>66</v>
      </c>
    </row>
    <row r="7" s="137" customFormat="1" ht="15.75" customHeight="1" spans="1:36">
      <c r="A7" s="139">
        <v>4</v>
      </c>
      <c r="B7" s="146" t="s">
        <v>67</v>
      </c>
      <c r="C7" s="176">
        <f>'2025年'!D10</f>
        <v>625853.720439647</v>
      </c>
      <c r="D7" s="177">
        <f>'2026年'!D10</f>
        <v>11766049.9442654</v>
      </c>
      <c r="E7" s="176">
        <f>'2027年'!D10</f>
        <v>22120173.8952189</v>
      </c>
      <c r="F7" s="176">
        <f t="shared" si="0"/>
        <v>34512077.5599239</v>
      </c>
      <c r="G7" s="150"/>
      <c r="AH7" s="146" t="s">
        <v>68</v>
      </c>
      <c r="AI7" s="146" t="s">
        <v>69</v>
      </c>
      <c r="AJ7" s="137" t="s">
        <v>70</v>
      </c>
    </row>
    <row r="8" s="137" customFormat="1" ht="15.75" customHeight="1" spans="1:35">
      <c r="A8" s="139">
        <v>5</v>
      </c>
      <c r="B8" s="146" t="s">
        <v>71</v>
      </c>
      <c r="C8" s="176">
        <f>'2025年'!D11</f>
        <v>39190.4867256637</v>
      </c>
      <c r="D8" s="177">
        <f>'2026年'!D11</f>
        <v>783809.734513274</v>
      </c>
      <c r="E8" s="176">
        <f>'2027年'!D11</f>
        <v>1567619.46902655</v>
      </c>
      <c r="F8" s="176">
        <f t="shared" ref="F8:F19" si="1">SUM(C8:E8)</f>
        <v>2390619.69026549</v>
      </c>
      <c r="G8" s="150"/>
      <c r="AH8" s="146" t="s">
        <v>72</v>
      </c>
      <c r="AI8" s="146" t="s">
        <v>71</v>
      </c>
    </row>
    <row r="9" s="137" customFormat="1" ht="15.75" customHeight="1" spans="1:35">
      <c r="A9" s="139">
        <v>6</v>
      </c>
      <c r="B9" s="146" t="s">
        <v>73</v>
      </c>
      <c r="C9" s="176">
        <f>'2025年'!D12</f>
        <v>19731.6371681416</v>
      </c>
      <c r="D9" s="177">
        <f>'2026年'!D12</f>
        <v>394632.743362832</v>
      </c>
      <c r="E9" s="176">
        <f>'2027年'!D12</f>
        <v>789265.486725664</v>
      </c>
      <c r="F9" s="176">
        <f t="shared" si="1"/>
        <v>1203629.86725664</v>
      </c>
      <c r="G9" s="150"/>
      <c r="AH9" s="146" t="s">
        <v>74</v>
      </c>
      <c r="AI9" s="146" t="s">
        <v>73</v>
      </c>
    </row>
    <row r="10" s="137" customFormat="1" ht="15.75" customHeight="1" spans="1:36">
      <c r="A10" s="139">
        <v>7</v>
      </c>
      <c r="B10" s="146" t="s">
        <v>75</v>
      </c>
      <c r="C10" s="176">
        <f>'2025年'!D13</f>
        <v>40008.8495575221</v>
      </c>
      <c r="D10" s="177">
        <f>'2026年'!D13</f>
        <v>800176.991150443</v>
      </c>
      <c r="E10" s="176">
        <f>'2027年'!D13</f>
        <v>1600353.98230089</v>
      </c>
      <c r="F10" s="176">
        <f t="shared" si="1"/>
        <v>2440539.82300885</v>
      </c>
      <c r="G10" s="150"/>
      <c r="AH10" s="146" t="s">
        <v>76</v>
      </c>
      <c r="AI10" s="146" t="s">
        <v>75</v>
      </c>
      <c r="AJ10" s="137" t="s">
        <v>58</v>
      </c>
    </row>
    <row r="11" s="137" customFormat="1" ht="15.75" customHeight="1" spans="1:35">
      <c r="A11" s="139">
        <v>8</v>
      </c>
      <c r="B11" s="178" t="s">
        <v>77</v>
      </c>
      <c r="C11" s="179">
        <f>SUM(C8:C10)</f>
        <v>98930.9734513274</v>
      </c>
      <c r="D11" s="179">
        <f>SUM(D8:D10)</f>
        <v>1978619.46902655</v>
      </c>
      <c r="E11" s="179">
        <f>SUM(E8:E10)</f>
        <v>3957238.9380531</v>
      </c>
      <c r="F11" s="179">
        <f>SUM(F8:F10)</f>
        <v>6034789.38053097</v>
      </c>
      <c r="G11" s="150"/>
      <c r="AH11" s="146" t="s">
        <v>78</v>
      </c>
      <c r="AI11" s="151" t="s">
        <v>77</v>
      </c>
    </row>
    <row r="12" s="137" customFormat="1" ht="15.75" customHeight="1" spans="1:35">
      <c r="A12" s="139">
        <v>9</v>
      </c>
      <c r="B12" s="180" t="s">
        <v>79</v>
      </c>
      <c r="C12" s="176">
        <f>'2025年'!D15</f>
        <v>184507.341507256</v>
      </c>
      <c r="D12" s="177">
        <f>'2026年'!D15</f>
        <v>3350020.85219482</v>
      </c>
      <c r="E12" s="176">
        <f>'2027年'!D15</f>
        <v>6060604.86584309</v>
      </c>
      <c r="F12" s="176">
        <f>SUM(C12:E12)</f>
        <v>9595133.05954517</v>
      </c>
      <c r="G12" s="150"/>
      <c r="I12" s="169"/>
      <c r="J12" s="169"/>
      <c r="K12" s="169"/>
      <c r="L12" s="169"/>
      <c r="M12" s="169"/>
      <c r="N12" s="169"/>
      <c r="AH12" s="146" t="s">
        <v>80</v>
      </c>
      <c r="AI12" s="151" t="s">
        <v>79</v>
      </c>
    </row>
    <row r="13" ht="15.75" customHeight="1" spans="1:35">
      <c r="A13" s="139">
        <v>10</v>
      </c>
      <c r="B13" s="181" t="s">
        <v>81</v>
      </c>
      <c r="C13" s="182">
        <f t="shared" ref="C13:F13" si="2">+C12/C6</f>
        <v>0.202913183360778</v>
      </c>
      <c r="D13" s="182">
        <f t="shared" si="2"/>
        <v>0.195968502509714</v>
      </c>
      <c r="E13" s="182">
        <f t="shared" si="2"/>
        <v>0.188580544157519</v>
      </c>
      <c r="F13" s="182">
        <f t="shared" si="2"/>
        <v>0.191359201059893</v>
      </c>
      <c r="G13" s="150"/>
      <c r="AH13" s="181" t="s">
        <v>82</v>
      </c>
      <c r="AI13" s="181" t="s">
        <v>81</v>
      </c>
    </row>
    <row r="14" ht="15.75" customHeight="1" spans="1:35">
      <c r="A14" s="139">
        <v>11</v>
      </c>
      <c r="B14" s="181" t="s">
        <v>83</v>
      </c>
      <c r="C14" s="176">
        <f>'2025年'!D17</f>
        <v>607280.973451327</v>
      </c>
      <c r="D14" s="177">
        <f>'2026年'!D17</f>
        <v>1315619.46902655</v>
      </c>
      <c r="E14" s="176">
        <f>'2027年'!D17</f>
        <v>2061238.9380531</v>
      </c>
      <c r="F14" s="176">
        <f t="shared" si="1"/>
        <v>3984139.38053097</v>
      </c>
      <c r="G14" s="150"/>
      <c r="AH14" s="181" t="s">
        <v>84</v>
      </c>
      <c r="AI14" s="181" t="s">
        <v>83</v>
      </c>
    </row>
    <row r="15" ht="15.75" customHeight="1" spans="1:35">
      <c r="A15" s="139"/>
      <c r="B15" s="181"/>
      <c r="C15" s="176"/>
      <c r="D15" s="176"/>
      <c r="E15" s="176"/>
      <c r="F15" s="176">
        <f t="shared" si="1"/>
        <v>0</v>
      </c>
      <c r="G15" s="150"/>
      <c r="AH15" s="181"/>
      <c r="AI15" s="181"/>
    </row>
    <row r="16" ht="15.75" customHeight="1" spans="1:36">
      <c r="A16" s="139">
        <v>12</v>
      </c>
      <c r="B16" s="181" t="s">
        <v>85</v>
      </c>
      <c r="C16" s="183">
        <f>'2025年'!D19</f>
        <v>6365.04424778761</v>
      </c>
      <c r="D16" s="183">
        <f>'2026年'!D19</f>
        <v>127300.884955752</v>
      </c>
      <c r="E16" s="176">
        <f>'2027年'!D19</f>
        <v>254601.769911504</v>
      </c>
      <c r="F16" s="176">
        <f t="shared" si="1"/>
        <v>388267.699115044</v>
      </c>
      <c r="G16" s="150"/>
      <c r="O16" s="150"/>
      <c r="AH16" s="181" t="s">
        <v>86</v>
      </c>
      <c r="AI16" s="181" t="s">
        <v>85</v>
      </c>
      <c r="AJ16" s="169" t="s">
        <v>58</v>
      </c>
    </row>
    <row r="17" ht="15.75" customHeight="1" spans="1:35">
      <c r="A17" s="139">
        <v>13</v>
      </c>
      <c r="B17" s="181" t="s">
        <v>87</v>
      </c>
      <c r="C17" s="183">
        <f>'2025年'!D20</f>
        <v>30915.9292035398</v>
      </c>
      <c r="D17" s="183">
        <f>'2026年'!D20</f>
        <v>618318.584070797</v>
      </c>
      <c r="E17" s="176">
        <f>'2027年'!D20</f>
        <v>1236637.16814159</v>
      </c>
      <c r="F17" s="176">
        <f t="shared" si="1"/>
        <v>1885871.68141593</v>
      </c>
      <c r="G17" s="150"/>
      <c r="AH17" s="181" t="s">
        <v>88</v>
      </c>
      <c r="AI17" s="181" t="s">
        <v>87</v>
      </c>
    </row>
    <row r="18" s="136" customFormat="1" ht="15.75" customHeight="1" spans="1:35">
      <c r="A18" s="139">
        <v>14</v>
      </c>
      <c r="B18" s="158" t="s">
        <v>89</v>
      </c>
      <c r="C18" s="184">
        <f>'2025年'!D21</f>
        <v>0</v>
      </c>
      <c r="D18" s="184">
        <f>'2026年'!D21</f>
        <v>0</v>
      </c>
      <c r="E18" s="184">
        <f>'2027年'!D21</f>
        <v>0</v>
      </c>
      <c r="F18" s="176">
        <f t="shared" si="1"/>
        <v>0</v>
      </c>
      <c r="G18" s="150"/>
      <c r="AH18" s="158"/>
      <c r="AI18" s="158"/>
    </row>
    <row r="19" s="137" customFormat="1" ht="15.75" customHeight="1" spans="1:35">
      <c r="A19" s="139">
        <v>15</v>
      </c>
      <c r="B19" s="146" t="s">
        <v>90</v>
      </c>
      <c r="C19" s="183">
        <f>'2025年'!D22</f>
        <v>27278.7610619469</v>
      </c>
      <c r="D19" s="183">
        <f>'2026年'!D22</f>
        <v>545575.221238938</v>
      </c>
      <c r="E19" s="176">
        <f>'2027年'!D22</f>
        <v>1091150.44247788</v>
      </c>
      <c r="F19" s="176">
        <f t="shared" si="1"/>
        <v>1664004.42477876</v>
      </c>
      <c r="G19" s="150"/>
      <c r="AH19" s="146" t="s">
        <v>91</v>
      </c>
      <c r="AI19" s="146" t="s">
        <v>90</v>
      </c>
    </row>
    <row r="20" s="167" customFormat="1" ht="15.75" customHeight="1" spans="1:35">
      <c r="A20" s="139">
        <v>16</v>
      </c>
      <c r="B20" s="185" t="s">
        <v>92</v>
      </c>
      <c r="C20" s="179">
        <f t="shared" ref="C20:F20" si="3">+C19+C18+C17+C16+C14</f>
        <v>671840.707964602</v>
      </c>
      <c r="D20" s="179">
        <f t="shared" si="3"/>
        <v>2606814.15929204</v>
      </c>
      <c r="E20" s="179">
        <f t="shared" si="3"/>
        <v>4643628.31858407</v>
      </c>
      <c r="F20" s="179">
        <f t="shared" si="3"/>
        <v>7922283.18584071</v>
      </c>
      <c r="G20" s="150"/>
      <c r="AH20" s="197" t="s">
        <v>93</v>
      </c>
      <c r="AI20" s="198" t="s">
        <v>92</v>
      </c>
    </row>
    <row r="21" ht="15.75" customHeight="1" spans="1:35">
      <c r="A21" s="139">
        <v>17</v>
      </c>
      <c r="B21" s="181" t="s">
        <v>94</v>
      </c>
      <c r="C21" s="186">
        <f>'2025年'!D24</f>
        <v>-487333.366457346</v>
      </c>
      <c r="D21" s="186">
        <f>'2026年'!D24</f>
        <v>743206.692902788</v>
      </c>
      <c r="E21" s="176">
        <f>'2027年'!D24</f>
        <v>1416976.54725902</v>
      </c>
      <c r="F21" s="176">
        <f>SUM(C21:E21)</f>
        <v>1672849.87370446</v>
      </c>
      <c r="G21" s="187" t="s">
        <v>52</v>
      </c>
      <c r="AH21" s="181" t="s">
        <v>95</v>
      </c>
      <c r="AI21" s="181" t="s">
        <v>94</v>
      </c>
    </row>
    <row r="22" ht="15.75" customHeight="1" spans="1:35">
      <c r="A22" s="139">
        <v>18</v>
      </c>
      <c r="B22" s="181" t="s">
        <v>38</v>
      </c>
      <c r="C22" s="186">
        <f>'2025年'!D25</f>
        <v>0</v>
      </c>
      <c r="D22" s="186">
        <f>'2026年'!D25</f>
        <v>185801.673225697</v>
      </c>
      <c r="E22" s="176">
        <f>'2027年'!D25</f>
        <v>354244.136814754</v>
      </c>
      <c r="F22" s="186"/>
      <c r="G22" s="150"/>
      <c r="AH22" s="181" t="s">
        <v>96</v>
      </c>
      <c r="AI22" s="181" t="s">
        <v>38</v>
      </c>
    </row>
    <row r="23" ht="15.75" customHeight="1" spans="1:35">
      <c r="A23" s="139">
        <v>19</v>
      </c>
      <c r="B23" s="181" t="s">
        <v>97</v>
      </c>
      <c r="C23" s="186">
        <f>'2025年'!D26</f>
        <v>-487333.366457346</v>
      </c>
      <c r="D23" s="186">
        <f>'2026年'!D26</f>
        <v>743206.692902788</v>
      </c>
      <c r="E23" s="176">
        <f>'2027年'!D26</f>
        <v>1416976.54725902</v>
      </c>
      <c r="F23" s="176">
        <f>SUM(C23:E23)</f>
        <v>1672849.87370446</v>
      </c>
      <c r="G23" s="187" t="s">
        <v>52</v>
      </c>
      <c r="AH23" s="181" t="s">
        <v>98</v>
      </c>
      <c r="AI23" s="181" t="s">
        <v>97</v>
      </c>
    </row>
    <row r="24" ht="15.75" customHeight="1" spans="1:35">
      <c r="A24" s="139">
        <v>20</v>
      </c>
      <c r="B24" s="181" t="s">
        <v>99</v>
      </c>
      <c r="C24" s="188">
        <f t="shared" ref="C24:F24" si="4">C23/C4</f>
        <v>-0.535948130507835</v>
      </c>
      <c r="D24" s="188">
        <f t="shared" si="4"/>
        <v>0.0408673266657007</v>
      </c>
      <c r="E24" s="188">
        <f t="shared" si="4"/>
        <v>0.0389582359708683</v>
      </c>
      <c r="F24" s="188">
        <f t="shared" si="4"/>
        <v>0.0301594728137854</v>
      </c>
      <c r="G24" s="187" t="s">
        <v>52</v>
      </c>
      <c r="AH24" s="199" t="s">
        <v>100</v>
      </c>
      <c r="AI24" s="199" t="s">
        <v>101</v>
      </c>
    </row>
    <row r="25" s="168" customFormat="1" ht="15.75" customHeight="1" spans="3:7">
      <c r="C25" s="189"/>
      <c r="D25" s="189"/>
      <c r="E25" s="189"/>
      <c r="F25" s="189"/>
      <c r="G25" s="190"/>
    </row>
    <row r="26" s="168" customFormat="1" ht="15.75" customHeight="1" spans="1:34">
      <c r="A26" s="168" t="s">
        <v>102</v>
      </c>
      <c r="C26" s="191"/>
      <c r="D26" s="191"/>
      <c r="E26" s="191"/>
      <c r="F26" s="191"/>
      <c r="G26" s="190"/>
      <c r="AH26" s="168" t="s">
        <v>102</v>
      </c>
    </row>
    <row r="27" ht="15.75" customHeight="1" spans="1:36">
      <c r="A27" s="181" t="s">
        <v>21</v>
      </c>
      <c r="B27" s="192" t="s">
        <v>1</v>
      </c>
      <c r="C27" s="173" t="s">
        <v>53</v>
      </c>
      <c r="D27" s="173" t="s">
        <v>54</v>
      </c>
      <c r="E27" s="173" t="s">
        <v>55</v>
      </c>
      <c r="F27" s="174" t="s">
        <v>56</v>
      </c>
      <c r="AJ27" s="169" t="s">
        <v>57</v>
      </c>
    </row>
    <row r="28" s="137" customFormat="1" ht="15.75" customHeight="1" spans="1:35">
      <c r="A28" s="146" t="s">
        <v>103</v>
      </c>
      <c r="B28" s="151" t="s">
        <v>104</v>
      </c>
      <c r="C28" s="157"/>
      <c r="D28" s="157"/>
      <c r="E28" s="157"/>
      <c r="F28" s="157"/>
      <c r="G28" s="150"/>
      <c r="AH28" s="146" t="s">
        <v>105</v>
      </c>
      <c r="AI28" s="151" t="s">
        <v>104</v>
      </c>
    </row>
    <row r="29" s="137" customFormat="1" ht="15.75" customHeight="1" spans="1:35">
      <c r="A29" s="146" t="s">
        <v>60</v>
      </c>
      <c r="B29" s="146" t="s">
        <v>106</v>
      </c>
      <c r="C29" s="149">
        <f t="shared" ref="C29:F29" si="5">+C6/C3</f>
        <v>1818.58407079646</v>
      </c>
      <c r="D29" s="149">
        <f t="shared" si="5"/>
        <v>1709.46902654867</v>
      </c>
      <c r="E29" s="149">
        <f t="shared" si="5"/>
        <v>1606.90088495575</v>
      </c>
      <c r="F29" s="149">
        <f t="shared" si="5"/>
        <v>1644</v>
      </c>
      <c r="G29" s="150"/>
      <c r="AH29" s="146" t="s">
        <v>60</v>
      </c>
      <c r="AI29" s="146" t="s">
        <v>106</v>
      </c>
    </row>
    <row r="30" s="137" customFormat="1" ht="15.75" customHeight="1" spans="1:35">
      <c r="A30" s="146" t="s">
        <v>62</v>
      </c>
      <c r="B30" s="146" t="s">
        <v>107</v>
      </c>
      <c r="C30" s="149">
        <f t="shared" ref="C30:F30" si="6">+C7/C3</f>
        <v>1251.70744087929</v>
      </c>
      <c r="D30" s="149">
        <f t="shared" si="6"/>
        <v>1176.60499442654</v>
      </c>
      <c r="E30" s="149">
        <f t="shared" si="6"/>
        <v>1106.00869476094</v>
      </c>
      <c r="F30" s="149">
        <f t="shared" si="6"/>
        <v>1131.54352655488</v>
      </c>
      <c r="G30" s="150"/>
      <c r="AH30" s="146" t="s">
        <v>62</v>
      </c>
      <c r="AI30" s="146" t="s">
        <v>107</v>
      </c>
    </row>
    <row r="31" s="137" customFormat="1" ht="15.75" customHeight="1" spans="1:35">
      <c r="A31" s="146" t="s">
        <v>108</v>
      </c>
      <c r="B31" s="146" t="s">
        <v>109</v>
      </c>
      <c r="C31" s="157">
        <f t="shared" ref="C31:F31" si="7">C29-C30</f>
        <v>566.876629917167</v>
      </c>
      <c r="D31" s="157">
        <f t="shared" si="7"/>
        <v>532.864032122137</v>
      </c>
      <c r="E31" s="157">
        <f t="shared" si="7"/>
        <v>500.892190194809</v>
      </c>
      <c r="F31" s="157">
        <f t="shared" si="7"/>
        <v>512.456473445119</v>
      </c>
      <c r="G31" s="150"/>
      <c r="AH31" s="146" t="s">
        <v>108</v>
      </c>
      <c r="AI31" s="146" t="s">
        <v>109</v>
      </c>
    </row>
    <row r="32" s="137" customFormat="1" ht="15.75" customHeight="1" spans="1:35">
      <c r="A32" s="146">
        <v>3.1</v>
      </c>
      <c r="B32" s="146" t="s">
        <v>110</v>
      </c>
      <c r="C32" s="152">
        <f t="shared" ref="C32:F32" si="8">C31/C29</f>
        <v>0.311713183360778</v>
      </c>
      <c r="D32" s="152">
        <f t="shared" si="8"/>
        <v>0.311713183360778</v>
      </c>
      <c r="E32" s="152">
        <f t="shared" si="8"/>
        <v>0.311713183360778</v>
      </c>
      <c r="F32" s="152">
        <f t="shared" si="8"/>
        <v>0.311713183360778</v>
      </c>
      <c r="G32" s="150"/>
      <c r="AH32" s="146"/>
      <c r="AI32" s="146"/>
    </row>
    <row r="33" s="137" customFormat="1" ht="15.75" customHeight="1" spans="1:35">
      <c r="A33" s="146" t="s">
        <v>105</v>
      </c>
      <c r="B33" s="151" t="s">
        <v>10</v>
      </c>
      <c r="C33" s="157"/>
      <c r="D33" s="157"/>
      <c r="E33" s="157"/>
      <c r="F33" s="157"/>
      <c r="G33" s="150"/>
      <c r="AH33" s="146" t="s">
        <v>111</v>
      </c>
      <c r="AI33" s="151" t="s">
        <v>10</v>
      </c>
    </row>
    <row r="34" s="137" customFormat="1" ht="15.75" customHeight="1" spans="1:35">
      <c r="A34" s="146" t="s">
        <v>60</v>
      </c>
      <c r="B34" s="158" t="s">
        <v>112</v>
      </c>
      <c r="C34" s="149">
        <f t="shared" ref="C34:F34" si="9">+C8/C3</f>
        <v>78.3809734513274</v>
      </c>
      <c r="D34" s="149">
        <f t="shared" si="9"/>
        <v>78.3809734513274</v>
      </c>
      <c r="E34" s="149">
        <f t="shared" si="9"/>
        <v>78.3809734513274</v>
      </c>
      <c r="F34" s="149">
        <f t="shared" si="9"/>
        <v>78.3809734513274</v>
      </c>
      <c r="G34" s="150"/>
      <c r="AH34" s="146" t="s">
        <v>108</v>
      </c>
      <c r="AI34" s="146" t="s">
        <v>112</v>
      </c>
    </row>
    <row r="35" s="137" customFormat="1" ht="15.75" customHeight="1" spans="1:35">
      <c r="A35" s="146" t="s">
        <v>62</v>
      </c>
      <c r="B35" s="158" t="s">
        <v>113</v>
      </c>
      <c r="C35" s="149">
        <f t="shared" ref="C35:F35" si="10">+C9/C3</f>
        <v>39.4632743362832</v>
      </c>
      <c r="D35" s="149">
        <f t="shared" si="10"/>
        <v>39.4632743362832</v>
      </c>
      <c r="E35" s="149">
        <f t="shared" si="10"/>
        <v>39.4632743362832</v>
      </c>
      <c r="F35" s="149">
        <f t="shared" si="10"/>
        <v>39.4632743362832</v>
      </c>
      <c r="G35" s="150"/>
      <c r="AH35" s="146" t="s">
        <v>65</v>
      </c>
      <c r="AI35" s="146" t="s">
        <v>113</v>
      </c>
    </row>
    <row r="36" s="137" customFormat="1" ht="15.75" customHeight="1" spans="1:35">
      <c r="A36" s="146" t="s">
        <v>108</v>
      </c>
      <c r="B36" s="158" t="s">
        <v>114</v>
      </c>
      <c r="C36" s="149">
        <f t="shared" ref="C36:F36" si="11">+C10/C3</f>
        <v>80.0176991150443</v>
      </c>
      <c r="D36" s="149">
        <f t="shared" si="11"/>
        <v>80.0176991150443</v>
      </c>
      <c r="E36" s="149">
        <f t="shared" si="11"/>
        <v>80.0176991150443</v>
      </c>
      <c r="F36" s="149">
        <f t="shared" si="11"/>
        <v>80.0176991150443</v>
      </c>
      <c r="G36" s="150"/>
      <c r="AH36" s="146" t="s">
        <v>72</v>
      </c>
      <c r="AI36" s="146" t="s">
        <v>114</v>
      </c>
    </row>
    <row r="37" s="137" customFormat="1" ht="15.75" customHeight="1" spans="1:35">
      <c r="A37" s="146" t="s">
        <v>115</v>
      </c>
      <c r="B37" s="180" t="s">
        <v>116</v>
      </c>
      <c r="C37" s="149"/>
      <c r="D37" s="149"/>
      <c r="E37" s="149"/>
      <c r="F37" s="149"/>
      <c r="G37" s="150"/>
      <c r="AH37" s="146" t="s">
        <v>115</v>
      </c>
      <c r="AI37" s="151" t="s">
        <v>116</v>
      </c>
    </row>
    <row r="38" s="137" customFormat="1" spans="1:35">
      <c r="A38" s="146" t="s">
        <v>60</v>
      </c>
      <c r="B38" s="158" t="s">
        <v>117</v>
      </c>
      <c r="C38" s="149">
        <f t="shared" ref="C38:F38" si="12">+C12/C3</f>
        <v>369.014683014512</v>
      </c>
      <c r="D38" s="149">
        <f t="shared" si="12"/>
        <v>335.002085219482</v>
      </c>
      <c r="E38" s="149">
        <f t="shared" si="12"/>
        <v>303.030243292154</v>
      </c>
      <c r="F38" s="149">
        <f t="shared" si="12"/>
        <v>314.594526542465</v>
      </c>
      <c r="G38" s="150"/>
      <c r="AH38" s="146" t="s">
        <v>60</v>
      </c>
      <c r="AI38" s="146" t="s">
        <v>118</v>
      </c>
    </row>
    <row r="39" s="137" customFormat="1" ht="15.75" customHeight="1" spans="1:35">
      <c r="A39" s="146" t="s">
        <v>62</v>
      </c>
      <c r="B39" s="158" t="s">
        <v>119</v>
      </c>
      <c r="C39" s="176">
        <f>+C20/C38</f>
        <v>1820.63408013003</v>
      </c>
      <c r="D39" s="176">
        <f t="shared" ref="D39:F39" si="13">+D20/D38</f>
        <v>7781.4863677166</v>
      </c>
      <c r="E39" s="176">
        <f t="shared" si="13"/>
        <v>15323.9764722332</v>
      </c>
      <c r="F39" s="176">
        <f t="shared" si="13"/>
        <v>25182.5207288575</v>
      </c>
      <c r="G39" s="150"/>
      <c r="AH39" s="146" t="s">
        <v>62</v>
      </c>
      <c r="AI39" s="146" t="s">
        <v>119</v>
      </c>
    </row>
    <row r="40" s="137" customFormat="1" ht="15.75" customHeight="1" spans="1:35">
      <c r="A40" s="146" t="s">
        <v>120</v>
      </c>
      <c r="B40" s="151" t="s">
        <v>121</v>
      </c>
      <c r="C40" s="157"/>
      <c r="D40" s="157"/>
      <c r="E40" s="157"/>
      <c r="F40" s="157"/>
      <c r="G40" s="150"/>
      <c r="AH40" s="146" t="s">
        <v>120</v>
      </c>
      <c r="AI40" s="151" t="s">
        <v>121</v>
      </c>
    </row>
    <row r="41" s="137" customFormat="1" ht="15.75" customHeight="1" spans="1:35">
      <c r="A41" s="146" t="s">
        <v>60</v>
      </c>
      <c r="B41" s="146" t="s">
        <v>122</v>
      </c>
      <c r="C41" s="157">
        <f t="shared" ref="C41:F41" si="14">+C14/C3</f>
        <v>1214.56194690265</v>
      </c>
      <c r="D41" s="157">
        <f t="shared" si="14"/>
        <v>131.561946902655</v>
      </c>
      <c r="E41" s="157">
        <f t="shared" si="14"/>
        <v>103.061946902655</v>
      </c>
      <c r="F41" s="157">
        <f t="shared" si="14"/>
        <v>130.627520673147</v>
      </c>
      <c r="G41" s="150"/>
      <c r="AH41" s="146" t="s">
        <v>60</v>
      </c>
      <c r="AI41" s="146" t="s">
        <v>122</v>
      </c>
    </row>
    <row r="42" s="137" customFormat="1" ht="15.75" customHeight="1" spans="1:35">
      <c r="A42" s="146" t="s">
        <v>62</v>
      </c>
      <c r="B42" s="146" t="s">
        <v>123</v>
      </c>
      <c r="C42" s="157">
        <f t="shared" ref="C42:F42" si="15">+C16/C3</f>
        <v>12.7300884955752</v>
      </c>
      <c r="D42" s="157">
        <f t="shared" si="15"/>
        <v>12.7300884955752</v>
      </c>
      <c r="E42" s="157">
        <f t="shared" si="15"/>
        <v>12.7300884955752</v>
      </c>
      <c r="F42" s="157">
        <f t="shared" si="15"/>
        <v>12.7300884955752</v>
      </c>
      <c r="G42" s="150"/>
      <c r="AH42" s="146" t="s">
        <v>62</v>
      </c>
      <c r="AI42" s="146" t="s">
        <v>123</v>
      </c>
    </row>
    <row r="43" s="137" customFormat="1" ht="15.75" customHeight="1" spans="1:35">
      <c r="A43" s="146" t="s">
        <v>108</v>
      </c>
      <c r="B43" s="146" t="s">
        <v>124</v>
      </c>
      <c r="C43" s="157">
        <f>+C17/C3</f>
        <v>61.8318584070797</v>
      </c>
      <c r="D43" s="157">
        <f t="shared" ref="D43:F43" si="16">+D17/D3</f>
        <v>61.8318584070797</v>
      </c>
      <c r="E43" s="157">
        <f t="shared" si="16"/>
        <v>61.8318584070797</v>
      </c>
      <c r="F43" s="157">
        <f t="shared" si="16"/>
        <v>61.8318584070797</v>
      </c>
      <c r="G43" s="150"/>
      <c r="AH43" s="146" t="s">
        <v>108</v>
      </c>
      <c r="AI43" s="146" t="s">
        <v>124</v>
      </c>
    </row>
    <row r="44" s="137" customFormat="1" ht="15.75" customHeight="1" spans="1:35">
      <c r="A44" s="146" t="s">
        <v>65</v>
      </c>
      <c r="B44" s="146" t="s">
        <v>125</v>
      </c>
      <c r="C44" s="157">
        <f t="shared" ref="C44:F44" si="17">C18/C3</f>
        <v>0</v>
      </c>
      <c r="D44" s="157">
        <f t="shared" si="17"/>
        <v>0</v>
      </c>
      <c r="E44" s="157">
        <f t="shared" si="17"/>
        <v>0</v>
      </c>
      <c r="F44" s="157">
        <f t="shared" si="17"/>
        <v>0</v>
      </c>
      <c r="G44" s="150"/>
      <c r="AH44" s="146" t="s">
        <v>65</v>
      </c>
      <c r="AI44" s="146" t="s">
        <v>126</v>
      </c>
    </row>
    <row r="45" s="137" customFormat="1" ht="15.75" customHeight="1" spans="1:35">
      <c r="A45" s="146" t="s">
        <v>68</v>
      </c>
      <c r="B45" s="146" t="s">
        <v>127</v>
      </c>
      <c r="C45" s="157">
        <f>C19/C3</f>
        <v>54.5575221238938</v>
      </c>
      <c r="D45" s="157">
        <f>D19/D3</f>
        <v>54.5575221238938</v>
      </c>
      <c r="E45" s="157">
        <f t="shared" ref="E45:F45" si="18">E19/E3</f>
        <v>54.5575221238938</v>
      </c>
      <c r="F45" s="157">
        <f t="shared" si="18"/>
        <v>54.5575221238938</v>
      </c>
      <c r="G45" s="150"/>
      <c r="AH45" s="146" t="s">
        <v>68</v>
      </c>
      <c r="AI45" s="146" t="s">
        <v>127</v>
      </c>
    </row>
    <row r="46" s="137" customFormat="1" ht="15.75" customHeight="1" spans="1:35">
      <c r="A46" s="146" t="s">
        <v>128</v>
      </c>
      <c r="B46" s="151" t="s">
        <v>129</v>
      </c>
      <c r="C46" s="157"/>
      <c r="D46" s="157"/>
      <c r="E46" s="157"/>
      <c r="F46" s="157"/>
      <c r="G46" s="150"/>
      <c r="AH46" s="146" t="s">
        <v>128</v>
      </c>
      <c r="AI46" s="151" t="s">
        <v>129</v>
      </c>
    </row>
    <row r="47" s="137" customFormat="1" ht="15.75" customHeight="1" spans="1:35">
      <c r="A47" s="146" t="s">
        <v>60</v>
      </c>
      <c r="B47" s="146" t="s">
        <v>130</v>
      </c>
      <c r="C47" s="161">
        <f t="shared" ref="C47:F47" si="19">+(C10+C16)/C6</f>
        <v>0.051</v>
      </c>
      <c r="D47" s="161">
        <f t="shared" si="19"/>
        <v>0.0542553191489362</v>
      </c>
      <c r="E47" s="161">
        <f t="shared" si="19"/>
        <v>0.0577184246265278</v>
      </c>
      <c r="F47" s="161">
        <f t="shared" si="19"/>
        <v>0.0564159292035398</v>
      </c>
      <c r="G47" s="150"/>
      <c r="AH47" s="146" t="s">
        <v>60</v>
      </c>
      <c r="AI47" s="146" t="s">
        <v>130</v>
      </c>
    </row>
    <row r="48" s="137" customFormat="1" ht="15.75" customHeight="1" spans="1:35">
      <c r="A48" s="146" t="s">
        <v>62</v>
      </c>
      <c r="B48" s="146" t="s">
        <v>131</v>
      </c>
      <c r="C48" s="161">
        <f t="shared" ref="C48:F48" si="20">+(C8+C9+C14)/C6</f>
        <v>0.732661313868613</v>
      </c>
      <c r="D48" s="161">
        <f t="shared" si="20"/>
        <v>0.145896878397267</v>
      </c>
      <c r="E48" s="161">
        <f t="shared" si="20"/>
        <v>0.137473441429058</v>
      </c>
      <c r="F48" s="161">
        <f t="shared" si="20"/>
        <v>0.151138545292431</v>
      </c>
      <c r="G48" s="150"/>
      <c r="AH48" s="146" t="s">
        <v>62</v>
      </c>
      <c r="AI48" s="146" t="s">
        <v>131</v>
      </c>
    </row>
    <row r="49" s="137" customFormat="1" ht="15.75" customHeight="1" spans="1:35">
      <c r="A49" s="146" t="s">
        <v>108</v>
      </c>
      <c r="B49" s="146" t="s">
        <v>132</v>
      </c>
      <c r="C49" s="161">
        <f t="shared" ref="C49:F49" si="21">+C17/C6</f>
        <v>0.034</v>
      </c>
      <c r="D49" s="161">
        <f t="shared" si="21"/>
        <v>0.0361702127659575</v>
      </c>
      <c r="E49" s="161">
        <f t="shared" si="21"/>
        <v>0.0384789497510186</v>
      </c>
      <c r="F49" s="161">
        <f t="shared" si="21"/>
        <v>0.0376106194690266</v>
      </c>
      <c r="G49" s="150"/>
      <c r="AH49" s="146" t="s">
        <v>108</v>
      </c>
      <c r="AI49" s="146" t="s">
        <v>132</v>
      </c>
    </row>
    <row r="50" s="137" customFormat="1" ht="15.75" customHeight="1" spans="1:35">
      <c r="A50" s="146" t="s">
        <v>65</v>
      </c>
      <c r="B50" s="146" t="s">
        <v>133</v>
      </c>
      <c r="C50" s="161">
        <f t="shared" ref="C50:F50" si="22">+C18/C6</f>
        <v>0</v>
      </c>
      <c r="D50" s="161">
        <f t="shared" si="22"/>
        <v>0</v>
      </c>
      <c r="E50" s="161">
        <f t="shared" si="22"/>
        <v>0</v>
      </c>
      <c r="F50" s="161">
        <f t="shared" si="22"/>
        <v>0</v>
      </c>
      <c r="G50" s="150"/>
      <c r="AH50" s="146" t="s">
        <v>65</v>
      </c>
      <c r="AI50" s="146" t="s">
        <v>133</v>
      </c>
    </row>
    <row r="51" s="137" customFormat="1" ht="15.75" customHeight="1" spans="1:35">
      <c r="A51" s="146" t="s">
        <v>68</v>
      </c>
      <c r="B51" s="146" t="s">
        <v>134</v>
      </c>
      <c r="C51" s="161">
        <f t="shared" ref="C51:F51" si="23">+C19/C6</f>
        <v>0.03</v>
      </c>
      <c r="D51" s="161">
        <f t="shared" si="23"/>
        <v>0.0319148936170213</v>
      </c>
      <c r="E51" s="161">
        <f t="shared" si="23"/>
        <v>0.0339520144861928</v>
      </c>
      <c r="F51" s="161">
        <f t="shared" si="23"/>
        <v>0.0331858407079646</v>
      </c>
      <c r="G51" s="150"/>
      <c r="AH51" s="146" t="s">
        <v>68</v>
      </c>
      <c r="AI51" s="146" t="s">
        <v>134</v>
      </c>
    </row>
    <row r="52" s="137" customFormat="1" ht="15.75" customHeight="1" spans="1:35">
      <c r="A52" s="146" t="s">
        <v>72</v>
      </c>
      <c r="B52" s="146" t="s">
        <v>135</v>
      </c>
      <c r="C52" s="161">
        <f t="shared" ref="C52:F52" si="24">+C23/C6</f>
        <v>-0.535948130507835</v>
      </c>
      <c r="D52" s="161">
        <f t="shared" si="24"/>
        <v>0.0434758794315965</v>
      </c>
      <c r="E52" s="161">
        <f t="shared" si="24"/>
        <v>0.0440903530679813</v>
      </c>
      <c r="F52" s="161">
        <f t="shared" si="24"/>
        <v>0.0333622486878158</v>
      </c>
      <c r="G52" s="150"/>
      <c r="AH52" s="146" t="s">
        <v>72</v>
      </c>
      <c r="AI52" s="146" t="s">
        <v>136</v>
      </c>
    </row>
    <row r="53" s="137" customFormat="1" ht="15.75" customHeight="1" spans="1:35">
      <c r="A53" s="146" t="s">
        <v>137</v>
      </c>
      <c r="B53" s="151" t="s">
        <v>138</v>
      </c>
      <c r="C53" s="157">
        <f>+C21/C3</f>
        <v>-974.666732914691</v>
      </c>
      <c r="D53" s="157">
        <f t="shared" ref="D53:F53" si="25">+D21/D3</f>
        <v>74.3206692902788</v>
      </c>
      <c r="E53" s="157">
        <f t="shared" si="25"/>
        <v>70.8488273629508</v>
      </c>
      <c r="F53" s="157">
        <f t="shared" si="25"/>
        <v>54.8475368427691</v>
      </c>
      <c r="G53" s="150"/>
      <c r="AH53" s="146" t="s">
        <v>137</v>
      </c>
      <c r="AI53" s="151" t="s">
        <v>138</v>
      </c>
    </row>
    <row r="54" s="137" customFormat="1" ht="15.75" customHeight="1" spans="1:35">
      <c r="A54" s="146" t="s">
        <v>139</v>
      </c>
      <c r="B54" s="193" t="s">
        <v>140</v>
      </c>
      <c r="C54" s="157"/>
      <c r="D54" s="157"/>
      <c r="E54" s="157"/>
      <c r="F54" s="157"/>
      <c r="G54" s="150"/>
      <c r="AH54" s="146"/>
      <c r="AI54" s="151"/>
    </row>
    <row r="55" s="137" customFormat="1" ht="15.75" customHeight="1" spans="1:7">
      <c r="A55" s="146" t="s">
        <v>60</v>
      </c>
      <c r="B55" s="146" t="s">
        <v>141</v>
      </c>
      <c r="C55" s="157">
        <f>C56+C57</f>
        <v>1800000</v>
      </c>
      <c r="D55" s="157"/>
      <c r="E55" s="157"/>
      <c r="F55" s="157"/>
      <c r="G55" s="150"/>
    </row>
    <row r="56" s="137" customFormat="1" ht="15.75" customHeight="1" spans="1:7">
      <c r="A56" s="146">
        <v>1.1</v>
      </c>
      <c r="B56" s="194" t="s">
        <v>142</v>
      </c>
      <c r="C56" s="157">
        <f>项目投资!B27</f>
        <v>0</v>
      </c>
      <c r="D56" s="157"/>
      <c r="E56" s="157"/>
      <c r="F56" s="157"/>
      <c r="G56" s="150"/>
    </row>
    <row r="57" s="137" customFormat="1" ht="15.75" customHeight="1" spans="1:7">
      <c r="A57" s="146">
        <v>1.2</v>
      </c>
      <c r="B57" s="146" t="s">
        <v>143</v>
      </c>
      <c r="C57" s="157">
        <f>项目投资!B26</f>
        <v>1800000</v>
      </c>
      <c r="D57" s="157"/>
      <c r="E57" s="157"/>
      <c r="F57" s="157"/>
      <c r="G57" s="150"/>
    </row>
    <row r="58" ht="15.75" customHeight="1" spans="1:7">
      <c r="A58" s="181" t="s">
        <v>62</v>
      </c>
      <c r="B58" s="181" t="s">
        <v>144</v>
      </c>
      <c r="C58" s="195">
        <f>C59+C60</f>
        <v>-487333.366457346</v>
      </c>
      <c r="D58" s="195">
        <f t="shared" ref="D58:F58" si="26">D59+D60</f>
        <v>743206.692902788</v>
      </c>
      <c r="E58" s="195">
        <f t="shared" si="26"/>
        <v>1416976.54725902</v>
      </c>
      <c r="F58" s="195">
        <f t="shared" si="26"/>
        <v>1672849.87370446</v>
      </c>
      <c r="G58" s="150"/>
    </row>
    <row r="59" ht="15.75" customHeight="1" spans="1:7">
      <c r="A59" s="181" t="s">
        <v>108</v>
      </c>
      <c r="B59" s="181" t="s">
        <v>145</v>
      </c>
      <c r="C59" s="195">
        <f t="shared" ref="C59:F59" si="27">C23</f>
        <v>-487333.366457346</v>
      </c>
      <c r="D59" s="195">
        <f t="shared" si="27"/>
        <v>743206.692902788</v>
      </c>
      <c r="E59" s="195">
        <f t="shared" si="27"/>
        <v>1416976.54725902</v>
      </c>
      <c r="F59" s="195">
        <f t="shared" si="27"/>
        <v>1672849.87370446</v>
      </c>
      <c r="G59" s="150"/>
    </row>
    <row r="60" ht="15.75" customHeight="1" spans="1:7">
      <c r="A60" s="181" t="s">
        <v>65</v>
      </c>
      <c r="B60" s="181" t="s">
        <v>146</v>
      </c>
      <c r="C60" s="195">
        <f>'[2]2023年'!I18</f>
        <v>0</v>
      </c>
      <c r="D60" s="195"/>
      <c r="E60" s="195"/>
      <c r="F60" s="195">
        <f>[2]项目投资!G26</f>
        <v>0</v>
      </c>
      <c r="G60" s="150"/>
    </row>
    <row r="61" ht="15.75" customHeight="1" spans="1:7">
      <c r="A61" s="181" t="s">
        <v>68</v>
      </c>
      <c r="B61" s="181" t="s">
        <v>147</v>
      </c>
      <c r="C61" s="196"/>
      <c r="D61" s="196"/>
      <c r="E61" s="196"/>
      <c r="F61" s="195"/>
      <c r="G61" s="150"/>
    </row>
    <row r="63" spans="2:2">
      <c r="B63"/>
    </row>
  </sheetData>
  <mergeCells count="2">
    <mergeCell ref="A1:F1"/>
    <mergeCell ref="A2:A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74"/>
  <sheetViews>
    <sheetView zoomScale="85" zoomScaleNormal="85" workbookViewId="0">
      <pane xSplit="2" ySplit="7" topLeftCell="C8" activePane="bottomRight" state="frozen"/>
      <selection/>
      <selection pane="topRight"/>
      <selection pane="bottomLeft"/>
      <selection pane="bottomRight" activeCell="D21" sqref="D21"/>
    </sheetView>
  </sheetViews>
  <sheetFormatPr defaultColWidth="9" defaultRowHeight="14.5"/>
  <cols>
    <col min="1" max="1" width="5.12727272727273" style="137" customWidth="1"/>
    <col min="2" max="2" width="17.5" style="137" customWidth="1"/>
    <col min="3" max="3" width="14.3636363636364" style="138" customWidth="1"/>
    <col min="4" max="4" width="18.7545454545455" style="138" customWidth="1"/>
    <col min="5" max="5" width="12.3727272727273" style="137" customWidth="1"/>
    <col min="6" max="6" width="10.1272727272727" style="137" customWidth="1"/>
    <col min="7" max="13" width="9" style="137" customWidth="1"/>
    <col min="14" max="30" width="9" style="137"/>
    <col min="31" max="31" width="4.37272727272727" style="137" customWidth="1"/>
    <col min="32" max="32" width="13.8727272727273" style="137" customWidth="1"/>
    <col min="33" max="16384" width="9" style="137"/>
  </cols>
  <sheetData>
    <row r="1" spans="1:4">
      <c r="A1" s="139" t="s">
        <v>148</v>
      </c>
      <c r="B1" s="139"/>
      <c r="C1" s="140" t="s">
        <v>149</v>
      </c>
      <c r="D1" s="141"/>
    </row>
    <row r="2" spans="1:4">
      <c r="A2" s="139" t="s">
        <v>150</v>
      </c>
      <c r="B2" s="139"/>
      <c r="C2" s="142" t="s">
        <v>151</v>
      </c>
      <c r="D2" s="142"/>
    </row>
    <row r="3" ht="16.5" spans="1:4">
      <c r="A3" s="139" t="s">
        <v>152</v>
      </c>
      <c r="B3" s="139"/>
      <c r="C3" s="21" t="s">
        <v>153</v>
      </c>
      <c r="D3" s="143" t="s">
        <v>56</v>
      </c>
    </row>
    <row r="4" ht="33" spans="1:4">
      <c r="A4" s="139" t="s">
        <v>154</v>
      </c>
      <c r="B4" s="139"/>
      <c r="C4" s="23" t="s">
        <v>155</v>
      </c>
      <c r="D4" s="144"/>
    </row>
    <row r="5" ht="16.5" spans="1:33">
      <c r="A5" s="139" t="s">
        <v>156</v>
      </c>
      <c r="B5" s="139"/>
      <c r="C5" s="77" t="s">
        <v>157</v>
      </c>
      <c r="D5" s="145"/>
      <c r="AG5" s="137" t="s">
        <v>57</v>
      </c>
    </row>
    <row r="6" ht="16.5" spans="1:33">
      <c r="A6" s="146" t="s">
        <v>21</v>
      </c>
      <c r="B6" s="147" t="s">
        <v>158</v>
      </c>
      <c r="C6" s="148">
        <f>销量!C9</f>
        <v>500</v>
      </c>
      <c r="D6" s="149">
        <f>+SUM(C6:C6)</f>
        <v>500</v>
      </c>
      <c r="O6" s="147" t="s">
        <v>3</v>
      </c>
      <c r="AE6" s="146" t="s">
        <v>21</v>
      </c>
      <c r="AF6" s="147" t="s">
        <v>3</v>
      </c>
      <c r="AG6" s="137" t="s">
        <v>58</v>
      </c>
    </row>
    <row r="7" spans="1:33">
      <c r="A7" s="139">
        <v>1</v>
      </c>
      <c r="B7" s="147" t="s">
        <v>59</v>
      </c>
      <c r="C7" s="149">
        <f>C6*销量!C8</f>
        <v>909292.03539823</v>
      </c>
      <c r="D7" s="149">
        <f t="shared" ref="D7:D15" si="0">+SUM(C7:C7)</f>
        <v>909292.03539823</v>
      </c>
      <c r="E7" s="138"/>
      <c r="O7" s="147" t="s">
        <v>59</v>
      </c>
      <c r="AE7" s="146" t="s">
        <v>60</v>
      </c>
      <c r="AF7" s="147" t="s">
        <v>59</v>
      </c>
      <c r="AG7" s="137" t="s">
        <v>58</v>
      </c>
    </row>
    <row r="8" spans="1:33">
      <c r="A8" s="139">
        <v>2</v>
      </c>
      <c r="B8" s="139" t="s">
        <v>61</v>
      </c>
      <c r="C8" s="149"/>
      <c r="D8" s="149">
        <f t="shared" si="0"/>
        <v>0</v>
      </c>
      <c r="E8" s="150"/>
      <c r="O8" s="139" t="s">
        <v>63</v>
      </c>
      <c r="AE8" s="146" t="s">
        <v>62</v>
      </c>
      <c r="AF8" s="139" t="s">
        <v>63</v>
      </c>
      <c r="AG8" s="137" t="s">
        <v>58</v>
      </c>
    </row>
    <row r="9" spans="1:33">
      <c r="A9" s="139">
        <v>3</v>
      </c>
      <c r="B9" s="147" t="s">
        <v>64</v>
      </c>
      <c r="C9" s="149">
        <f>+C7-C8</f>
        <v>909292.03539823</v>
      </c>
      <c r="D9" s="149">
        <f t="shared" si="0"/>
        <v>909292.03539823</v>
      </c>
      <c r="O9" s="147" t="s">
        <v>64</v>
      </c>
      <c r="AE9" s="146" t="s">
        <v>65</v>
      </c>
      <c r="AF9" s="147" t="s">
        <v>64</v>
      </c>
      <c r="AG9" s="137" t="s">
        <v>66</v>
      </c>
    </row>
    <row r="10" spans="1:33">
      <c r="A10" s="139">
        <v>4</v>
      </c>
      <c r="B10" s="146" t="s">
        <v>69</v>
      </c>
      <c r="C10" s="149">
        <f>C6*C33</f>
        <v>625853.720439647</v>
      </c>
      <c r="D10" s="149">
        <f t="shared" si="0"/>
        <v>625853.720439647</v>
      </c>
      <c r="O10" s="146" t="s">
        <v>69</v>
      </c>
      <c r="AE10" s="146" t="s">
        <v>68</v>
      </c>
      <c r="AF10" s="146" t="s">
        <v>69</v>
      </c>
      <c r="AG10" s="137" t="s">
        <v>70</v>
      </c>
    </row>
    <row r="11" spans="1:32">
      <c r="A11" s="139">
        <v>5</v>
      </c>
      <c r="B11" s="146" t="s">
        <v>71</v>
      </c>
      <c r="C11" s="149">
        <f>+C6*C36</f>
        <v>39190.4867256637</v>
      </c>
      <c r="D11" s="149">
        <f t="shared" si="0"/>
        <v>39190.4867256637</v>
      </c>
      <c r="O11" s="146" t="s">
        <v>71</v>
      </c>
      <c r="AE11" s="146" t="s">
        <v>72</v>
      </c>
      <c r="AF11" s="146" t="s">
        <v>71</v>
      </c>
    </row>
    <row r="12" spans="1:32">
      <c r="A12" s="139">
        <v>6</v>
      </c>
      <c r="B12" s="146" t="s">
        <v>73</v>
      </c>
      <c r="C12" s="149">
        <f>+C6*C37</f>
        <v>19731.6371681416</v>
      </c>
      <c r="D12" s="149">
        <f t="shared" si="0"/>
        <v>19731.6371681416</v>
      </c>
      <c r="O12" s="146" t="s">
        <v>73</v>
      </c>
      <c r="AE12" s="146" t="s">
        <v>74</v>
      </c>
      <c r="AF12" s="146" t="s">
        <v>73</v>
      </c>
    </row>
    <row r="13" spans="1:33">
      <c r="A13" s="139">
        <v>7</v>
      </c>
      <c r="B13" s="146" t="s">
        <v>75</v>
      </c>
      <c r="C13" s="149">
        <f>+C6*C38</f>
        <v>40008.8495575221</v>
      </c>
      <c r="D13" s="149">
        <f t="shared" si="0"/>
        <v>40008.8495575221</v>
      </c>
      <c r="O13" s="146" t="s">
        <v>75</v>
      </c>
      <c r="AE13" s="146" t="s">
        <v>76</v>
      </c>
      <c r="AF13" s="146" t="s">
        <v>75</v>
      </c>
      <c r="AG13" s="137" t="s">
        <v>58</v>
      </c>
    </row>
    <row r="14" spans="1:32">
      <c r="A14" s="139">
        <v>8</v>
      </c>
      <c r="B14" s="151" t="s">
        <v>77</v>
      </c>
      <c r="C14" s="149">
        <f>SUM(C11:C13)</f>
        <v>98930.9734513274</v>
      </c>
      <c r="D14" s="149">
        <f t="shared" si="0"/>
        <v>98930.9734513274</v>
      </c>
      <c r="O14" s="151" t="s">
        <v>77</v>
      </c>
      <c r="AE14" s="146" t="s">
        <v>78</v>
      </c>
      <c r="AF14" s="151" t="s">
        <v>77</v>
      </c>
    </row>
    <row r="15" spans="1:32">
      <c r="A15" s="139">
        <v>9</v>
      </c>
      <c r="B15" s="151" t="s">
        <v>79</v>
      </c>
      <c r="C15" s="149">
        <f>+C9-C10-C14</f>
        <v>184507.341507256</v>
      </c>
      <c r="D15" s="149">
        <f t="shared" si="0"/>
        <v>184507.341507256</v>
      </c>
      <c r="O15" s="151" t="s">
        <v>79</v>
      </c>
      <c r="AE15" s="146" t="s">
        <v>80</v>
      </c>
      <c r="AF15" s="151" t="s">
        <v>79</v>
      </c>
    </row>
    <row r="16" spans="1:32">
      <c r="A16" s="139">
        <v>10</v>
      </c>
      <c r="B16" s="146" t="s">
        <v>81</v>
      </c>
      <c r="C16" s="152">
        <f>+C15/C9</f>
        <v>0.202913183360778</v>
      </c>
      <c r="D16" s="152">
        <f>+D15/D9</f>
        <v>0.202913183360778</v>
      </c>
      <c r="O16" s="146" t="s">
        <v>81</v>
      </c>
      <c r="AE16" s="146" t="s">
        <v>82</v>
      </c>
      <c r="AF16" s="146" t="s">
        <v>81</v>
      </c>
    </row>
    <row r="17" spans="1:32">
      <c r="A17" s="139">
        <v>11</v>
      </c>
      <c r="B17" s="146" t="s">
        <v>83</v>
      </c>
      <c r="C17" s="149">
        <f>C6*C43+C18</f>
        <v>607280.973451327</v>
      </c>
      <c r="D17" s="149">
        <f>+SUM(C17:C17)</f>
        <v>607280.973451327</v>
      </c>
      <c r="E17" s="150"/>
      <c r="O17" s="146" t="s">
        <v>83</v>
      </c>
      <c r="AE17" s="146" t="s">
        <v>84</v>
      </c>
      <c r="AF17" s="146" t="s">
        <v>83</v>
      </c>
    </row>
    <row r="18" s="135" customFormat="1" spans="1:7">
      <c r="A18" s="139">
        <v>12</v>
      </c>
      <c r="B18" s="154" t="s">
        <v>159</v>
      </c>
      <c r="C18" s="155">
        <f>$D$18/$D$6*C6</f>
        <v>570000</v>
      </c>
      <c r="D18" s="149">
        <f>项目投资!D26</f>
        <v>570000</v>
      </c>
      <c r="E18" s="156" t="s">
        <v>160</v>
      </c>
      <c r="F18" s="156"/>
      <c r="G18" s="156"/>
    </row>
    <row r="19" spans="1:33">
      <c r="A19" s="139">
        <v>13</v>
      </c>
      <c r="B19" s="146" t="s">
        <v>85</v>
      </c>
      <c r="C19" s="149">
        <f>C6*C44</f>
        <v>6365.04424778761</v>
      </c>
      <c r="D19" s="149">
        <f>+SUM(C19:C19)</f>
        <v>6365.04424778761</v>
      </c>
      <c r="E19" s="135"/>
      <c r="O19" s="146" t="s">
        <v>85</v>
      </c>
      <c r="AE19" s="146" t="s">
        <v>86</v>
      </c>
      <c r="AF19" s="146" t="s">
        <v>85</v>
      </c>
      <c r="AG19" s="137" t="s">
        <v>58</v>
      </c>
    </row>
    <row r="20" spans="1:32">
      <c r="A20" s="139">
        <v>14</v>
      </c>
      <c r="B20" s="146" t="s">
        <v>87</v>
      </c>
      <c r="C20" s="149">
        <f>C6*C45</f>
        <v>30915.9292035398</v>
      </c>
      <c r="D20" s="149">
        <f>+SUM(C20:C20)</f>
        <v>30915.9292035398</v>
      </c>
      <c r="O20" s="146" t="s">
        <v>87</v>
      </c>
      <c r="AE20" s="146" t="s">
        <v>88</v>
      </c>
      <c r="AF20" s="146" t="s">
        <v>87</v>
      </c>
    </row>
    <row r="21" spans="1:32">
      <c r="A21" s="139">
        <v>15</v>
      </c>
      <c r="B21" s="146" t="s">
        <v>89</v>
      </c>
      <c r="C21" s="157">
        <f>$D$21/$D$6*C6</f>
        <v>0</v>
      </c>
      <c r="D21" s="149">
        <f>项目投资!D27</f>
        <v>0</v>
      </c>
      <c r="O21" s="146" t="s">
        <v>89</v>
      </c>
      <c r="AE21" s="146"/>
      <c r="AF21" s="146"/>
    </row>
    <row r="22" spans="1:32">
      <c r="A22" s="139">
        <v>16</v>
      </c>
      <c r="B22" s="146" t="s">
        <v>90</v>
      </c>
      <c r="C22" s="149">
        <f>C6*C47</f>
        <v>27278.7610619469</v>
      </c>
      <c r="D22" s="149">
        <f>+SUM(C22:C22)</f>
        <v>27278.7610619469</v>
      </c>
      <c r="O22" s="146" t="s">
        <v>90</v>
      </c>
      <c r="AE22" s="146" t="s">
        <v>91</v>
      </c>
      <c r="AF22" s="146" t="s">
        <v>90</v>
      </c>
    </row>
    <row r="23" spans="1:32">
      <c r="A23" s="139">
        <v>17</v>
      </c>
      <c r="B23" s="151" t="s">
        <v>92</v>
      </c>
      <c r="C23" s="157">
        <f>+C22+C21+C20+C19+C17</f>
        <v>671840.707964602</v>
      </c>
      <c r="D23" s="157">
        <f>+D22+D21+D20+D19+D17</f>
        <v>671840.707964602</v>
      </c>
      <c r="O23" s="151" t="s">
        <v>92</v>
      </c>
      <c r="AE23" s="146" t="s">
        <v>93</v>
      </c>
      <c r="AF23" s="151" t="s">
        <v>92</v>
      </c>
    </row>
    <row r="24" spans="1:32">
      <c r="A24" s="139">
        <v>18</v>
      </c>
      <c r="B24" s="158" t="s">
        <v>94</v>
      </c>
      <c r="C24" s="157">
        <f>+C15-C23</f>
        <v>-487333.366457346</v>
      </c>
      <c r="D24" s="157">
        <f>+D15-D23</f>
        <v>-487333.366457346</v>
      </c>
      <c r="F24" s="159"/>
      <c r="O24" s="146" t="s">
        <v>94</v>
      </c>
      <c r="AE24" s="146" t="s">
        <v>95</v>
      </c>
      <c r="AF24" s="146" t="s">
        <v>94</v>
      </c>
    </row>
    <row r="25" spans="1:32">
      <c r="A25" s="139">
        <v>19</v>
      </c>
      <c r="B25" s="146" t="s">
        <v>161</v>
      </c>
      <c r="C25" s="157">
        <f>IF(C24&lt;0,0,C24*0.25)</f>
        <v>0</v>
      </c>
      <c r="D25" s="157">
        <f>IF(D24&lt;0,0,D24*0.25)</f>
        <v>0</v>
      </c>
      <c r="E25" s="2"/>
      <c r="F25" s="2"/>
      <c r="G25" s="2"/>
      <c r="O25" s="146" t="s">
        <v>38</v>
      </c>
      <c r="AE25" s="146" t="s">
        <v>96</v>
      </c>
      <c r="AF25" s="146" t="s">
        <v>38</v>
      </c>
    </row>
    <row r="26" spans="1:32">
      <c r="A26" s="139">
        <v>20</v>
      </c>
      <c r="B26" s="146" t="s">
        <v>97</v>
      </c>
      <c r="C26" s="157">
        <f>C24-C25</f>
        <v>-487333.366457346</v>
      </c>
      <c r="D26" s="149">
        <f>+SUM(C26:C26)</f>
        <v>-487333.366457346</v>
      </c>
      <c r="E26" s="2"/>
      <c r="F26" s="2"/>
      <c r="G26" s="2"/>
      <c r="O26" s="146" t="s">
        <v>97</v>
      </c>
      <c r="AE26" s="146" t="s">
        <v>98</v>
      </c>
      <c r="AF26" s="146" t="s">
        <v>97</v>
      </c>
    </row>
    <row r="27" spans="1:32">
      <c r="A27" s="139">
        <v>21</v>
      </c>
      <c r="B27" s="146" t="s">
        <v>101</v>
      </c>
      <c r="C27" s="160">
        <f>C26/C7</f>
        <v>-0.535948130507835</v>
      </c>
      <c r="D27" s="160">
        <f>D26/D7</f>
        <v>-0.535948130507835</v>
      </c>
      <c r="E27" s="2"/>
      <c r="F27" s="2"/>
      <c r="G27" s="2"/>
      <c r="O27" s="146" t="s">
        <v>101</v>
      </c>
      <c r="AE27" s="146" t="s">
        <v>100</v>
      </c>
      <c r="AF27" s="146" t="s">
        <v>101</v>
      </c>
    </row>
    <row r="28" spans="5:15">
      <c r="E28" s="2"/>
      <c r="F28" s="2"/>
      <c r="G28" s="2"/>
      <c r="O28" s="146"/>
    </row>
    <row r="29" spans="1:31">
      <c r="A29" s="137" t="s">
        <v>102</v>
      </c>
      <c r="D29" s="138" t="s">
        <v>162</v>
      </c>
      <c r="E29" s="2"/>
      <c r="F29" s="2"/>
      <c r="G29" s="2"/>
      <c r="O29" s="146"/>
      <c r="AE29" s="137" t="s">
        <v>102</v>
      </c>
    </row>
    <row r="30" spans="1:32">
      <c r="A30" s="146" t="s">
        <v>103</v>
      </c>
      <c r="B30" s="151" t="s">
        <v>104</v>
      </c>
      <c r="C30" s="157"/>
      <c r="D30" s="157"/>
      <c r="E30" s="2"/>
      <c r="F30" s="2"/>
      <c r="G30" s="2"/>
      <c r="I30" s="2"/>
      <c r="O30" s="151" t="s">
        <v>104</v>
      </c>
      <c r="AE30" s="146" t="s">
        <v>105</v>
      </c>
      <c r="AF30" s="151" t="s">
        <v>104</v>
      </c>
    </row>
    <row r="31" spans="1:32">
      <c r="A31" s="139">
        <v>1</v>
      </c>
      <c r="B31" s="154" t="s">
        <v>106</v>
      </c>
      <c r="C31" s="162">
        <f>销量!C8</f>
        <v>1818.58407079646</v>
      </c>
      <c r="D31" s="157"/>
      <c r="E31" s="2"/>
      <c r="F31" s="2"/>
      <c r="G31" s="2"/>
      <c r="I31" s="2"/>
      <c r="O31" s="146" t="s">
        <v>106</v>
      </c>
      <c r="AE31" s="146" t="s">
        <v>60</v>
      </c>
      <c r="AF31" s="146" t="s">
        <v>106</v>
      </c>
    </row>
    <row r="32" spans="1:32">
      <c r="A32" s="139">
        <v>2</v>
      </c>
      <c r="B32" s="146" t="s">
        <v>163</v>
      </c>
      <c r="C32" s="149">
        <f>C31*1</f>
        <v>1818.58407079646</v>
      </c>
      <c r="D32" s="157"/>
      <c r="E32" s="2"/>
      <c r="F32" s="2"/>
      <c r="G32" s="2"/>
      <c r="H32" s="2"/>
      <c r="I32" s="2"/>
      <c r="J32" s="2"/>
      <c r="K32" s="2"/>
      <c r="AE32" s="146"/>
      <c r="AF32" s="146"/>
    </row>
    <row r="33" spans="1:32">
      <c r="A33" s="139">
        <v>3</v>
      </c>
      <c r="B33" s="154" t="s">
        <v>107</v>
      </c>
      <c r="C33" s="149">
        <f>材料成本!D24</f>
        <v>1251.70744087929</v>
      </c>
      <c r="D33" s="157"/>
      <c r="F33" s="2"/>
      <c r="G33" s="2"/>
      <c r="H33" s="2"/>
      <c r="I33" s="2"/>
      <c r="J33" s="2"/>
      <c r="K33" s="2"/>
      <c r="O33" s="146" t="s">
        <v>107</v>
      </c>
      <c r="AE33" s="146" t="s">
        <v>62</v>
      </c>
      <c r="AF33" s="146" t="s">
        <v>107</v>
      </c>
    </row>
    <row r="34" ht="17.25" customHeight="1" spans="1:32">
      <c r="A34" s="139">
        <v>4</v>
      </c>
      <c r="B34" s="146" t="s">
        <v>109</v>
      </c>
      <c r="C34" s="163">
        <f>C32-C33</f>
        <v>566.876629917167</v>
      </c>
      <c r="D34" s="157"/>
      <c r="F34" s="2"/>
      <c r="G34" s="2"/>
      <c r="H34" s="2"/>
      <c r="I34" s="2"/>
      <c r="J34" s="2"/>
      <c r="K34" s="2"/>
      <c r="O34" s="146" t="s">
        <v>109</v>
      </c>
      <c r="AE34" s="146" t="s">
        <v>108</v>
      </c>
      <c r="AF34" s="146" t="s">
        <v>109</v>
      </c>
    </row>
    <row r="35" spans="1:32">
      <c r="A35" s="146" t="s">
        <v>105</v>
      </c>
      <c r="B35" s="151" t="s">
        <v>10</v>
      </c>
      <c r="C35" s="157"/>
      <c r="D35" s="157"/>
      <c r="E35" s="2"/>
      <c r="F35" s="2"/>
      <c r="G35" s="2"/>
      <c r="H35" s="2"/>
      <c r="I35" s="2"/>
      <c r="J35" s="2"/>
      <c r="K35" s="2"/>
      <c r="L35" s="2"/>
      <c r="M35" s="2"/>
      <c r="N35" s="2"/>
      <c r="O35" s="151" t="s">
        <v>10</v>
      </c>
      <c r="AE35" s="146" t="s">
        <v>111</v>
      </c>
      <c r="AF35" s="151" t="s">
        <v>10</v>
      </c>
    </row>
    <row r="36" spans="1:32">
      <c r="A36" s="139">
        <v>1</v>
      </c>
      <c r="B36" s="146" t="s">
        <v>112</v>
      </c>
      <c r="C36" s="155">
        <f>标准成本!E4</f>
        <v>78.3809734513274</v>
      </c>
      <c r="D36" s="162"/>
      <c r="E36" s="2"/>
      <c r="F36" s="2"/>
      <c r="G36" s="2"/>
      <c r="H36" s="2"/>
      <c r="I36" s="2"/>
      <c r="J36" s="2"/>
      <c r="K36" s="2"/>
      <c r="L36" s="2"/>
      <c r="M36" s="2"/>
      <c r="N36" s="2"/>
      <c r="O36" s="146" t="s">
        <v>112</v>
      </c>
      <c r="AE36" s="146" t="s">
        <v>108</v>
      </c>
      <c r="AF36" s="146" t="s">
        <v>112</v>
      </c>
    </row>
    <row r="37" spans="1:32">
      <c r="A37" s="139">
        <v>2</v>
      </c>
      <c r="B37" s="146" t="s">
        <v>113</v>
      </c>
      <c r="C37" s="155">
        <f>标准成本!E6</f>
        <v>39.4632743362832</v>
      </c>
      <c r="D37" s="162"/>
      <c r="E37" s="2"/>
      <c r="F37" s="2"/>
      <c r="G37" s="2"/>
      <c r="H37" s="2"/>
      <c r="I37" s="2"/>
      <c r="J37" s="2"/>
      <c r="K37" s="2"/>
      <c r="L37" s="2"/>
      <c r="M37" s="2"/>
      <c r="N37" s="2"/>
      <c r="O37" s="146" t="s">
        <v>113</v>
      </c>
      <c r="AE37" s="146" t="s">
        <v>65</v>
      </c>
      <c r="AF37" s="146" t="s">
        <v>113</v>
      </c>
    </row>
    <row r="38" spans="1:32">
      <c r="A38" s="139">
        <v>3</v>
      </c>
      <c r="B38" s="146" t="s">
        <v>114</v>
      </c>
      <c r="C38" s="155">
        <f>标准成本!E10</f>
        <v>80.0176991150443</v>
      </c>
      <c r="D38" s="162"/>
      <c r="E38" s="2"/>
      <c r="F38" s="2"/>
      <c r="G38" s="2"/>
      <c r="H38" s="2"/>
      <c r="I38" s="2"/>
      <c r="J38" s="2"/>
      <c r="K38" s="2"/>
      <c r="L38" s="2"/>
      <c r="M38" s="2"/>
      <c r="N38" s="2"/>
      <c r="O38" s="146" t="s">
        <v>114</v>
      </c>
      <c r="AE38" s="146" t="s">
        <v>72</v>
      </c>
      <c r="AF38" s="146" t="s">
        <v>114</v>
      </c>
    </row>
    <row r="39" spans="1:32">
      <c r="A39" s="146" t="s">
        <v>111</v>
      </c>
      <c r="B39" s="151" t="s">
        <v>116</v>
      </c>
      <c r="C39" s="157"/>
      <c r="D39" s="157"/>
      <c r="O39" s="151" t="s">
        <v>116</v>
      </c>
      <c r="AE39" s="146" t="s">
        <v>115</v>
      </c>
      <c r="AF39" s="151" t="s">
        <v>116</v>
      </c>
    </row>
    <row r="40" spans="1:32">
      <c r="A40" s="139">
        <v>1</v>
      </c>
      <c r="B40" s="146" t="s">
        <v>118</v>
      </c>
      <c r="C40" s="157">
        <f>C34-C36-C37-C38</f>
        <v>369.014683014512</v>
      </c>
      <c r="D40" s="157"/>
      <c r="O40" s="146" t="s">
        <v>118</v>
      </c>
      <c r="AE40" s="146" t="s">
        <v>60</v>
      </c>
      <c r="AF40" s="146" t="s">
        <v>118</v>
      </c>
    </row>
    <row r="41" spans="1:32">
      <c r="A41" s="139">
        <v>2</v>
      </c>
      <c r="B41" s="146" t="s">
        <v>119</v>
      </c>
      <c r="C41" s="157"/>
      <c r="D41" s="157"/>
      <c r="O41" s="146" t="s">
        <v>119</v>
      </c>
      <c r="AE41" s="146" t="s">
        <v>62</v>
      </c>
      <c r="AF41" s="146" t="s">
        <v>119</v>
      </c>
    </row>
    <row r="42" spans="1:32">
      <c r="A42" s="146" t="s">
        <v>115</v>
      </c>
      <c r="B42" s="151" t="s">
        <v>121</v>
      </c>
      <c r="C42" s="157"/>
      <c r="D42" s="157"/>
      <c r="O42" s="151" t="s">
        <v>121</v>
      </c>
      <c r="AE42" s="146" t="s">
        <v>120</v>
      </c>
      <c r="AF42" s="151" t="s">
        <v>121</v>
      </c>
    </row>
    <row r="43" spans="1:32">
      <c r="A43" s="139">
        <v>1</v>
      </c>
      <c r="B43" s="158" t="s">
        <v>122</v>
      </c>
      <c r="C43" s="155">
        <f>标准成本!E5</f>
        <v>74.5619469026549</v>
      </c>
      <c r="D43" s="157"/>
      <c r="O43" s="146" t="s">
        <v>122</v>
      </c>
      <c r="AE43" s="146" t="s">
        <v>60</v>
      </c>
      <c r="AF43" s="146" t="s">
        <v>122</v>
      </c>
    </row>
    <row r="44" spans="1:32">
      <c r="A44" s="139">
        <v>2</v>
      </c>
      <c r="B44" s="158" t="s">
        <v>123</v>
      </c>
      <c r="C44" s="155">
        <f>标准成本!E9</f>
        <v>12.7300884955752</v>
      </c>
      <c r="D44" s="157"/>
      <c r="O44" s="146" t="s">
        <v>123</v>
      </c>
      <c r="AE44" s="146" t="s">
        <v>62</v>
      </c>
      <c r="AF44" s="146" t="s">
        <v>123</v>
      </c>
    </row>
    <row r="45" spans="1:32">
      <c r="A45" s="139">
        <v>3</v>
      </c>
      <c r="B45" s="158" t="s">
        <v>124</v>
      </c>
      <c r="C45" s="155">
        <f>标准成本!E8</f>
        <v>61.8318584070797</v>
      </c>
      <c r="D45" s="157"/>
      <c r="O45" s="146" t="s">
        <v>124</v>
      </c>
      <c r="AE45" s="146" t="s">
        <v>108</v>
      </c>
      <c r="AF45" s="146" t="s">
        <v>124</v>
      </c>
    </row>
    <row r="46" s="136" customFormat="1" spans="1:32">
      <c r="A46" s="139">
        <v>4</v>
      </c>
      <c r="B46" s="158" t="s">
        <v>125</v>
      </c>
      <c r="C46" s="164">
        <f>C21/C6</f>
        <v>0</v>
      </c>
      <c r="D46" s="164"/>
      <c r="O46" s="158" t="s">
        <v>127</v>
      </c>
      <c r="AE46" s="158" t="s">
        <v>68</v>
      </c>
      <c r="AF46" s="158" t="s">
        <v>127</v>
      </c>
    </row>
    <row r="47" s="136" customFormat="1" spans="1:32">
      <c r="A47" s="139">
        <v>5</v>
      </c>
      <c r="B47" s="158" t="s">
        <v>127</v>
      </c>
      <c r="C47" s="164">
        <f>标准成本!E11</f>
        <v>54.5575221238938</v>
      </c>
      <c r="D47" s="164"/>
      <c r="O47" s="158" t="s">
        <v>127</v>
      </c>
      <c r="AE47" s="158" t="s">
        <v>68</v>
      </c>
      <c r="AF47" s="158" t="s">
        <v>127</v>
      </c>
    </row>
    <row r="48" spans="1:32">
      <c r="A48" s="146" t="s">
        <v>120</v>
      </c>
      <c r="B48" s="151" t="s">
        <v>138</v>
      </c>
      <c r="C48" s="157">
        <f>C40-C43-C44-C45-C47-C46</f>
        <v>165.333267085309</v>
      </c>
      <c r="D48" s="157"/>
      <c r="O48" s="151" t="s">
        <v>138</v>
      </c>
      <c r="AE48" s="146" t="s">
        <v>137</v>
      </c>
      <c r="AF48" s="151" t="s">
        <v>138</v>
      </c>
    </row>
    <row r="51" spans="3:3">
      <c r="C51" s="165"/>
    </row>
    <row r="54" spans="2:9">
      <c r="B54" s="2"/>
      <c r="C54" s="166"/>
      <c r="D54" s="166"/>
      <c r="E54" s="2"/>
      <c r="F54" s="2"/>
      <c r="G54" s="2"/>
      <c r="H54" s="2"/>
      <c r="I54" s="2"/>
    </row>
    <row r="55" spans="2:9">
      <c r="B55" s="2"/>
      <c r="C55" s="166"/>
      <c r="D55" s="166"/>
      <c r="E55" s="2"/>
      <c r="F55" s="2"/>
      <c r="G55" s="2"/>
      <c r="H55" s="2"/>
      <c r="I55" s="2"/>
    </row>
    <row r="56" spans="2:9">
      <c r="B56" s="2"/>
      <c r="C56" s="166"/>
      <c r="D56" s="166"/>
      <c r="E56" s="2"/>
      <c r="F56" s="2"/>
      <c r="G56" s="2"/>
      <c r="H56" s="2"/>
      <c r="I56" s="2"/>
    </row>
    <row r="57" spans="2:9">
      <c r="B57" s="2"/>
      <c r="C57" s="166"/>
      <c r="D57" s="166"/>
      <c r="E57" s="2"/>
      <c r="F57" s="2"/>
      <c r="G57" s="2"/>
      <c r="H57" s="2"/>
      <c r="I57" s="2"/>
    </row>
    <row r="58" spans="2:9">
      <c r="B58" s="2"/>
      <c r="C58" s="166"/>
      <c r="D58" s="166"/>
      <c r="E58" s="2"/>
      <c r="F58" s="2"/>
      <c r="G58" s="2"/>
      <c r="H58" s="2"/>
      <c r="I58" s="2"/>
    </row>
    <row r="59" spans="2:9">
      <c r="B59" s="2"/>
      <c r="C59" s="166"/>
      <c r="D59" s="166"/>
      <c r="E59" s="2"/>
      <c r="F59" s="2"/>
      <c r="G59" s="2"/>
      <c r="H59" s="2"/>
      <c r="I59" s="2"/>
    </row>
    <row r="60" spans="2:9">
      <c r="B60" s="2"/>
      <c r="C60" s="166"/>
      <c r="D60" s="166"/>
      <c r="E60" s="2"/>
      <c r="F60" s="2"/>
      <c r="G60" s="2"/>
      <c r="H60" s="2"/>
      <c r="I60" s="2"/>
    </row>
    <row r="61" spans="2:9">
      <c r="B61" s="2"/>
      <c r="C61" s="166"/>
      <c r="D61" s="166"/>
      <c r="E61" s="2"/>
      <c r="F61" s="2"/>
      <c r="G61" s="2"/>
      <c r="H61" s="2"/>
      <c r="I61" s="2"/>
    </row>
    <row r="62" spans="2:9">
      <c r="B62" s="2"/>
      <c r="C62" s="166"/>
      <c r="D62" s="166"/>
      <c r="E62" s="2"/>
      <c r="F62" s="2"/>
      <c r="G62" s="2"/>
      <c r="H62" s="2"/>
      <c r="I62" s="2"/>
    </row>
    <row r="63" spans="2:9">
      <c r="B63" s="2"/>
      <c r="C63" s="166"/>
      <c r="D63" s="166"/>
      <c r="E63" s="2"/>
      <c r="F63" s="2"/>
      <c r="G63" s="2"/>
      <c r="H63" s="2"/>
      <c r="I63" s="2"/>
    </row>
    <row r="64" spans="2:9">
      <c r="B64" s="2"/>
      <c r="C64" s="166"/>
      <c r="D64" s="166"/>
      <c r="E64" s="2"/>
      <c r="F64" s="2"/>
      <c r="G64" s="2"/>
      <c r="H64" s="2"/>
      <c r="I64" s="2"/>
    </row>
    <row r="65" spans="2:9">
      <c r="B65" s="2"/>
      <c r="C65" s="166"/>
      <c r="D65" s="166"/>
      <c r="E65" s="2"/>
      <c r="F65" s="2"/>
      <c r="G65" s="2"/>
      <c r="H65" s="2"/>
      <c r="I65" s="2"/>
    </row>
    <row r="66" spans="2:9">
      <c r="B66" s="2"/>
      <c r="C66" s="166"/>
      <c r="D66" s="166"/>
      <c r="E66" s="2"/>
      <c r="F66" s="2"/>
      <c r="G66" s="2"/>
      <c r="H66" s="2"/>
      <c r="I66" s="2"/>
    </row>
    <row r="67" spans="2:5">
      <c r="B67" s="2"/>
      <c r="C67" s="166"/>
      <c r="D67" s="166"/>
      <c r="E67" s="2"/>
    </row>
    <row r="68" spans="2:5">
      <c r="B68" s="2"/>
      <c r="C68" s="166"/>
      <c r="D68" s="166"/>
      <c r="E68" s="2"/>
    </row>
    <row r="69" spans="2:5">
      <c r="B69" s="2"/>
      <c r="C69" s="166"/>
      <c r="D69" s="166"/>
      <c r="E69" s="2"/>
    </row>
    <row r="70" spans="2:5">
      <c r="B70" s="2"/>
      <c r="C70" s="166"/>
      <c r="D70" s="166"/>
      <c r="E70" s="2"/>
    </row>
    <row r="71" spans="2:5">
      <c r="B71" s="2"/>
      <c r="C71" s="166"/>
      <c r="D71" s="166"/>
      <c r="E71" s="2"/>
    </row>
    <row r="72" spans="2:5">
      <c r="B72" s="2"/>
      <c r="C72" s="166"/>
      <c r="D72" s="166"/>
      <c r="E72" s="2"/>
    </row>
    <row r="73" spans="2:5">
      <c r="B73" s="2"/>
      <c r="C73" s="166"/>
      <c r="D73" s="166"/>
      <c r="E73" s="2"/>
    </row>
    <row r="74" spans="2:5">
      <c r="B74" s="2"/>
      <c r="C74" s="166"/>
      <c r="D74" s="166"/>
      <c r="E74" s="2"/>
    </row>
  </sheetData>
  <mergeCells count="8">
    <mergeCell ref="A1:B1"/>
    <mergeCell ref="C1:D1"/>
    <mergeCell ref="A2:B2"/>
    <mergeCell ref="C2:D2"/>
    <mergeCell ref="A3:B3"/>
    <mergeCell ref="A4:B4"/>
    <mergeCell ref="A5:B5"/>
    <mergeCell ref="D3:D5"/>
  </mergeCells>
  <printOptions horizontalCentered="1"/>
  <pageMargins left="0.393700787401575" right="0.31496062992126" top="0.354330708661417" bottom="0.15748031496063" header="0.31496062992126" footer="0.31496062992126"/>
  <pageSetup paperSize="9" orientation="landscape"/>
  <headerFooter/>
  <rowBreaks count="1" manualBreakCount="1">
    <brk id="28" max="3" man="1"/>
  </rowBreaks>
  <ignoredErrors>
    <ignoredError sqref="D2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74"/>
  <sheetViews>
    <sheetView zoomScale="85" zoomScaleNormal="85" workbookViewId="0">
      <pane xSplit="2" ySplit="7" topLeftCell="C32" activePane="bottomRight" state="frozen"/>
      <selection/>
      <selection pane="topRight"/>
      <selection pane="bottomLeft"/>
      <selection pane="bottomRight" activeCell="E55" sqref="E55"/>
    </sheetView>
  </sheetViews>
  <sheetFormatPr defaultColWidth="9" defaultRowHeight="14.5"/>
  <cols>
    <col min="1" max="1" width="5.12727272727273" style="137" customWidth="1"/>
    <col min="2" max="2" width="17.5" style="137" customWidth="1"/>
    <col min="3" max="3" width="15.5" style="138" customWidth="1"/>
    <col min="4" max="4" width="18.7545454545455" style="138" customWidth="1"/>
    <col min="5" max="5" width="12.3727272727273" style="137" customWidth="1"/>
    <col min="6" max="6" width="10.1272727272727" style="137" customWidth="1"/>
    <col min="7" max="13" width="9" style="137" customWidth="1"/>
    <col min="14" max="30" width="9" style="137"/>
    <col min="31" max="31" width="4.37272727272727" style="137" customWidth="1"/>
    <col min="32" max="32" width="13.8727272727273" style="137" customWidth="1"/>
    <col min="33" max="16384" width="9" style="137"/>
  </cols>
  <sheetData>
    <row r="1" spans="1:4">
      <c r="A1" s="139" t="s">
        <v>148</v>
      </c>
      <c r="B1" s="139"/>
      <c r="C1" s="140" t="s">
        <v>164</v>
      </c>
      <c r="D1" s="141"/>
    </row>
    <row r="2" spans="1:4">
      <c r="A2" s="139" t="s">
        <v>150</v>
      </c>
      <c r="B2" s="139"/>
      <c r="C2" s="142" t="s">
        <v>151</v>
      </c>
      <c r="D2" s="142"/>
    </row>
    <row r="3" ht="16.5" spans="1:4">
      <c r="A3" s="139" t="s">
        <v>152</v>
      </c>
      <c r="B3" s="139"/>
      <c r="C3" s="21" t="s">
        <v>153</v>
      </c>
      <c r="D3" s="143" t="s">
        <v>56</v>
      </c>
    </row>
    <row r="4" ht="33" spans="1:4">
      <c r="A4" s="139" t="s">
        <v>154</v>
      </c>
      <c r="B4" s="139"/>
      <c r="C4" s="23" t="s">
        <v>155</v>
      </c>
      <c r="D4" s="144"/>
    </row>
    <row r="5" ht="16.5" spans="1:33">
      <c r="A5" s="139" t="s">
        <v>156</v>
      </c>
      <c r="B5" s="139"/>
      <c r="C5" s="23" t="s">
        <v>165</v>
      </c>
      <c r="D5" s="145"/>
      <c r="AG5" s="137" t="s">
        <v>57</v>
      </c>
    </row>
    <row r="6" ht="16.5" spans="1:33">
      <c r="A6" s="146" t="s">
        <v>21</v>
      </c>
      <c r="B6" s="147" t="s">
        <v>158</v>
      </c>
      <c r="C6" s="148">
        <f>销量!C10</f>
        <v>10000</v>
      </c>
      <c r="D6" s="149">
        <f t="shared" ref="D6:D15" si="0">+SUM(C6:C6)</f>
        <v>10000</v>
      </c>
      <c r="O6" s="147" t="s">
        <v>3</v>
      </c>
      <c r="AE6" s="146" t="s">
        <v>21</v>
      </c>
      <c r="AF6" s="147" t="s">
        <v>3</v>
      </c>
      <c r="AG6" s="137" t="s">
        <v>58</v>
      </c>
    </row>
    <row r="7" spans="1:33">
      <c r="A7" s="139">
        <v>1</v>
      </c>
      <c r="B7" s="147" t="s">
        <v>59</v>
      </c>
      <c r="C7" s="149">
        <f>C6*销量!C8</f>
        <v>18185840.7079646</v>
      </c>
      <c r="D7" s="149">
        <f t="shared" si="0"/>
        <v>18185840.7079646</v>
      </c>
      <c r="E7" s="138"/>
      <c r="O7" s="147" t="s">
        <v>59</v>
      </c>
      <c r="AE7" s="146" t="s">
        <v>60</v>
      </c>
      <c r="AF7" s="147" t="s">
        <v>59</v>
      </c>
      <c r="AG7" s="137" t="s">
        <v>58</v>
      </c>
    </row>
    <row r="8" spans="1:33">
      <c r="A8" s="139">
        <v>2</v>
      </c>
      <c r="B8" s="139" t="s">
        <v>61</v>
      </c>
      <c r="C8" s="149">
        <f>C7*(1-销量!$P$7)</f>
        <v>1091150.44247788</v>
      </c>
      <c r="D8" s="149">
        <f t="shared" si="0"/>
        <v>1091150.44247788</v>
      </c>
      <c r="E8" s="150"/>
      <c r="O8" s="139" t="s">
        <v>63</v>
      </c>
      <c r="AE8" s="146" t="s">
        <v>62</v>
      </c>
      <c r="AF8" s="139" t="s">
        <v>63</v>
      </c>
      <c r="AG8" s="137" t="s">
        <v>58</v>
      </c>
    </row>
    <row r="9" spans="1:33">
      <c r="A9" s="139">
        <v>3</v>
      </c>
      <c r="B9" s="147" t="s">
        <v>64</v>
      </c>
      <c r="C9" s="149">
        <f>+C7-C8</f>
        <v>17094690.2654867</v>
      </c>
      <c r="D9" s="149">
        <f t="shared" si="0"/>
        <v>17094690.2654867</v>
      </c>
      <c r="O9" s="147" t="s">
        <v>64</v>
      </c>
      <c r="AE9" s="146" t="s">
        <v>65</v>
      </c>
      <c r="AF9" s="147" t="s">
        <v>64</v>
      </c>
      <c r="AG9" s="137" t="s">
        <v>66</v>
      </c>
    </row>
    <row r="10" spans="1:33">
      <c r="A10" s="139">
        <v>4</v>
      </c>
      <c r="B10" s="146" t="s">
        <v>69</v>
      </c>
      <c r="C10" s="149">
        <f>C6*C33</f>
        <v>11766049.9442654</v>
      </c>
      <c r="D10" s="149">
        <f t="shared" si="0"/>
        <v>11766049.9442654</v>
      </c>
      <c r="O10" s="146" t="s">
        <v>69</v>
      </c>
      <c r="AE10" s="146" t="s">
        <v>68</v>
      </c>
      <c r="AF10" s="146" t="s">
        <v>69</v>
      </c>
      <c r="AG10" s="137" t="s">
        <v>70</v>
      </c>
    </row>
    <row r="11" spans="1:32">
      <c r="A11" s="139">
        <v>5</v>
      </c>
      <c r="B11" s="146" t="s">
        <v>71</v>
      </c>
      <c r="C11" s="149">
        <f>+C6*C36</f>
        <v>783809.734513274</v>
      </c>
      <c r="D11" s="149">
        <f t="shared" si="0"/>
        <v>783809.734513274</v>
      </c>
      <c r="O11" s="146" t="s">
        <v>71</v>
      </c>
      <c r="AE11" s="146" t="s">
        <v>72</v>
      </c>
      <c r="AF11" s="146" t="s">
        <v>71</v>
      </c>
    </row>
    <row r="12" spans="1:32">
      <c r="A12" s="139">
        <v>6</v>
      </c>
      <c r="B12" s="146" t="s">
        <v>73</v>
      </c>
      <c r="C12" s="149">
        <f>+C6*C37</f>
        <v>394632.743362832</v>
      </c>
      <c r="D12" s="149">
        <f t="shared" si="0"/>
        <v>394632.743362832</v>
      </c>
      <c r="O12" s="146" t="s">
        <v>73</v>
      </c>
      <c r="AE12" s="146" t="s">
        <v>74</v>
      </c>
      <c r="AF12" s="146" t="s">
        <v>73</v>
      </c>
    </row>
    <row r="13" spans="1:33">
      <c r="A13" s="139">
        <v>7</v>
      </c>
      <c r="B13" s="146" t="s">
        <v>75</v>
      </c>
      <c r="C13" s="149">
        <f>+C6*C38</f>
        <v>800176.991150443</v>
      </c>
      <c r="D13" s="149">
        <f t="shared" si="0"/>
        <v>800176.991150443</v>
      </c>
      <c r="O13" s="146" t="s">
        <v>75</v>
      </c>
      <c r="AE13" s="146" t="s">
        <v>76</v>
      </c>
      <c r="AF13" s="146" t="s">
        <v>75</v>
      </c>
      <c r="AG13" s="137" t="s">
        <v>58</v>
      </c>
    </row>
    <row r="14" spans="1:32">
      <c r="A14" s="139">
        <v>8</v>
      </c>
      <c r="B14" s="151" t="s">
        <v>77</v>
      </c>
      <c r="C14" s="149">
        <f>SUM(C11:C13)</f>
        <v>1978619.46902655</v>
      </c>
      <c r="D14" s="149">
        <f t="shared" si="0"/>
        <v>1978619.46902655</v>
      </c>
      <c r="O14" s="151" t="s">
        <v>77</v>
      </c>
      <c r="AE14" s="146" t="s">
        <v>78</v>
      </c>
      <c r="AF14" s="151" t="s">
        <v>77</v>
      </c>
    </row>
    <row r="15" spans="1:32">
      <c r="A15" s="139">
        <v>9</v>
      </c>
      <c r="B15" s="151" t="s">
        <v>79</v>
      </c>
      <c r="C15" s="149">
        <f>+C9-C10-C14</f>
        <v>3350020.85219482</v>
      </c>
      <c r="D15" s="149">
        <f t="shared" si="0"/>
        <v>3350020.85219482</v>
      </c>
      <c r="O15" s="151" t="s">
        <v>79</v>
      </c>
      <c r="AE15" s="146" t="s">
        <v>80</v>
      </c>
      <c r="AF15" s="151" t="s">
        <v>79</v>
      </c>
    </row>
    <row r="16" spans="1:32">
      <c r="A16" s="139">
        <v>10</v>
      </c>
      <c r="B16" s="146" t="s">
        <v>81</v>
      </c>
      <c r="C16" s="152">
        <f>+C15/C9</f>
        <v>0.195968502509714</v>
      </c>
      <c r="D16" s="152">
        <f>+D15/D9</f>
        <v>0.195968502509714</v>
      </c>
      <c r="O16" s="146" t="s">
        <v>81</v>
      </c>
      <c r="AE16" s="146" t="s">
        <v>82</v>
      </c>
      <c r="AF16" s="146" t="s">
        <v>81</v>
      </c>
    </row>
    <row r="17" spans="1:32">
      <c r="A17" s="139">
        <v>11</v>
      </c>
      <c r="B17" s="146" t="s">
        <v>83</v>
      </c>
      <c r="C17" s="149">
        <f>C6*C43+C18</f>
        <v>1315619.46902655</v>
      </c>
      <c r="D17" s="149">
        <f>+SUM(C17:C17)</f>
        <v>1315619.46902655</v>
      </c>
      <c r="E17" s="150"/>
      <c r="O17" s="146" t="s">
        <v>83</v>
      </c>
      <c r="AE17" s="146" t="s">
        <v>84</v>
      </c>
      <c r="AF17" s="146" t="s">
        <v>83</v>
      </c>
    </row>
    <row r="18" s="135" customFormat="1" spans="1:7">
      <c r="A18" s="139">
        <v>12</v>
      </c>
      <c r="B18" s="154" t="s">
        <v>159</v>
      </c>
      <c r="C18" s="155">
        <f>$D$18/$D$6*C6</f>
        <v>570000</v>
      </c>
      <c r="D18" s="149">
        <f>项目投资!E26</f>
        <v>570000</v>
      </c>
      <c r="E18" s="156" t="s">
        <v>160</v>
      </c>
      <c r="F18" s="156"/>
      <c r="G18" s="156"/>
    </row>
    <row r="19" spans="1:33">
      <c r="A19" s="139">
        <v>13</v>
      </c>
      <c r="B19" s="146" t="s">
        <v>85</v>
      </c>
      <c r="C19" s="149">
        <f>C6*C44</f>
        <v>127300.884955752</v>
      </c>
      <c r="D19" s="149">
        <f>+SUM(C19:C19)</f>
        <v>127300.884955752</v>
      </c>
      <c r="E19" s="135"/>
      <c r="O19" s="146" t="s">
        <v>85</v>
      </c>
      <c r="AE19" s="146" t="s">
        <v>86</v>
      </c>
      <c r="AF19" s="146" t="s">
        <v>85</v>
      </c>
      <c r="AG19" s="137" t="s">
        <v>58</v>
      </c>
    </row>
    <row r="20" spans="1:32">
      <c r="A20" s="139">
        <v>14</v>
      </c>
      <c r="B20" s="146" t="s">
        <v>87</v>
      </c>
      <c r="C20" s="149">
        <f>C6*C45</f>
        <v>618318.584070797</v>
      </c>
      <c r="D20" s="149">
        <f>+SUM(C20:C20)</f>
        <v>618318.584070797</v>
      </c>
      <c r="O20" s="146" t="s">
        <v>87</v>
      </c>
      <c r="AE20" s="146" t="s">
        <v>88</v>
      </c>
      <c r="AF20" s="146" t="s">
        <v>87</v>
      </c>
    </row>
    <row r="21" spans="1:32">
      <c r="A21" s="139">
        <v>15</v>
      </c>
      <c r="B21" s="146" t="s">
        <v>89</v>
      </c>
      <c r="C21" s="157">
        <f>$D$21/$D$6*C6</f>
        <v>0</v>
      </c>
      <c r="D21" s="149">
        <f>项目投资!E27</f>
        <v>0</v>
      </c>
      <c r="O21" s="146" t="s">
        <v>89</v>
      </c>
      <c r="AE21" s="146"/>
      <c r="AF21" s="146"/>
    </row>
    <row r="22" spans="1:32">
      <c r="A22" s="139">
        <v>16</v>
      </c>
      <c r="B22" s="146" t="s">
        <v>90</v>
      </c>
      <c r="C22" s="149">
        <f>C6*C47</f>
        <v>545575.221238938</v>
      </c>
      <c r="D22" s="149">
        <f>+SUM(C22:C22)</f>
        <v>545575.221238938</v>
      </c>
      <c r="O22" s="146" t="s">
        <v>90</v>
      </c>
      <c r="AE22" s="146" t="s">
        <v>91</v>
      </c>
      <c r="AF22" s="146" t="s">
        <v>90</v>
      </c>
    </row>
    <row r="23" spans="1:32">
      <c r="A23" s="139">
        <v>17</v>
      </c>
      <c r="B23" s="151" t="s">
        <v>92</v>
      </c>
      <c r="C23" s="157">
        <f>+C22+C21+C20+C19+C17</f>
        <v>2606814.15929204</v>
      </c>
      <c r="D23" s="157">
        <f>+D22+D21+D20+D19+D17</f>
        <v>2606814.15929204</v>
      </c>
      <c r="O23" s="151" t="s">
        <v>92</v>
      </c>
      <c r="AE23" s="146" t="s">
        <v>93</v>
      </c>
      <c r="AF23" s="151" t="s">
        <v>92</v>
      </c>
    </row>
    <row r="24" spans="1:32">
      <c r="A24" s="139">
        <v>18</v>
      </c>
      <c r="B24" s="158" t="s">
        <v>94</v>
      </c>
      <c r="C24" s="157">
        <f>+C15-C23</f>
        <v>743206.692902788</v>
      </c>
      <c r="D24" s="157">
        <f>+D15-D23</f>
        <v>743206.692902788</v>
      </c>
      <c r="F24" s="159"/>
      <c r="O24" s="146" t="s">
        <v>94</v>
      </c>
      <c r="AE24" s="146" t="s">
        <v>95</v>
      </c>
      <c r="AF24" s="146" t="s">
        <v>94</v>
      </c>
    </row>
    <row r="25" spans="1:32">
      <c r="A25" s="139">
        <v>19</v>
      </c>
      <c r="B25" s="146" t="s">
        <v>161</v>
      </c>
      <c r="C25" s="157"/>
      <c r="D25" s="157">
        <f>IF(D24&lt;0,0,D24*0.25)</f>
        <v>185801.673225697</v>
      </c>
      <c r="E25" s="2"/>
      <c r="F25" s="2"/>
      <c r="G25" s="2"/>
      <c r="O25" s="146" t="s">
        <v>38</v>
      </c>
      <c r="AE25" s="146" t="s">
        <v>96</v>
      </c>
      <c r="AF25" s="146" t="s">
        <v>38</v>
      </c>
    </row>
    <row r="26" spans="1:32">
      <c r="A26" s="139">
        <v>20</v>
      </c>
      <c r="B26" s="146" t="s">
        <v>97</v>
      </c>
      <c r="C26" s="157">
        <f>C24-C25</f>
        <v>743206.692902788</v>
      </c>
      <c r="D26" s="149">
        <f>+SUM(C26:C26)</f>
        <v>743206.692902788</v>
      </c>
      <c r="E26" s="2"/>
      <c r="F26" s="2"/>
      <c r="G26" s="2"/>
      <c r="O26" s="146" t="s">
        <v>97</v>
      </c>
      <c r="AE26" s="146" t="s">
        <v>98</v>
      </c>
      <c r="AF26" s="146" t="s">
        <v>97</v>
      </c>
    </row>
    <row r="27" spans="1:32">
      <c r="A27" s="139">
        <v>21</v>
      </c>
      <c r="B27" s="146" t="s">
        <v>101</v>
      </c>
      <c r="C27" s="160">
        <f>C26/C7</f>
        <v>0.0408673266657007</v>
      </c>
      <c r="D27" s="161">
        <f>D26/D7</f>
        <v>0.0408673266657007</v>
      </c>
      <c r="E27" s="2"/>
      <c r="F27" s="2"/>
      <c r="G27" s="2"/>
      <c r="O27" s="146" t="s">
        <v>101</v>
      </c>
      <c r="AE27" s="146" t="s">
        <v>100</v>
      </c>
      <c r="AF27" s="146" t="s">
        <v>101</v>
      </c>
    </row>
    <row r="28" spans="5:15">
      <c r="E28" s="2"/>
      <c r="F28" s="2"/>
      <c r="G28" s="2"/>
      <c r="O28" s="146"/>
    </row>
    <row r="29" spans="1:31">
      <c r="A29" s="137" t="s">
        <v>102</v>
      </c>
      <c r="D29" s="138" t="s">
        <v>162</v>
      </c>
      <c r="E29" s="2"/>
      <c r="F29" s="2"/>
      <c r="G29" s="2"/>
      <c r="O29" s="146"/>
      <c r="AE29" s="137" t="s">
        <v>102</v>
      </c>
    </row>
    <row r="30" spans="1:32">
      <c r="A30" s="146" t="s">
        <v>103</v>
      </c>
      <c r="B30" s="151" t="s">
        <v>104</v>
      </c>
      <c r="C30" s="157"/>
      <c r="D30" s="157"/>
      <c r="E30" s="2"/>
      <c r="F30" s="2"/>
      <c r="G30" s="2"/>
      <c r="I30" s="2"/>
      <c r="O30" s="151" t="s">
        <v>104</v>
      </c>
      <c r="AE30" s="146" t="s">
        <v>105</v>
      </c>
      <c r="AF30" s="151" t="s">
        <v>104</v>
      </c>
    </row>
    <row r="31" spans="1:32">
      <c r="A31" s="139">
        <v>1</v>
      </c>
      <c r="B31" s="154" t="s">
        <v>106</v>
      </c>
      <c r="C31" s="162">
        <f>销量!C8</f>
        <v>1818.58407079646</v>
      </c>
      <c r="D31" s="157"/>
      <c r="E31" s="2"/>
      <c r="F31" s="2"/>
      <c r="G31" s="2"/>
      <c r="I31" s="2"/>
      <c r="O31" s="146" t="s">
        <v>106</v>
      </c>
      <c r="AE31" s="146" t="s">
        <v>60</v>
      </c>
      <c r="AF31" s="146" t="s">
        <v>106</v>
      </c>
    </row>
    <row r="32" spans="1:32">
      <c r="A32" s="139">
        <v>2</v>
      </c>
      <c r="B32" s="146" t="s">
        <v>163</v>
      </c>
      <c r="C32" s="149">
        <f>C31*1</f>
        <v>1818.58407079646</v>
      </c>
      <c r="D32" s="157"/>
      <c r="E32" s="2"/>
      <c r="F32" s="2"/>
      <c r="G32" s="2"/>
      <c r="H32" s="2"/>
      <c r="I32" s="2"/>
      <c r="J32" s="2"/>
      <c r="K32" s="2"/>
      <c r="AE32" s="146"/>
      <c r="AF32" s="146"/>
    </row>
    <row r="33" spans="1:32">
      <c r="A33" s="139">
        <v>3</v>
      </c>
      <c r="B33" s="154" t="s">
        <v>107</v>
      </c>
      <c r="C33" s="149">
        <f>材料成本!D27</f>
        <v>1176.60499442654</v>
      </c>
      <c r="D33" s="157"/>
      <c r="F33" s="2"/>
      <c r="G33" s="2"/>
      <c r="H33" s="2"/>
      <c r="I33" s="2"/>
      <c r="J33" s="2"/>
      <c r="K33" s="2"/>
      <c r="O33" s="146" t="s">
        <v>107</v>
      </c>
      <c r="AE33" s="146" t="s">
        <v>62</v>
      </c>
      <c r="AF33" s="146" t="s">
        <v>107</v>
      </c>
    </row>
    <row r="34" ht="17.25" customHeight="1" spans="1:32">
      <c r="A34" s="139">
        <v>4</v>
      </c>
      <c r="B34" s="146" t="s">
        <v>109</v>
      </c>
      <c r="C34" s="163">
        <f>C32-C33</f>
        <v>641.979076369925</v>
      </c>
      <c r="D34" s="157"/>
      <c r="F34" s="2"/>
      <c r="G34" s="2"/>
      <c r="H34" s="2"/>
      <c r="I34" s="2"/>
      <c r="J34" s="2"/>
      <c r="K34" s="2"/>
      <c r="O34" s="146" t="s">
        <v>109</v>
      </c>
      <c r="AE34" s="146" t="s">
        <v>108</v>
      </c>
      <c r="AF34" s="146" t="s">
        <v>109</v>
      </c>
    </row>
    <row r="35" spans="1:32">
      <c r="A35" s="146" t="s">
        <v>105</v>
      </c>
      <c r="B35" s="151" t="s">
        <v>10</v>
      </c>
      <c r="C35" s="157"/>
      <c r="D35" s="157"/>
      <c r="E35" s="2"/>
      <c r="F35" s="2"/>
      <c r="G35" s="2"/>
      <c r="H35" s="2"/>
      <c r="I35" s="2"/>
      <c r="J35" s="2"/>
      <c r="K35" s="2"/>
      <c r="L35" s="2"/>
      <c r="M35" s="2"/>
      <c r="N35" s="2"/>
      <c r="O35" s="151" t="s">
        <v>10</v>
      </c>
      <c r="AE35" s="146" t="s">
        <v>111</v>
      </c>
      <c r="AF35" s="151" t="s">
        <v>10</v>
      </c>
    </row>
    <row r="36" spans="1:32">
      <c r="A36" s="139">
        <v>1</v>
      </c>
      <c r="B36" s="146" t="s">
        <v>112</v>
      </c>
      <c r="C36" s="155">
        <f>标准成本!E4</f>
        <v>78.3809734513274</v>
      </c>
      <c r="D36" s="162"/>
      <c r="E36" s="2"/>
      <c r="F36" s="2"/>
      <c r="G36" s="2"/>
      <c r="H36" s="2"/>
      <c r="I36" s="2"/>
      <c r="J36" s="2"/>
      <c r="K36" s="2"/>
      <c r="L36" s="2"/>
      <c r="M36" s="2"/>
      <c r="N36" s="2"/>
      <c r="O36" s="146" t="s">
        <v>112</v>
      </c>
      <c r="AE36" s="146" t="s">
        <v>108</v>
      </c>
      <c r="AF36" s="146" t="s">
        <v>112</v>
      </c>
    </row>
    <row r="37" spans="1:32">
      <c r="A37" s="139">
        <v>2</v>
      </c>
      <c r="B37" s="146" t="s">
        <v>113</v>
      </c>
      <c r="C37" s="155">
        <f>标准成本!E6</f>
        <v>39.4632743362832</v>
      </c>
      <c r="D37" s="162"/>
      <c r="E37" s="2"/>
      <c r="F37" s="2"/>
      <c r="G37" s="2"/>
      <c r="H37" s="2"/>
      <c r="I37" s="2"/>
      <c r="J37" s="2"/>
      <c r="K37" s="2"/>
      <c r="L37" s="2"/>
      <c r="M37" s="2"/>
      <c r="N37" s="2"/>
      <c r="O37" s="146" t="s">
        <v>113</v>
      </c>
      <c r="AE37" s="146" t="s">
        <v>65</v>
      </c>
      <c r="AF37" s="146" t="s">
        <v>113</v>
      </c>
    </row>
    <row r="38" spans="1:32">
      <c r="A38" s="139">
        <v>3</v>
      </c>
      <c r="B38" s="146" t="s">
        <v>114</v>
      </c>
      <c r="C38" s="155">
        <f>标准成本!E10</f>
        <v>80.0176991150443</v>
      </c>
      <c r="D38" s="162"/>
      <c r="E38" s="2"/>
      <c r="F38" s="2"/>
      <c r="G38" s="2"/>
      <c r="H38" s="2"/>
      <c r="I38" s="2"/>
      <c r="J38" s="2"/>
      <c r="K38" s="2"/>
      <c r="L38" s="2"/>
      <c r="M38" s="2"/>
      <c r="N38" s="2"/>
      <c r="O38" s="146" t="s">
        <v>114</v>
      </c>
      <c r="AE38" s="146" t="s">
        <v>72</v>
      </c>
      <c r="AF38" s="146" t="s">
        <v>114</v>
      </c>
    </row>
    <row r="39" spans="1:32">
      <c r="A39" s="146" t="s">
        <v>111</v>
      </c>
      <c r="B39" s="151" t="s">
        <v>116</v>
      </c>
      <c r="C39" s="157"/>
      <c r="D39" s="157"/>
      <c r="O39" s="151" t="s">
        <v>116</v>
      </c>
      <c r="AE39" s="146" t="s">
        <v>115</v>
      </c>
      <c r="AF39" s="151" t="s">
        <v>116</v>
      </c>
    </row>
    <row r="40" spans="1:32">
      <c r="A40" s="139">
        <v>1</v>
      </c>
      <c r="B40" s="146" t="s">
        <v>118</v>
      </c>
      <c r="C40" s="157">
        <f>C34-C36-C37-C38</f>
        <v>444.11712946727</v>
      </c>
      <c r="D40" s="157"/>
      <c r="O40" s="146" t="s">
        <v>118</v>
      </c>
      <c r="AE40" s="146" t="s">
        <v>60</v>
      </c>
      <c r="AF40" s="146" t="s">
        <v>118</v>
      </c>
    </row>
    <row r="41" spans="1:32">
      <c r="A41" s="139">
        <v>2</v>
      </c>
      <c r="B41" s="146" t="s">
        <v>119</v>
      </c>
      <c r="C41" s="157"/>
      <c r="D41" s="157"/>
      <c r="O41" s="146" t="s">
        <v>119</v>
      </c>
      <c r="AE41" s="146" t="s">
        <v>62</v>
      </c>
      <c r="AF41" s="146" t="s">
        <v>119</v>
      </c>
    </row>
    <row r="42" spans="1:32">
      <c r="A42" s="146" t="s">
        <v>115</v>
      </c>
      <c r="B42" s="151" t="s">
        <v>121</v>
      </c>
      <c r="C42" s="157"/>
      <c r="D42" s="157"/>
      <c r="O42" s="151" t="s">
        <v>121</v>
      </c>
      <c r="AE42" s="146" t="s">
        <v>120</v>
      </c>
      <c r="AF42" s="151" t="s">
        <v>121</v>
      </c>
    </row>
    <row r="43" spans="1:32">
      <c r="A43" s="139">
        <v>1</v>
      </c>
      <c r="B43" s="158" t="s">
        <v>122</v>
      </c>
      <c r="C43" s="155">
        <f>标准成本!E5</f>
        <v>74.5619469026549</v>
      </c>
      <c r="D43" s="157"/>
      <c r="O43" s="146" t="s">
        <v>122</v>
      </c>
      <c r="AE43" s="146" t="s">
        <v>60</v>
      </c>
      <c r="AF43" s="146" t="s">
        <v>122</v>
      </c>
    </row>
    <row r="44" spans="1:32">
      <c r="A44" s="139">
        <v>2</v>
      </c>
      <c r="B44" s="158" t="s">
        <v>123</v>
      </c>
      <c r="C44" s="155">
        <f>标准成本!E9</f>
        <v>12.7300884955752</v>
      </c>
      <c r="D44" s="157"/>
      <c r="O44" s="146" t="s">
        <v>123</v>
      </c>
      <c r="AE44" s="146" t="s">
        <v>62</v>
      </c>
      <c r="AF44" s="146" t="s">
        <v>123</v>
      </c>
    </row>
    <row r="45" spans="1:32">
      <c r="A45" s="139">
        <v>3</v>
      </c>
      <c r="B45" s="158" t="s">
        <v>124</v>
      </c>
      <c r="C45" s="155">
        <f>标准成本!E8</f>
        <v>61.8318584070797</v>
      </c>
      <c r="D45" s="157"/>
      <c r="O45" s="146" t="s">
        <v>124</v>
      </c>
      <c r="AE45" s="146" t="s">
        <v>108</v>
      </c>
      <c r="AF45" s="146" t="s">
        <v>124</v>
      </c>
    </row>
    <row r="46" s="136" customFormat="1" spans="1:32">
      <c r="A46" s="139">
        <v>4</v>
      </c>
      <c r="B46" s="158" t="s">
        <v>125</v>
      </c>
      <c r="C46" s="164">
        <f>C21/C6</f>
        <v>0</v>
      </c>
      <c r="D46" s="164"/>
      <c r="O46" s="158" t="s">
        <v>127</v>
      </c>
      <c r="AE46" s="158" t="s">
        <v>68</v>
      </c>
      <c r="AF46" s="158" t="s">
        <v>127</v>
      </c>
    </row>
    <row r="47" s="136" customFormat="1" spans="1:32">
      <c r="A47" s="139">
        <v>5</v>
      </c>
      <c r="B47" s="158" t="s">
        <v>127</v>
      </c>
      <c r="C47" s="164">
        <f>标准成本!E11</f>
        <v>54.5575221238938</v>
      </c>
      <c r="D47" s="164"/>
      <c r="O47" s="158" t="s">
        <v>127</v>
      </c>
      <c r="AE47" s="158" t="s">
        <v>68</v>
      </c>
      <c r="AF47" s="158" t="s">
        <v>127</v>
      </c>
    </row>
    <row r="48" spans="1:32">
      <c r="A48" s="146" t="s">
        <v>120</v>
      </c>
      <c r="B48" s="151" t="s">
        <v>138</v>
      </c>
      <c r="C48" s="157">
        <f>C40-C43-C44-C45-C47-C46</f>
        <v>240.435713538066</v>
      </c>
      <c r="D48" s="157"/>
      <c r="O48" s="151" t="s">
        <v>138</v>
      </c>
      <c r="AE48" s="146" t="s">
        <v>137</v>
      </c>
      <c r="AF48" s="151" t="s">
        <v>138</v>
      </c>
    </row>
    <row r="51" spans="3:3">
      <c r="C51" s="165"/>
    </row>
    <row r="54" spans="2:9">
      <c r="B54" s="2"/>
      <c r="C54" s="166"/>
      <c r="D54" s="166"/>
      <c r="E54" s="2"/>
      <c r="F54" s="2"/>
      <c r="G54" s="2"/>
      <c r="H54" s="2"/>
      <c r="I54" s="2"/>
    </row>
    <row r="55" spans="2:9">
      <c r="B55" s="2"/>
      <c r="C55" s="166"/>
      <c r="D55" s="166"/>
      <c r="E55" s="2"/>
      <c r="F55" s="2"/>
      <c r="G55" s="2"/>
      <c r="H55" s="2"/>
      <c r="I55" s="2"/>
    </row>
    <row r="56" spans="2:9">
      <c r="B56" s="2"/>
      <c r="C56" s="166"/>
      <c r="D56" s="166"/>
      <c r="E56" s="2"/>
      <c r="F56" s="2"/>
      <c r="G56" s="2"/>
      <c r="H56" s="2"/>
      <c r="I56" s="2"/>
    </row>
    <row r="57" spans="2:9">
      <c r="B57" s="2"/>
      <c r="C57" s="166"/>
      <c r="D57" s="166"/>
      <c r="E57" s="2"/>
      <c r="F57" s="2"/>
      <c r="G57" s="2"/>
      <c r="H57" s="2"/>
      <c r="I57" s="2"/>
    </row>
    <row r="58" spans="2:9">
      <c r="B58" s="2"/>
      <c r="C58" s="166"/>
      <c r="D58" s="166"/>
      <c r="E58" s="2"/>
      <c r="F58" s="2"/>
      <c r="G58" s="2"/>
      <c r="H58" s="2"/>
      <c r="I58" s="2"/>
    </row>
    <row r="59" spans="2:9">
      <c r="B59" s="2"/>
      <c r="C59" s="166"/>
      <c r="D59" s="166"/>
      <c r="E59" s="2"/>
      <c r="F59" s="2"/>
      <c r="G59" s="2"/>
      <c r="H59" s="2"/>
      <c r="I59" s="2"/>
    </row>
    <row r="60" spans="2:9">
      <c r="B60" s="2"/>
      <c r="C60" s="166"/>
      <c r="D60" s="166"/>
      <c r="E60" s="2"/>
      <c r="F60" s="2"/>
      <c r="G60" s="2"/>
      <c r="H60" s="2"/>
      <c r="I60" s="2"/>
    </row>
    <row r="61" spans="2:9">
      <c r="B61" s="2"/>
      <c r="C61" s="166"/>
      <c r="D61" s="166"/>
      <c r="E61" s="2"/>
      <c r="F61" s="2"/>
      <c r="G61" s="2"/>
      <c r="H61" s="2"/>
      <c r="I61" s="2"/>
    </row>
    <row r="62" spans="2:9">
      <c r="B62" s="2"/>
      <c r="C62" s="166"/>
      <c r="D62" s="166"/>
      <c r="E62" s="2"/>
      <c r="F62" s="2"/>
      <c r="G62" s="2"/>
      <c r="H62" s="2"/>
      <c r="I62" s="2"/>
    </row>
    <row r="63" spans="2:9">
      <c r="B63" s="2"/>
      <c r="C63" s="166"/>
      <c r="D63" s="166"/>
      <c r="E63" s="2"/>
      <c r="F63" s="2"/>
      <c r="G63" s="2"/>
      <c r="H63" s="2"/>
      <c r="I63" s="2"/>
    </row>
    <row r="64" spans="2:9">
      <c r="B64" s="2"/>
      <c r="C64" s="166"/>
      <c r="D64" s="166"/>
      <c r="E64" s="2"/>
      <c r="F64" s="2"/>
      <c r="G64" s="2"/>
      <c r="H64" s="2"/>
      <c r="I64" s="2"/>
    </row>
    <row r="65" spans="2:9">
      <c r="B65" s="2"/>
      <c r="C65" s="166"/>
      <c r="D65" s="166"/>
      <c r="E65" s="2"/>
      <c r="F65" s="2"/>
      <c r="G65" s="2"/>
      <c r="H65" s="2"/>
      <c r="I65" s="2"/>
    </row>
    <row r="66" spans="2:9">
      <c r="B66" s="2"/>
      <c r="C66" s="166"/>
      <c r="D66" s="166"/>
      <c r="E66" s="2"/>
      <c r="F66" s="2"/>
      <c r="G66" s="2"/>
      <c r="H66" s="2"/>
      <c r="I66" s="2"/>
    </row>
    <row r="67" spans="2:5">
      <c r="B67" s="2"/>
      <c r="C67" s="166"/>
      <c r="D67" s="166"/>
      <c r="E67" s="2"/>
    </row>
    <row r="68" spans="2:5">
      <c r="B68" s="2"/>
      <c r="C68" s="166"/>
      <c r="D68" s="166"/>
      <c r="E68" s="2"/>
    </row>
    <row r="69" spans="2:5">
      <c r="B69" s="2"/>
      <c r="C69" s="166"/>
      <c r="D69" s="166"/>
      <c r="E69" s="2"/>
    </row>
    <row r="70" spans="2:5">
      <c r="B70" s="2"/>
      <c r="C70" s="166"/>
      <c r="D70" s="166"/>
      <c r="E70" s="2"/>
    </row>
    <row r="71" spans="2:5">
      <c r="B71" s="2"/>
      <c r="C71" s="166"/>
      <c r="D71" s="166"/>
      <c r="E71" s="2"/>
    </row>
    <row r="72" spans="2:5">
      <c r="B72" s="2"/>
      <c r="C72" s="166"/>
      <c r="D72" s="166"/>
      <c r="E72" s="2"/>
    </row>
    <row r="73" spans="2:5">
      <c r="B73" s="2"/>
      <c r="C73" s="166"/>
      <c r="D73" s="166"/>
      <c r="E73" s="2"/>
    </row>
    <row r="74" spans="2:5">
      <c r="B74" s="2"/>
      <c r="C74" s="166"/>
      <c r="D74" s="166"/>
      <c r="E74" s="2"/>
    </row>
  </sheetData>
  <mergeCells count="8">
    <mergeCell ref="A1:B1"/>
    <mergeCell ref="C1:D1"/>
    <mergeCell ref="A2:B2"/>
    <mergeCell ref="C2:D2"/>
    <mergeCell ref="A3:B3"/>
    <mergeCell ref="A4:B4"/>
    <mergeCell ref="A5:B5"/>
    <mergeCell ref="D3:D5"/>
  </mergeCells>
  <printOptions horizontalCentered="1"/>
  <pageMargins left="0.393700787401575" right="0.31496062992126" top="0.354330708661417" bottom="0.15748031496063" header="0.31496062992126" footer="0.31496062992126"/>
  <pageSetup paperSize="9" orientation="landscape"/>
  <headerFooter/>
  <rowBreaks count="1" manualBreakCount="1">
    <brk id="28" max="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74"/>
  <sheetViews>
    <sheetView zoomScale="85" zoomScaleNormal="85" workbookViewId="0">
      <pane xSplit="2" ySplit="7" topLeftCell="C8" activePane="bottomRight" state="frozen"/>
      <selection/>
      <selection pane="topRight"/>
      <selection pane="bottomLeft"/>
      <selection pane="bottomRight" activeCell="C18" sqref="C18"/>
    </sheetView>
  </sheetViews>
  <sheetFormatPr defaultColWidth="9" defaultRowHeight="14.5"/>
  <cols>
    <col min="1" max="1" width="5.12727272727273" style="137" customWidth="1"/>
    <col min="2" max="2" width="17.5" style="137" customWidth="1"/>
    <col min="3" max="3" width="15.5454545454545" style="138" customWidth="1"/>
    <col min="4" max="4" width="16.8181818181818" style="138" customWidth="1"/>
    <col min="5" max="5" width="12.3727272727273" style="137" customWidth="1"/>
    <col min="6" max="6" width="10.1272727272727" style="137" customWidth="1"/>
    <col min="7" max="13" width="9" style="137" customWidth="1"/>
    <col min="14" max="30" width="9" style="137"/>
    <col min="31" max="31" width="4.37272727272727" style="137" customWidth="1"/>
    <col min="32" max="32" width="13.8727272727273" style="137" customWidth="1"/>
    <col min="33" max="16384" width="9" style="137"/>
  </cols>
  <sheetData>
    <row r="1" spans="1:4">
      <c r="A1" s="139" t="s">
        <v>148</v>
      </c>
      <c r="B1" s="139"/>
      <c r="C1" s="140" t="s">
        <v>166</v>
      </c>
      <c r="D1" s="141"/>
    </row>
    <row r="2" spans="1:4">
      <c r="A2" s="139" t="s">
        <v>150</v>
      </c>
      <c r="B2" s="139"/>
      <c r="C2" s="142" t="s">
        <v>151</v>
      </c>
      <c r="D2" s="142"/>
    </row>
    <row r="3" ht="16.5" spans="1:4">
      <c r="A3" s="139" t="s">
        <v>152</v>
      </c>
      <c r="B3" s="139"/>
      <c r="C3" s="21" t="s">
        <v>153</v>
      </c>
      <c r="D3" s="143" t="s">
        <v>56</v>
      </c>
    </row>
    <row r="4" ht="33" spans="1:4">
      <c r="A4" s="139" t="s">
        <v>154</v>
      </c>
      <c r="B4" s="139"/>
      <c r="C4" s="23" t="s">
        <v>155</v>
      </c>
      <c r="D4" s="144"/>
    </row>
    <row r="5" ht="16.5" spans="1:33">
      <c r="A5" s="139" t="s">
        <v>156</v>
      </c>
      <c r="B5" s="139"/>
      <c r="C5" s="23" t="s">
        <v>165</v>
      </c>
      <c r="D5" s="145"/>
      <c r="AG5" s="137" t="s">
        <v>57</v>
      </c>
    </row>
    <row r="6" ht="16.5" spans="1:33">
      <c r="A6" s="146" t="s">
        <v>21</v>
      </c>
      <c r="B6" s="147" t="s">
        <v>158</v>
      </c>
      <c r="C6" s="148">
        <f>销量!C11</f>
        <v>20000</v>
      </c>
      <c r="D6" s="149">
        <f t="shared" ref="D6:D15" si="0">+SUM(C6:C6)</f>
        <v>20000</v>
      </c>
      <c r="O6" s="147" t="s">
        <v>3</v>
      </c>
      <c r="AE6" s="146" t="s">
        <v>21</v>
      </c>
      <c r="AF6" s="147" t="s">
        <v>3</v>
      </c>
      <c r="AG6" s="137" t="s">
        <v>58</v>
      </c>
    </row>
    <row r="7" spans="1:33">
      <c r="A7" s="139">
        <v>1</v>
      </c>
      <c r="B7" s="147" t="s">
        <v>59</v>
      </c>
      <c r="C7" s="149">
        <f>C6*销量!C8</f>
        <v>36371681.4159292</v>
      </c>
      <c r="D7" s="149">
        <f t="shared" si="0"/>
        <v>36371681.4159292</v>
      </c>
      <c r="E7" s="138"/>
      <c r="O7" s="147" t="s">
        <v>59</v>
      </c>
      <c r="AE7" s="146" t="s">
        <v>60</v>
      </c>
      <c r="AF7" s="147" t="s">
        <v>59</v>
      </c>
      <c r="AG7" s="137" t="s">
        <v>58</v>
      </c>
    </row>
    <row r="8" spans="1:33">
      <c r="A8" s="139">
        <v>2</v>
      </c>
      <c r="B8" s="139" t="s">
        <v>61</v>
      </c>
      <c r="C8" s="149">
        <f>C7*(1-销量!$P$8)</f>
        <v>4233663.71681416</v>
      </c>
      <c r="D8" s="149">
        <f t="shared" si="0"/>
        <v>4233663.71681416</v>
      </c>
      <c r="E8" s="150"/>
      <c r="O8" s="139" t="s">
        <v>63</v>
      </c>
      <c r="AE8" s="146" t="s">
        <v>62</v>
      </c>
      <c r="AF8" s="139" t="s">
        <v>63</v>
      </c>
      <c r="AG8" s="137" t="s">
        <v>58</v>
      </c>
    </row>
    <row r="9" spans="1:33">
      <c r="A9" s="139">
        <v>3</v>
      </c>
      <c r="B9" s="147" t="s">
        <v>64</v>
      </c>
      <c r="C9" s="149">
        <f>+C7-C8</f>
        <v>32138017.699115</v>
      </c>
      <c r="D9" s="149">
        <f t="shared" si="0"/>
        <v>32138017.699115</v>
      </c>
      <c r="O9" s="147" t="s">
        <v>64</v>
      </c>
      <c r="AE9" s="146" t="s">
        <v>65</v>
      </c>
      <c r="AF9" s="147" t="s">
        <v>64</v>
      </c>
      <c r="AG9" s="137" t="s">
        <v>66</v>
      </c>
    </row>
    <row r="10" spans="1:33">
      <c r="A10" s="139">
        <v>4</v>
      </c>
      <c r="B10" s="146" t="s">
        <v>69</v>
      </c>
      <c r="C10" s="149">
        <f>C6*C33</f>
        <v>22120173.8952189</v>
      </c>
      <c r="D10" s="149">
        <f t="shared" si="0"/>
        <v>22120173.8952189</v>
      </c>
      <c r="O10" s="146" t="s">
        <v>69</v>
      </c>
      <c r="AE10" s="146" t="s">
        <v>68</v>
      </c>
      <c r="AF10" s="146" t="s">
        <v>69</v>
      </c>
      <c r="AG10" s="137" t="s">
        <v>70</v>
      </c>
    </row>
    <row r="11" spans="1:32">
      <c r="A11" s="139">
        <v>5</v>
      </c>
      <c r="B11" s="146" t="s">
        <v>71</v>
      </c>
      <c r="C11" s="149">
        <f>+C6*C36</f>
        <v>1567619.46902655</v>
      </c>
      <c r="D11" s="149">
        <f t="shared" si="0"/>
        <v>1567619.46902655</v>
      </c>
      <c r="O11" s="146" t="s">
        <v>71</v>
      </c>
      <c r="AE11" s="146" t="s">
        <v>72</v>
      </c>
      <c r="AF11" s="146" t="s">
        <v>71</v>
      </c>
    </row>
    <row r="12" spans="1:32">
      <c r="A12" s="139">
        <v>6</v>
      </c>
      <c r="B12" s="146" t="s">
        <v>73</v>
      </c>
      <c r="C12" s="149">
        <f>+C6*C37</f>
        <v>789265.486725664</v>
      </c>
      <c r="D12" s="149">
        <f t="shared" si="0"/>
        <v>789265.486725664</v>
      </c>
      <c r="O12" s="146" t="s">
        <v>73</v>
      </c>
      <c r="AE12" s="146" t="s">
        <v>74</v>
      </c>
      <c r="AF12" s="146" t="s">
        <v>73</v>
      </c>
    </row>
    <row r="13" spans="1:33">
      <c r="A13" s="139">
        <v>7</v>
      </c>
      <c r="B13" s="146" t="s">
        <v>75</v>
      </c>
      <c r="C13" s="149">
        <f>+C6*C38</f>
        <v>1600353.98230089</v>
      </c>
      <c r="D13" s="149">
        <f t="shared" si="0"/>
        <v>1600353.98230089</v>
      </c>
      <c r="O13" s="146" t="s">
        <v>75</v>
      </c>
      <c r="AE13" s="146" t="s">
        <v>76</v>
      </c>
      <c r="AF13" s="146" t="s">
        <v>75</v>
      </c>
      <c r="AG13" s="137" t="s">
        <v>58</v>
      </c>
    </row>
    <row r="14" spans="1:32">
      <c r="A14" s="139">
        <v>8</v>
      </c>
      <c r="B14" s="151" t="s">
        <v>77</v>
      </c>
      <c r="C14" s="149">
        <f>SUM(C11:C13)</f>
        <v>3957238.9380531</v>
      </c>
      <c r="D14" s="149">
        <f t="shared" si="0"/>
        <v>3957238.9380531</v>
      </c>
      <c r="O14" s="151" t="s">
        <v>77</v>
      </c>
      <c r="AE14" s="146" t="s">
        <v>78</v>
      </c>
      <c r="AF14" s="151" t="s">
        <v>77</v>
      </c>
    </row>
    <row r="15" spans="1:32">
      <c r="A15" s="139">
        <v>9</v>
      </c>
      <c r="B15" s="151" t="s">
        <v>79</v>
      </c>
      <c r="C15" s="149">
        <f>+C9-C10-C14</f>
        <v>6060604.86584309</v>
      </c>
      <c r="D15" s="149">
        <f t="shared" si="0"/>
        <v>6060604.86584309</v>
      </c>
      <c r="O15" s="151" t="s">
        <v>79</v>
      </c>
      <c r="AE15" s="146" t="s">
        <v>80</v>
      </c>
      <c r="AF15" s="151" t="s">
        <v>79</v>
      </c>
    </row>
    <row r="16" spans="1:32">
      <c r="A16" s="139">
        <v>10</v>
      </c>
      <c r="B16" s="146" t="s">
        <v>81</v>
      </c>
      <c r="C16" s="152">
        <f>+C15/C9</f>
        <v>0.188580544157519</v>
      </c>
      <c r="D16" s="152">
        <f>+D15/D9</f>
        <v>0.188580544157519</v>
      </c>
      <c r="E16" s="153"/>
      <c r="F16" s="153"/>
      <c r="G16" s="153"/>
      <c r="O16" s="146" t="s">
        <v>81</v>
      </c>
      <c r="AE16" s="146" t="s">
        <v>82</v>
      </c>
      <c r="AF16" s="146" t="s">
        <v>81</v>
      </c>
    </row>
    <row r="17" spans="1:32">
      <c r="A17" s="139">
        <v>11</v>
      </c>
      <c r="B17" s="146" t="s">
        <v>83</v>
      </c>
      <c r="C17" s="149">
        <f>C6*C43+C18</f>
        <v>2061238.9380531</v>
      </c>
      <c r="D17" s="149">
        <f>+SUM(C17:C17)</f>
        <v>2061238.9380531</v>
      </c>
      <c r="E17" s="150"/>
      <c r="O17" s="146" t="s">
        <v>83</v>
      </c>
      <c r="AE17" s="146" t="s">
        <v>84</v>
      </c>
      <c r="AF17" s="146" t="s">
        <v>83</v>
      </c>
    </row>
    <row r="18" s="135" customFormat="1" spans="1:7">
      <c r="A18" s="139">
        <v>12</v>
      </c>
      <c r="B18" s="154" t="s">
        <v>159</v>
      </c>
      <c r="C18" s="155">
        <f>$D$18/$D$6*C6</f>
        <v>570000</v>
      </c>
      <c r="D18" s="149">
        <f>项目投资!F26</f>
        <v>570000</v>
      </c>
      <c r="E18" s="156" t="s">
        <v>160</v>
      </c>
      <c r="F18" s="156"/>
      <c r="G18" s="156"/>
    </row>
    <row r="19" spans="1:33">
      <c r="A19" s="139">
        <v>13</v>
      </c>
      <c r="B19" s="146" t="s">
        <v>85</v>
      </c>
      <c r="C19" s="149">
        <f>C6*C44</f>
        <v>254601.769911504</v>
      </c>
      <c r="D19" s="149">
        <f>+SUM(C19:C19)</f>
        <v>254601.769911504</v>
      </c>
      <c r="E19" s="135"/>
      <c r="O19" s="146" t="s">
        <v>85</v>
      </c>
      <c r="AE19" s="146" t="s">
        <v>86</v>
      </c>
      <c r="AF19" s="146" t="s">
        <v>85</v>
      </c>
      <c r="AG19" s="137" t="s">
        <v>58</v>
      </c>
    </row>
    <row r="20" spans="1:32">
      <c r="A20" s="139">
        <v>14</v>
      </c>
      <c r="B20" s="146" t="s">
        <v>87</v>
      </c>
      <c r="C20" s="149">
        <f>C6*C45</f>
        <v>1236637.16814159</v>
      </c>
      <c r="D20" s="149">
        <f>+SUM(C20:C20)</f>
        <v>1236637.16814159</v>
      </c>
      <c r="O20" s="146" t="s">
        <v>87</v>
      </c>
      <c r="AE20" s="146" t="s">
        <v>88</v>
      </c>
      <c r="AF20" s="146" t="s">
        <v>87</v>
      </c>
    </row>
    <row r="21" spans="1:32">
      <c r="A21" s="139">
        <v>15</v>
      </c>
      <c r="B21" s="146" t="s">
        <v>89</v>
      </c>
      <c r="C21" s="157">
        <f>$D$21/$D$6*C6</f>
        <v>0</v>
      </c>
      <c r="D21" s="149">
        <f>项目投资!F27</f>
        <v>0</v>
      </c>
      <c r="O21" s="146" t="s">
        <v>89</v>
      </c>
      <c r="AE21" s="146"/>
      <c r="AF21" s="146"/>
    </row>
    <row r="22" spans="1:32">
      <c r="A22" s="139">
        <v>16</v>
      </c>
      <c r="B22" s="146" t="s">
        <v>90</v>
      </c>
      <c r="C22" s="149">
        <f>C6*C47</f>
        <v>1091150.44247788</v>
      </c>
      <c r="D22" s="149">
        <f>+SUM(C22:C22)</f>
        <v>1091150.44247788</v>
      </c>
      <c r="O22" s="146" t="s">
        <v>90</v>
      </c>
      <c r="AE22" s="146" t="s">
        <v>91</v>
      </c>
      <c r="AF22" s="146" t="s">
        <v>90</v>
      </c>
    </row>
    <row r="23" spans="1:32">
      <c r="A23" s="139">
        <v>17</v>
      </c>
      <c r="B23" s="151" t="s">
        <v>92</v>
      </c>
      <c r="C23" s="157">
        <f>+C22+C21+C20+C19+C17</f>
        <v>4643628.31858407</v>
      </c>
      <c r="D23" s="157">
        <f>+D22+D21+D20+D19+D17</f>
        <v>4643628.31858407</v>
      </c>
      <c r="O23" s="151" t="s">
        <v>92</v>
      </c>
      <c r="AE23" s="146" t="s">
        <v>93</v>
      </c>
      <c r="AF23" s="151" t="s">
        <v>92</v>
      </c>
    </row>
    <row r="24" spans="1:32">
      <c r="A24" s="139">
        <v>18</v>
      </c>
      <c r="B24" s="158" t="s">
        <v>94</v>
      </c>
      <c r="C24" s="157">
        <f>+C15-C23</f>
        <v>1416976.54725902</v>
      </c>
      <c r="D24" s="157">
        <f>+D15-D23</f>
        <v>1416976.54725902</v>
      </c>
      <c r="F24" s="159"/>
      <c r="O24" s="146" t="s">
        <v>94</v>
      </c>
      <c r="AE24" s="146" t="s">
        <v>95</v>
      </c>
      <c r="AF24" s="146" t="s">
        <v>94</v>
      </c>
    </row>
    <row r="25" spans="1:32">
      <c r="A25" s="139">
        <v>19</v>
      </c>
      <c r="B25" s="146" t="s">
        <v>161</v>
      </c>
      <c r="C25" s="157"/>
      <c r="D25" s="157">
        <f>IF(D24&lt;0,0,D24*0.25)</f>
        <v>354244.136814754</v>
      </c>
      <c r="E25" s="2"/>
      <c r="F25" s="2"/>
      <c r="G25" s="2"/>
      <c r="O25" s="146" t="s">
        <v>38</v>
      </c>
      <c r="AE25" s="146" t="s">
        <v>96</v>
      </c>
      <c r="AF25" s="146" t="s">
        <v>38</v>
      </c>
    </row>
    <row r="26" spans="1:32">
      <c r="A26" s="139">
        <v>20</v>
      </c>
      <c r="B26" s="146" t="s">
        <v>97</v>
      </c>
      <c r="C26" s="157">
        <f>C24-C25</f>
        <v>1416976.54725902</v>
      </c>
      <c r="D26" s="149">
        <f>+SUM(C26:C26)</f>
        <v>1416976.54725902</v>
      </c>
      <c r="E26" s="2"/>
      <c r="F26" s="2"/>
      <c r="G26" s="2"/>
      <c r="O26" s="146" t="s">
        <v>97</v>
      </c>
      <c r="AE26" s="146" t="s">
        <v>98</v>
      </c>
      <c r="AF26" s="146" t="s">
        <v>97</v>
      </c>
    </row>
    <row r="27" spans="1:32">
      <c r="A27" s="139">
        <v>21</v>
      </c>
      <c r="B27" s="146" t="s">
        <v>101</v>
      </c>
      <c r="C27" s="160">
        <f>C26/C7</f>
        <v>0.0389582359708683</v>
      </c>
      <c r="D27" s="161">
        <f>D26/D7</f>
        <v>0.0389582359708683</v>
      </c>
      <c r="E27" s="2"/>
      <c r="F27" s="2"/>
      <c r="G27" s="2"/>
      <c r="O27" s="146" t="s">
        <v>101</v>
      </c>
      <c r="AE27" s="146" t="s">
        <v>100</v>
      </c>
      <c r="AF27" s="146" t="s">
        <v>101</v>
      </c>
    </row>
    <row r="28" spans="5:15">
      <c r="E28" s="2"/>
      <c r="F28" s="2"/>
      <c r="G28" s="2"/>
      <c r="O28" s="146"/>
    </row>
    <row r="29" spans="1:31">
      <c r="A29" s="137" t="s">
        <v>102</v>
      </c>
      <c r="D29" s="138" t="s">
        <v>162</v>
      </c>
      <c r="E29" s="2"/>
      <c r="F29" s="2"/>
      <c r="G29" s="2"/>
      <c r="O29" s="146"/>
      <c r="AE29" s="137" t="s">
        <v>102</v>
      </c>
    </row>
    <row r="30" spans="1:32">
      <c r="A30" s="146" t="s">
        <v>103</v>
      </c>
      <c r="B30" s="151" t="s">
        <v>104</v>
      </c>
      <c r="C30" s="157"/>
      <c r="D30" s="157"/>
      <c r="E30" s="2"/>
      <c r="F30" s="2"/>
      <c r="G30" s="2"/>
      <c r="I30" s="2"/>
      <c r="O30" s="151" t="s">
        <v>104</v>
      </c>
      <c r="AE30" s="146" t="s">
        <v>105</v>
      </c>
      <c r="AF30" s="151" t="s">
        <v>104</v>
      </c>
    </row>
    <row r="31" spans="1:32">
      <c r="A31" s="139">
        <v>1</v>
      </c>
      <c r="B31" s="154" t="s">
        <v>106</v>
      </c>
      <c r="C31" s="162">
        <f>销量!C8</f>
        <v>1818.58407079646</v>
      </c>
      <c r="D31" s="157"/>
      <c r="E31" s="2"/>
      <c r="F31" s="2"/>
      <c r="G31" s="2"/>
      <c r="I31" s="2"/>
      <c r="O31" s="146" t="s">
        <v>106</v>
      </c>
      <c r="AE31" s="146" t="s">
        <v>60</v>
      </c>
      <c r="AF31" s="146" t="s">
        <v>106</v>
      </c>
    </row>
    <row r="32" spans="1:32">
      <c r="A32" s="139">
        <v>2</v>
      </c>
      <c r="B32" s="146" t="s">
        <v>163</v>
      </c>
      <c r="C32" s="149">
        <f>C31*1</f>
        <v>1818.58407079646</v>
      </c>
      <c r="D32" s="157"/>
      <c r="E32" s="2"/>
      <c r="F32" s="2"/>
      <c r="G32" s="2"/>
      <c r="H32" s="2"/>
      <c r="I32" s="2"/>
      <c r="J32" s="2"/>
      <c r="K32" s="2"/>
      <c r="AE32" s="146"/>
      <c r="AF32" s="146"/>
    </row>
    <row r="33" spans="1:32">
      <c r="A33" s="139">
        <v>3</v>
      </c>
      <c r="B33" s="154" t="s">
        <v>107</v>
      </c>
      <c r="C33" s="149">
        <f>材料成本!D28</f>
        <v>1106.00869476094</v>
      </c>
      <c r="D33" s="157"/>
      <c r="F33" s="2"/>
      <c r="G33" s="2"/>
      <c r="H33" s="2"/>
      <c r="I33" s="2"/>
      <c r="J33" s="2"/>
      <c r="K33" s="2"/>
      <c r="O33" s="146" t="s">
        <v>107</v>
      </c>
      <c r="AE33" s="146" t="s">
        <v>62</v>
      </c>
      <c r="AF33" s="146" t="s">
        <v>107</v>
      </c>
    </row>
    <row r="34" ht="17.25" customHeight="1" spans="1:32">
      <c r="A34" s="139">
        <v>4</v>
      </c>
      <c r="B34" s="146" t="s">
        <v>109</v>
      </c>
      <c r="C34" s="163">
        <f>C32-C33</f>
        <v>712.575376035517</v>
      </c>
      <c r="D34" s="157"/>
      <c r="F34" s="2"/>
      <c r="G34" s="2"/>
      <c r="H34" s="2"/>
      <c r="I34" s="2"/>
      <c r="J34" s="2"/>
      <c r="K34" s="2"/>
      <c r="O34" s="146" t="s">
        <v>109</v>
      </c>
      <c r="AE34" s="146" t="s">
        <v>108</v>
      </c>
      <c r="AF34" s="146" t="s">
        <v>109</v>
      </c>
    </row>
    <row r="35" spans="1:32">
      <c r="A35" s="146" t="s">
        <v>105</v>
      </c>
      <c r="B35" s="151" t="s">
        <v>10</v>
      </c>
      <c r="C35" s="157"/>
      <c r="D35" s="157"/>
      <c r="E35" s="2"/>
      <c r="F35" s="2"/>
      <c r="G35" s="2"/>
      <c r="H35" s="2"/>
      <c r="I35" s="2"/>
      <c r="J35" s="2"/>
      <c r="K35" s="2"/>
      <c r="L35" s="2"/>
      <c r="M35" s="2"/>
      <c r="N35" s="2"/>
      <c r="O35" s="151" t="s">
        <v>10</v>
      </c>
      <c r="AE35" s="146" t="s">
        <v>111</v>
      </c>
      <c r="AF35" s="151" t="s">
        <v>10</v>
      </c>
    </row>
    <row r="36" spans="1:32">
      <c r="A36" s="139">
        <v>1</v>
      </c>
      <c r="B36" s="146" t="s">
        <v>112</v>
      </c>
      <c r="C36" s="155">
        <f>标准成本!E4</f>
        <v>78.3809734513274</v>
      </c>
      <c r="D36" s="162"/>
      <c r="E36" s="2"/>
      <c r="F36" s="2"/>
      <c r="G36" s="2"/>
      <c r="H36" s="2"/>
      <c r="I36" s="2"/>
      <c r="J36" s="2"/>
      <c r="K36" s="2"/>
      <c r="L36" s="2"/>
      <c r="M36" s="2"/>
      <c r="N36" s="2"/>
      <c r="O36" s="146" t="s">
        <v>112</v>
      </c>
      <c r="AE36" s="146" t="s">
        <v>108</v>
      </c>
      <c r="AF36" s="146" t="s">
        <v>112</v>
      </c>
    </row>
    <row r="37" spans="1:32">
      <c r="A37" s="139">
        <v>2</v>
      </c>
      <c r="B37" s="146" t="s">
        <v>113</v>
      </c>
      <c r="C37" s="155">
        <f>标准成本!E6</f>
        <v>39.4632743362832</v>
      </c>
      <c r="D37" s="162"/>
      <c r="E37" s="2"/>
      <c r="F37" s="2"/>
      <c r="G37" s="2"/>
      <c r="H37" s="2"/>
      <c r="I37" s="2"/>
      <c r="J37" s="2"/>
      <c r="K37" s="2"/>
      <c r="L37" s="2"/>
      <c r="M37" s="2"/>
      <c r="N37" s="2"/>
      <c r="O37" s="146" t="s">
        <v>113</v>
      </c>
      <c r="AE37" s="146" t="s">
        <v>65</v>
      </c>
      <c r="AF37" s="146" t="s">
        <v>113</v>
      </c>
    </row>
    <row r="38" spans="1:32">
      <c r="A38" s="139">
        <v>3</v>
      </c>
      <c r="B38" s="146" t="s">
        <v>114</v>
      </c>
      <c r="C38" s="155">
        <f>标准成本!E10</f>
        <v>80.0176991150443</v>
      </c>
      <c r="D38" s="162"/>
      <c r="E38" s="2"/>
      <c r="F38" s="2"/>
      <c r="G38" s="2"/>
      <c r="H38" s="2"/>
      <c r="I38" s="2"/>
      <c r="J38" s="2"/>
      <c r="K38" s="2"/>
      <c r="L38" s="2"/>
      <c r="M38" s="2"/>
      <c r="N38" s="2"/>
      <c r="O38" s="146" t="s">
        <v>114</v>
      </c>
      <c r="AE38" s="146" t="s">
        <v>72</v>
      </c>
      <c r="AF38" s="146" t="s">
        <v>114</v>
      </c>
    </row>
    <row r="39" spans="1:32">
      <c r="A39" s="146" t="s">
        <v>111</v>
      </c>
      <c r="B39" s="151" t="s">
        <v>116</v>
      </c>
      <c r="C39" s="157"/>
      <c r="D39" s="157"/>
      <c r="O39" s="151" t="s">
        <v>116</v>
      </c>
      <c r="AE39" s="146" t="s">
        <v>115</v>
      </c>
      <c r="AF39" s="151" t="s">
        <v>116</v>
      </c>
    </row>
    <row r="40" spans="1:32">
      <c r="A40" s="139">
        <v>1</v>
      </c>
      <c r="B40" s="146" t="s">
        <v>118</v>
      </c>
      <c r="C40" s="157">
        <f>C34-C36-C37-C38</f>
        <v>514.713429132862</v>
      </c>
      <c r="D40" s="157"/>
      <c r="O40" s="146" t="s">
        <v>118</v>
      </c>
      <c r="AE40" s="146" t="s">
        <v>60</v>
      </c>
      <c r="AF40" s="146" t="s">
        <v>118</v>
      </c>
    </row>
    <row r="41" spans="1:32">
      <c r="A41" s="139">
        <v>2</v>
      </c>
      <c r="B41" s="146" t="s">
        <v>119</v>
      </c>
      <c r="C41" s="157"/>
      <c r="D41" s="157"/>
      <c r="O41" s="146" t="s">
        <v>119</v>
      </c>
      <c r="AE41" s="146" t="s">
        <v>62</v>
      </c>
      <c r="AF41" s="146" t="s">
        <v>119</v>
      </c>
    </row>
    <row r="42" spans="1:32">
      <c r="A42" s="146" t="s">
        <v>115</v>
      </c>
      <c r="B42" s="151" t="s">
        <v>121</v>
      </c>
      <c r="C42" s="157"/>
      <c r="D42" s="157"/>
      <c r="O42" s="151" t="s">
        <v>121</v>
      </c>
      <c r="AE42" s="146" t="s">
        <v>120</v>
      </c>
      <c r="AF42" s="151" t="s">
        <v>121</v>
      </c>
    </row>
    <row r="43" spans="1:32">
      <c r="A43" s="139">
        <v>1</v>
      </c>
      <c r="B43" s="158" t="s">
        <v>122</v>
      </c>
      <c r="C43" s="155">
        <f>标准成本!E5</f>
        <v>74.5619469026549</v>
      </c>
      <c r="D43" s="157"/>
      <c r="O43" s="146" t="s">
        <v>122</v>
      </c>
      <c r="AE43" s="146" t="s">
        <v>60</v>
      </c>
      <c r="AF43" s="146" t="s">
        <v>122</v>
      </c>
    </row>
    <row r="44" spans="1:32">
      <c r="A44" s="139">
        <v>2</v>
      </c>
      <c r="B44" s="158" t="s">
        <v>123</v>
      </c>
      <c r="C44" s="155">
        <f>标准成本!E9</f>
        <v>12.7300884955752</v>
      </c>
      <c r="D44" s="157"/>
      <c r="O44" s="146" t="s">
        <v>123</v>
      </c>
      <c r="AE44" s="146" t="s">
        <v>62</v>
      </c>
      <c r="AF44" s="146" t="s">
        <v>123</v>
      </c>
    </row>
    <row r="45" spans="1:32">
      <c r="A45" s="139">
        <v>3</v>
      </c>
      <c r="B45" s="158" t="s">
        <v>124</v>
      </c>
      <c r="C45" s="155">
        <f>标准成本!E8</f>
        <v>61.8318584070797</v>
      </c>
      <c r="D45" s="157"/>
      <c r="O45" s="146" t="s">
        <v>124</v>
      </c>
      <c r="AE45" s="146" t="s">
        <v>108</v>
      </c>
      <c r="AF45" s="146" t="s">
        <v>124</v>
      </c>
    </row>
    <row r="46" s="136" customFormat="1" spans="1:32">
      <c r="A46" s="139">
        <v>4</v>
      </c>
      <c r="B46" s="158" t="s">
        <v>125</v>
      </c>
      <c r="C46" s="164">
        <f>C21/C6</f>
        <v>0</v>
      </c>
      <c r="D46" s="164"/>
      <c r="O46" s="158" t="s">
        <v>127</v>
      </c>
      <c r="AE46" s="158" t="s">
        <v>68</v>
      </c>
      <c r="AF46" s="158" t="s">
        <v>127</v>
      </c>
    </row>
    <row r="47" s="136" customFormat="1" spans="1:32">
      <c r="A47" s="139">
        <v>5</v>
      </c>
      <c r="B47" s="158" t="s">
        <v>127</v>
      </c>
      <c r="C47" s="164">
        <f>标准成本!E11</f>
        <v>54.5575221238938</v>
      </c>
      <c r="D47" s="164"/>
      <c r="O47" s="158" t="s">
        <v>127</v>
      </c>
      <c r="AE47" s="158" t="s">
        <v>68</v>
      </c>
      <c r="AF47" s="158" t="s">
        <v>127</v>
      </c>
    </row>
    <row r="48" spans="1:32">
      <c r="A48" s="146" t="s">
        <v>120</v>
      </c>
      <c r="B48" s="151" t="s">
        <v>138</v>
      </c>
      <c r="C48" s="157">
        <f>C40-C43-C44-C45-C47-C46</f>
        <v>311.032013203659</v>
      </c>
      <c r="D48" s="157"/>
      <c r="O48" s="151" t="s">
        <v>138</v>
      </c>
      <c r="AE48" s="146" t="s">
        <v>137</v>
      </c>
      <c r="AF48" s="151" t="s">
        <v>138</v>
      </c>
    </row>
    <row r="51" spans="3:3">
      <c r="C51" s="165"/>
    </row>
    <row r="54" spans="2:9">
      <c r="B54" s="2"/>
      <c r="C54" s="166"/>
      <c r="D54" s="166"/>
      <c r="E54" s="2"/>
      <c r="F54" s="2"/>
      <c r="G54" s="2"/>
      <c r="H54" s="2"/>
      <c r="I54" s="2"/>
    </row>
    <row r="55" spans="2:9">
      <c r="B55" s="2"/>
      <c r="C55" s="166"/>
      <c r="D55" s="166"/>
      <c r="E55" s="2"/>
      <c r="F55" s="2"/>
      <c r="G55" s="2"/>
      <c r="H55" s="2"/>
      <c r="I55" s="2"/>
    </row>
    <row r="56" spans="2:9">
      <c r="B56" s="2"/>
      <c r="C56" s="166"/>
      <c r="D56" s="166"/>
      <c r="E56" s="2"/>
      <c r="F56" s="2"/>
      <c r="G56" s="2"/>
      <c r="H56" s="2"/>
      <c r="I56" s="2"/>
    </row>
    <row r="57" spans="2:9">
      <c r="B57" s="2"/>
      <c r="C57" s="166"/>
      <c r="D57" s="166"/>
      <c r="E57" s="2"/>
      <c r="F57" s="2"/>
      <c r="G57" s="2"/>
      <c r="H57" s="2"/>
      <c r="I57" s="2"/>
    </row>
    <row r="58" spans="2:9">
      <c r="B58" s="2"/>
      <c r="C58" s="166"/>
      <c r="D58" s="166"/>
      <c r="E58" s="2"/>
      <c r="F58" s="2"/>
      <c r="G58" s="2"/>
      <c r="H58" s="2"/>
      <c r="I58" s="2"/>
    </row>
    <row r="59" spans="2:9">
      <c r="B59" s="2"/>
      <c r="C59" s="166"/>
      <c r="D59" s="166"/>
      <c r="E59" s="2"/>
      <c r="F59" s="2"/>
      <c r="G59" s="2"/>
      <c r="H59" s="2"/>
      <c r="I59" s="2"/>
    </row>
    <row r="60" spans="2:9">
      <c r="B60" s="2"/>
      <c r="C60" s="166"/>
      <c r="D60" s="166"/>
      <c r="E60" s="2"/>
      <c r="F60" s="2"/>
      <c r="G60" s="2"/>
      <c r="H60" s="2"/>
      <c r="I60" s="2"/>
    </row>
    <row r="61" spans="2:9">
      <c r="B61" s="2"/>
      <c r="C61" s="166"/>
      <c r="D61" s="166"/>
      <c r="E61" s="2"/>
      <c r="F61" s="2"/>
      <c r="G61" s="2"/>
      <c r="H61" s="2"/>
      <c r="I61" s="2"/>
    </row>
    <row r="62" spans="2:9">
      <c r="B62" s="2"/>
      <c r="C62" s="166"/>
      <c r="D62" s="166"/>
      <c r="E62" s="2"/>
      <c r="F62" s="2"/>
      <c r="G62" s="2"/>
      <c r="H62" s="2"/>
      <c r="I62" s="2"/>
    </row>
    <row r="63" spans="2:9">
      <c r="B63" s="2"/>
      <c r="C63" s="166"/>
      <c r="D63" s="166"/>
      <c r="E63" s="2"/>
      <c r="F63" s="2"/>
      <c r="G63" s="2"/>
      <c r="H63" s="2"/>
      <c r="I63" s="2"/>
    </row>
    <row r="64" spans="2:9">
      <c r="B64" s="2"/>
      <c r="C64" s="166"/>
      <c r="D64" s="166"/>
      <c r="E64" s="2"/>
      <c r="F64" s="2"/>
      <c r="G64" s="2"/>
      <c r="H64" s="2"/>
      <c r="I64" s="2"/>
    </row>
    <row r="65" spans="2:9">
      <c r="B65" s="2"/>
      <c r="C65" s="166"/>
      <c r="D65" s="166"/>
      <c r="E65" s="2"/>
      <c r="F65" s="2"/>
      <c r="G65" s="2"/>
      <c r="H65" s="2"/>
      <c r="I65" s="2"/>
    </row>
    <row r="66" spans="2:9">
      <c r="B66" s="2"/>
      <c r="C66" s="166"/>
      <c r="D66" s="166"/>
      <c r="E66" s="2"/>
      <c r="F66" s="2"/>
      <c r="G66" s="2"/>
      <c r="H66" s="2"/>
      <c r="I66" s="2"/>
    </row>
    <row r="67" spans="2:5">
      <c r="B67" s="2"/>
      <c r="C67" s="166"/>
      <c r="D67" s="166"/>
      <c r="E67" s="2"/>
    </row>
    <row r="68" spans="2:5">
      <c r="B68" s="2"/>
      <c r="C68" s="166"/>
      <c r="D68" s="166"/>
      <c r="E68" s="2"/>
    </row>
    <row r="69" spans="2:5">
      <c r="B69" s="2"/>
      <c r="C69" s="166"/>
      <c r="D69" s="166"/>
      <c r="E69" s="2"/>
    </row>
    <row r="70" spans="2:5">
      <c r="B70" s="2"/>
      <c r="C70" s="166"/>
      <c r="D70" s="166"/>
      <c r="E70" s="2"/>
    </row>
    <row r="71" spans="2:5">
      <c r="B71" s="2"/>
      <c r="C71" s="166"/>
      <c r="D71" s="166"/>
      <c r="E71" s="2"/>
    </row>
    <row r="72" spans="2:5">
      <c r="B72" s="2"/>
      <c r="C72" s="166"/>
      <c r="D72" s="166"/>
      <c r="E72" s="2"/>
    </row>
    <row r="73" spans="2:5">
      <c r="B73" s="2"/>
      <c r="C73" s="166"/>
      <c r="D73" s="166"/>
      <c r="E73" s="2"/>
    </row>
    <row r="74" spans="2:5">
      <c r="B74" s="2"/>
      <c r="C74" s="166"/>
      <c r="D74" s="166"/>
      <c r="E74" s="2"/>
    </row>
  </sheetData>
  <mergeCells count="8">
    <mergeCell ref="A1:B1"/>
    <mergeCell ref="C1:D1"/>
    <mergeCell ref="A2:B2"/>
    <mergeCell ref="C2:D2"/>
    <mergeCell ref="A3:B3"/>
    <mergeCell ref="A4:B4"/>
    <mergeCell ref="A5:B5"/>
    <mergeCell ref="D3:D5"/>
  </mergeCells>
  <printOptions horizontalCentered="1"/>
  <pageMargins left="0.393700787401575" right="0.31496062992126" top="0.354330708661417" bottom="0.15748031496063" header="0.31496062992126" footer="0.31496062992126"/>
  <pageSetup paperSize="9" orientation="landscape"/>
  <headerFooter/>
  <rowBreaks count="1" manualBreakCount="1">
    <brk id="2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"/>
  <sheetViews>
    <sheetView workbookViewId="0">
      <pane xSplit="6" ySplit="2" topLeftCell="G12" activePane="bottomRight" state="frozen"/>
      <selection/>
      <selection pane="topRight"/>
      <selection pane="bottomLeft"/>
      <selection pane="bottomRight" activeCell="D34" sqref="D34"/>
    </sheetView>
  </sheetViews>
  <sheetFormatPr defaultColWidth="9" defaultRowHeight="14"/>
  <cols>
    <col min="1" max="1" width="19.5" customWidth="1"/>
    <col min="2" max="2" width="14.8727272727273" style="93" customWidth="1"/>
    <col min="3" max="3" width="9.25454545454545" customWidth="1"/>
    <col min="4" max="4" width="15.5" customWidth="1"/>
    <col min="5" max="5" width="19.2545454545455" customWidth="1"/>
    <col min="6" max="6" width="15.5" customWidth="1"/>
    <col min="7" max="7" width="20.5" customWidth="1"/>
    <col min="8" max="8" width="13" customWidth="1"/>
    <col min="9" max="9" width="14.8727272727273" customWidth="1"/>
    <col min="10" max="10" width="13" customWidth="1"/>
  </cols>
  <sheetData>
    <row r="1" ht="21" spans="1:8">
      <c r="A1" s="94" t="s">
        <v>167</v>
      </c>
      <c r="B1" s="94"/>
      <c r="C1" s="94"/>
      <c r="E1" s="95" t="s">
        <v>168</v>
      </c>
      <c r="F1" s="96"/>
      <c r="G1" s="96"/>
      <c r="H1" s="97"/>
    </row>
    <row r="2" ht="23.45" customHeight="1" spans="1:8">
      <c r="A2" s="98" t="s">
        <v>1</v>
      </c>
      <c r="B2" s="99" t="s">
        <v>169</v>
      </c>
      <c r="C2" s="100" t="s">
        <v>170</v>
      </c>
      <c r="E2" s="101" t="s">
        <v>171</v>
      </c>
      <c r="F2" s="101" t="s">
        <v>1</v>
      </c>
      <c r="G2" s="102" t="s">
        <v>172</v>
      </c>
      <c r="H2" s="101" t="s">
        <v>170</v>
      </c>
    </row>
    <row r="3" ht="15.75" customHeight="1" spans="1:8">
      <c r="A3" s="103" t="s">
        <v>173</v>
      </c>
      <c r="B3" s="104"/>
      <c r="C3" s="105"/>
      <c r="E3" s="106" t="s">
        <v>174</v>
      </c>
      <c r="F3" s="107" t="s">
        <v>175</v>
      </c>
      <c r="G3" s="108">
        <v>0</v>
      </c>
      <c r="H3" s="107"/>
    </row>
    <row r="4" ht="15.75" customHeight="1" spans="1:8">
      <c r="A4" s="103" t="s">
        <v>176</v>
      </c>
      <c r="B4" s="104"/>
      <c r="C4" s="109"/>
      <c r="E4" s="110"/>
      <c r="F4" s="107" t="s">
        <v>177</v>
      </c>
      <c r="G4" s="108">
        <v>180</v>
      </c>
      <c r="H4" s="107"/>
    </row>
    <row r="5" ht="15.75" customHeight="1" spans="1:8">
      <c r="A5" s="103" t="s">
        <v>178</v>
      </c>
      <c r="B5" s="111">
        <f>SUM(G3:G4)</f>
        <v>180</v>
      </c>
      <c r="C5" s="105"/>
      <c r="E5" s="112" t="s">
        <v>179</v>
      </c>
      <c r="F5" s="113" t="s">
        <v>180</v>
      </c>
      <c r="G5" s="108">
        <v>0</v>
      </c>
      <c r="H5" s="113"/>
    </row>
    <row r="6" ht="15.75" customHeight="1" spans="1:10">
      <c r="A6" s="103" t="s">
        <v>181</v>
      </c>
      <c r="B6" s="104"/>
      <c r="C6" s="105"/>
      <c r="E6" s="114"/>
      <c r="F6" s="113" t="s">
        <v>182</v>
      </c>
      <c r="G6" s="108"/>
      <c r="H6" s="107"/>
      <c r="J6">
        <v>10000</v>
      </c>
    </row>
    <row r="7" ht="15.75" customHeight="1" spans="1:8">
      <c r="A7" s="115" t="s">
        <v>183</v>
      </c>
      <c r="B7" s="111">
        <f>SUM(B3:B6)</f>
        <v>180</v>
      </c>
      <c r="C7" s="105"/>
      <c r="E7" s="114"/>
      <c r="F7" s="113" t="s">
        <v>184</v>
      </c>
      <c r="G7" s="108"/>
      <c r="H7" s="107"/>
    </row>
    <row r="8" ht="15.75" customHeight="1" spans="1:8">
      <c r="A8" s="116" t="s">
        <v>185</v>
      </c>
      <c r="B8" s="111">
        <f>SUM(G5:G12)</f>
        <v>0</v>
      </c>
      <c r="C8" s="117"/>
      <c r="E8" s="114"/>
      <c r="F8" s="113" t="s">
        <v>186</v>
      </c>
      <c r="G8" s="108">
        <v>0</v>
      </c>
      <c r="H8" s="107"/>
    </row>
    <row r="9" ht="15.75" customHeight="1" spans="1:8">
      <c r="A9" s="103" t="s">
        <v>187</v>
      </c>
      <c r="B9" s="111">
        <f>SUM(G13:G21)</f>
        <v>0</v>
      </c>
      <c r="C9" s="105"/>
      <c r="E9" s="114"/>
      <c r="F9" s="107" t="s">
        <v>188</v>
      </c>
      <c r="G9" s="118"/>
      <c r="H9" s="119"/>
    </row>
    <row r="10" ht="15.75" customHeight="1" spans="1:8">
      <c r="A10" s="109" t="s">
        <v>56</v>
      </c>
      <c r="B10" s="111">
        <f>B7+B8+B9</f>
        <v>180</v>
      </c>
      <c r="C10" s="105"/>
      <c r="E10" s="114"/>
      <c r="F10" s="107" t="s">
        <v>189</v>
      </c>
      <c r="G10" s="118"/>
      <c r="H10" s="107"/>
    </row>
    <row r="11" ht="15.75" customHeight="1" spans="5:8">
      <c r="E11" s="114"/>
      <c r="F11" s="107" t="s">
        <v>190</v>
      </c>
      <c r="G11" s="108"/>
      <c r="H11" s="107"/>
    </row>
    <row r="12" ht="15.75" customHeight="1" spans="5:8">
      <c r="E12" s="120"/>
      <c r="F12" s="107" t="s">
        <v>191</v>
      </c>
      <c r="G12" s="108"/>
      <c r="H12" s="119"/>
    </row>
    <row r="13" ht="15.75" customHeight="1" spans="5:8">
      <c r="E13" s="106" t="s">
        <v>89</v>
      </c>
      <c r="F13" s="107" t="s">
        <v>192</v>
      </c>
      <c r="G13" s="108"/>
      <c r="H13" s="121"/>
    </row>
    <row r="14" ht="15.75" customHeight="1" spans="5:8">
      <c r="E14" s="110"/>
      <c r="F14" s="107" t="s">
        <v>193</v>
      </c>
      <c r="G14" s="108"/>
      <c r="H14" s="107"/>
    </row>
    <row r="15" ht="15.75" customHeight="1" spans="5:8">
      <c r="E15" s="110"/>
      <c r="F15" s="107" t="s">
        <v>194</v>
      </c>
      <c r="G15" s="108"/>
      <c r="H15" s="107"/>
    </row>
    <row r="16" ht="15.75" customHeight="1" spans="5:8">
      <c r="E16" s="110"/>
      <c r="F16" s="107" t="s">
        <v>195</v>
      </c>
      <c r="G16" s="108"/>
      <c r="H16" s="107"/>
    </row>
    <row r="17" ht="15.75" customHeight="1" spans="5:8">
      <c r="E17" s="110"/>
      <c r="F17" s="107" t="s">
        <v>196</v>
      </c>
      <c r="G17" s="108"/>
      <c r="H17" s="107"/>
    </row>
    <row r="18" ht="15.75" customHeight="1" spans="5:8">
      <c r="E18" s="110"/>
      <c r="F18" s="107" t="s">
        <v>197</v>
      </c>
      <c r="G18" s="108"/>
      <c r="H18" s="107"/>
    </row>
    <row r="19" ht="15.75" customHeight="1" spans="5:8">
      <c r="E19" s="110"/>
      <c r="F19" s="107" t="s">
        <v>198</v>
      </c>
      <c r="G19" s="108"/>
      <c r="H19" s="107"/>
    </row>
    <row r="20" ht="15.75" customHeight="1" spans="5:8">
      <c r="E20" s="110"/>
      <c r="F20" s="107" t="s">
        <v>199</v>
      </c>
      <c r="G20" s="108"/>
      <c r="H20" s="107"/>
    </row>
    <row r="21" ht="15.75" customHeight="1" spans="5:8">
      <c r="E21" s="122"/>
      <c r="F21" s="107" t="s">
        <v>39</v>
      </c>
      <c r="G21" s="108"/>
      <c r="H21" s="107"/>
    </row>
    <row r="22" ht="15.75" customHeight="1" spans="5:8">
      <c r="E22" s="101" t="s">
        <v>56</v>
      </c>
      <c r="F22" s="107"/>
      <c r="G22" s="102">
        <f>SUM(G3:G21)</f>
        <v>180</v>
      </c>
      <c r="H22" s="107"/>
    </row>
    <row r="23" ht="30.75" customHeight="1" spans="5:8">
      <c r="E23" s="123" t="s">
        <v>200</v>
      </c>
      <c r="F23" s="123"/>
      <c r="G23" s="123"/>
      <c r="H23" s="123"/>
    </row>
    <row r="25" ht="16.5" spans="1:10">
      <c r="A25" s="124" t="s">
        <v>1</v>
      </c>
      <c r="B25" s="124" t="s">
        <v>169</v>
      </c>
      <c r="C25" s="124" t="s">
        <v>201</v>
      </c>
      <c r="D25" s="125" t="s">
        <v>53</v>
      </c>
      <c r="E25" s="125" t="s">
        <v>54</v>
      </c>
      <c r="F25" s="125" t="s">
        <v>55</v>
      </c>
      <c r="G25" s="125" t="s">
        <v>202</v>
      </c>
      <c r="H25" s="125" t="s">
        <v>203</v>
      </c>
      <c r="I25" s="125" t="s">
        <v>56</v>
      </c>
      <c r="J25" s="133" t="s">
        <v>204</v>
      </c>
    </row>
    <row r="26" ht="16.5" spans="1:10">
      <c r="A26" s="126" t="s">
        <v>159</v>
      </c>
      <c r="B26" s="127">
        <f>(B5+B8)*10000</f>
        <v>1800000</v>
      </c>
      <c r="C26" s="128">
        <v>0.05</v>
      </c>
      <c r="D26" s="129">
        <f>B26*(1-C26)/3</f>
        <v>570000</v>
      </c>
      <c r="E26" s="129">
        <f t="shared" ref="E26:F27" si="0">D26</f>
        <v>570000</v>
      </c>
      <c r="F26" s="129">
        <f t="shared" si="0"/>
        <v>570000</v>
      </c>
      <c r="G26" s="129"/>
      <c r="H26" s="129"/>
      <c r="I26" s="129">
        <f>SUM(D26:H26)</f>
        <v>1710000</v>
      </c>
      <c r="J26" s="129">
        <f>B26*0.05</f>
        <v>90000</v>
      </c>
    </row>
    <row r="27" ht="16.5" spans="1:10">
      <c r="A27" s="126" t="s">
        <v>205</v>
      </c>
      <c r="B27" s="127">
        <f>B9*10000</f>
        <v>0</v>
      </c>
      <c r="C27" s="129"/>
      <c r="D27" s="129">
        <f>B27/3</f>
        <v>0</v>
      </c>
      <c r="E27" s="129">
        <f t="shared" si="0"/>
        <v>0</v>
      </c>
      <c r="F27" s="129">
        <f t="shared" si="0"/>
        <v>0</v>
      </c>
      <c r="G27" s="129"/>
      <c r="H27" s="129"/>
      <c r="I27" s="129">
        <f>SUM(D27:H27)</f>
        <v>0</v>
      </c>
      <c r="J27" s="129"/>
    </row>
    <row r="28" ht="16.5" spans="1:10">
      <c r="A28" s="130" t="s">
        <v>146</v>
      </c>
      <c r="B28" s="131"/>
      <c r="C28" s="132"/>
      <c r="D28" s="129">
        <f>SUM(D26:D27)</f>
        <v>570000</v>
      </c>
      <c r="E28" s="129">
        <f t="shared" ref="E28:H28" si="1">SUM(E26:E27)</f>
        <v>570000</v>
      </c>
      <c r="F28" s="129">
        <f t="shared" si="1"/>
        <v>570000</v>
      </c>
      <c r="G28" s="129">
        <f t="shared" si="1"/>
        <v>0</v>
      </c>
      <c r="H28" s="129">
        <f t="shared" si="1"/>
        <v>0</v>
      </c>
      <c r="I28" s="134"/>
      <c r="J28" s="134"/>
    </row>
    <row r="41" ht="37.5" customHeight="1"/>
  </sheetData>
  <mergeCells count="7">
    <mergeCell ref="A1:C1"/>
    <mergeCell ref="E1:H1"/>
    <mergeCell ref="E23:H23"/>
    <mergeCell ref="A28:C28"/>
    <mergeCell ref="E3:E4"/>
    <mergeCell ref="E5:E12"/>
    <mergeCell ref="E13:E21"/>
  </mergeCells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zoomScale="85" zoomScaleNormal="85" workbookViewId="0">
      <selection activeCell="E25" sqref="E25"/>
    </sheetView>
  </sheetViews>
  <sheetFormatPr defaultColWidth="9" defaultRowHeight="16.5"/>
  <cols>
    <col min="1" max="1" width="14" style="69" customWidth="1"/>
    <col min="2" max="2" width="14.1272727272727" style="69" customWidth="1"/>
    <col min="3" max="3" width="14.7545454545455" style="69" customWidth="1"/>
    <col min="4" max="4" width="11.1272727272727" style="69" customWidth="1"/>
    <col min="5" max="5" width="12.8727272727273" style="69" customWidth="1"/>
    <col min="6" max="6" width="11.1272727272727" style="69" customWidth="1"/>
    <col min="7" max="7" width="13.2545454545455" style="69" customWidth="1"/>
    <col min="8" max="8" width="12.1272727272727" style="69" customWidth="1"/>
    <col min="9" max="9" width="13.1272727272727" style="69" customWidth="1"/>
    <col min="10" max="12" width="12.1272727272727" style="69" customWidth="1"/>
    <col min="13" max="13" width="11.6272727272727" style="69" customWidth="1"/>
    <col min="14" max="14" width="9.25454545454545" style="69" customWidth="1"/>
    <col min="15" max="15" width="9.12727272727273" style="70" customWidth="1"/>
    <col min="16" max="16" width="12.8727272727273" style="70"/>
    <col min="17" max="16384" width="9" style="69"/>
  </cols>
  <sheetData>
    <row r="1" ht="29.25" customHeight="1" spans="1:13">
      <c r="A1" s="71" t="s">
        <v>206</v>
      </c>
      <c r="E1" s="72"/>
      <c r="F1" s="72"/>
      <c r="G1" s="72"/>
      <c r="H1" s="72"/>
      <c r="I1" s="72"/>
      <c r="J1" s="72"/>
      <c r="K1" s="72"/>
      <c r="L1" s="72"/>
      <c r="M1" s="72"/>
    </row>
    <row r="2" ht="24" customHeight="1" spans="1:13">
      <c r="A2" s="73" t="s">
        <v>207</v>
      </c>
      <c r="E2" s="72"/>
      <c r="F2" s="72"/>
      <c r="G2" s="72"/>
      <c r="H2" s="72"/>
      <c r="I2" s="72"/>
      <c r="J2" s="72"/>
      <c r="K2" s="72"/>
      <c r="L2" s="72"/>
      <c r="M2" s="72"/>
    </row>
    <row r="3" spans="3:5">
      <c r="C3" s="69" t="s">
        <v>208</v>
      </c>
      <c r="D3" s="69" t="s">
        <v>209</v>
      </c>
      <c r="E3" s="74">
        <v>0.06</v>
      </c>
    </row>
    <row r="5" ht="45" customHeight="1" spans="1:13">
      <c r="A5" s="75" t="s">
        <v>210</v>
      </c>
      <c r="B5" s="76" t="s">
        <v>152</v>
      </c>
      <c r="C5" s="21" t="s">
        <v>153</v>
      </c>
      <c r="D5" s="21"/>
      <c r="E5" s="21"/>
      <c r="F5" s="21"/>
      <c r="G5" s="21"/>
      <c r="H5" s="21"/>
      <c r="I5" s="21"/>
      <c r="J5" s="21"/>
      <c r="K5" s="21"/>
      <c r="L5" s="21"/>
      <c r="M5" s="89" t="s">
        <v>56</v>
      </c>
    </row>
    <row r="6" ht="31.5" customHeight="1" spans="1:15">
      <c r="A6" s="75"/>
      <c r="B6" s="76" t="s">
        <v>154</v>
      </c>
      <c r="C6" s="23" t="s">
        <v>155</v>
      </c>
      <c r="D6" s="23"/>
      <c r="E6" s="23"/>
      <c r="F6" s="23"/>
      <c r="G6" s="23"/>
      <c r="H6" s="23"/>
      <c r="I6" s="23"/>
      <c r="J6" s="23"/>
      <c r="K6" s="23"/>
      <c r="L6" s="23"/>
      <c r="M6" s="90"/>
      <c r="O6" s="70">
        <v>100</v>
      </c>
    </row>
    <row r="7" ht="15.6" customHeight="1" spans="1:16">
      <c r="A7" s="75"/>
      <c r="B7" s="23" t="s">
        <v>211</v>
      </c>
      <c r="C7" s="23" t="s">
        <v>165</v>
      </c>
      <c r="D7" s="77"/>
      <c r="E7" s="23"/>
      <c r="F7" s="23"/>
      <c r="G7" s="77"/>
      <c r="H7" s="77"/>
      <c r="I7" s="23"/>
      <c r="J7" s="23"/>
      <c r="K7" s="23"/>
      <c r="L7" s="23"/>
      <c r="M7" s="91"/>
      <c r="N7" s="69">
        <v>2026</v>
      </c>
      <c r="O7" s="70">
        <f>O6*(1-$E$3)</f>
        <v>94</v>
      </c>
      <c r="P7" s="70">
        <f>O7/$O$6</f>
        <v>0.94</v>
      </c>
    </row>
    <row r="8" ht="33" spans="1:16">
      <c r="A8" s="75"/>
      <c r="B8" s="23" t="s">
        <v>212</v>
      </c>
      <c r="C8" s="78">
        <f>2055/1.13</f>
        <v>1818.58407079646</v>
      </c>
      <c r="D8" s="78"/>
      <c r="E8" s="78"/>
      <c r="F8" s="78"/>
      <c r="G8" s="79"/>
      <c r="H8" s="79"/>
      <c r="I8" s="79"/>
      <c r="J8" s="79"/>
      <c r="K8" s="79"/>
      <c r="L8" s="79"/>
      <c r="M8" s="92">
        <f>SUM(C8:L8)</f>
        <v>1818.58407079646</v>
      </c>
      <c r="N8" s="69">
        <v>2027</v>
      </c>
      <c r="O8" s="70">
        <f>O7*(1-$E$3)</f>
        <v>88.36</v>
      </c>
      <c r="P8" s="70">
        <f>O8/$O$6</f>
        <v>0.8836</v>
      </c>
    </row>
    <row r="9" spans="1:16">
      <c r="A9" s="75" t="s">
        <v>213</v>
      </c>
      <c r="B9" s="80" t="s">
        <v>53</v>
      </c>
      <c r="C9" s="81">
        <v>500</v>
      </c>
      <c r="D9" s="81"/>
      <c r="E9" s="81"/>
      <c r="F9" s="81"/>
      <c r="G9" s="81"/>
      <c r="H9" s="81"/>
      <c r="I9" s="81"/>
      <c r="J9" s="81"/>
      <c r="K9" s="81"/>
      <c r="L9" s="81"/>
      <c r="M9" s="92">
        <f>SUM(C9:L9)</f>
        <v>500</v>
      </c>
      <c r="O9" s="70">
        <f t="shared" ref="O8:O10" si="0">O8*(1-$E$3)</f>
        <v>83.0584</v>
      </c>
      <c r="P9" s="70">
        <f>O9/$O$6</f>
        <v>0.830584</v>
      </c>
    </row>
    <row r="10" spans="1:16">
      <c r="A10" s="75"/>
      <c r="B10" s="80" t="s">
        <v>54</v>
      </c>
      <c r="C10" s="81">
        <v>10000</v>
      </c>
      <c r="D10" s="81"/>
      <c r="E10" s="81"/>
      <c r="F10" s="81"/>
      <c r="G10" s="81"/>
      <c r="H10" s="81"/>
      <c r="I10" s="81"/>
      <c r="J10" s="81"/>
      <c r="K10" s="81"/>
      <c r="L10" s="81"/>
      <c r="M10" s="92">
        <f>SUM(C10:L10)</f>
        <v>10000</v>
      </c>
      <c r="O10" s="70">
        <f t="shared" si="0"/>
        <v>78.074896</v>
      </c>
      <c r="P10" s="70">
        <f t="shared" ref="P10" si="1">O10/$O$6</f>
        <v>0.78074896</v>
      </c>
    </row>
    <row r="11" spans="1:13">
      <c r="A11" s="75"/>
      <c r="B11" s="80" t="s">
        <v>55</v>
      </c>
      <c r="C11" s="81">
        <v>20000</v>
      </c>
      <c r="D11" s="81"/>
      <c r="E11" s="81"/>
      <c r="F11" s="81"/>
      <c r="G11" s="81"/>
      <c r="H11" s="81"/>
      <c r="I11" s="81"/>
      <c r="J11" s="81"/>
      <c r="K11" s="81"/>
      <c r="L11" s="81"/>
      <c r="M11" s="92">
        <f>SUM(C11:L11)</f>
        <v>20000</v>
      </c>
    </row>
    <row r="12" spans="1:13">
      <c r="A12" s="75"/>
      <c r="B12" s="80" t="s">
        <v>202</v>
      </c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92">
        <f>SUM(C12:H12)</f>
        <v>0</v>
      </c>
    </row>
    <row r="13" ht="17.5" spans="1:13">
      <c r="A13" s="75"/>
      <c r="B13" s="80" t="s">
        <v>203</v>
      </c>
      <c r="C13" s="81"/>
      <c r="D13" s="81"/>
      <c r="E13" s="81"/>
      <c r="F13" s="81"/>
      <c r="G13" s="81"/>
      <c r="H13" s="82"/>
      <c r="I13" s="82"/>
      <c r="J13" s="82"/>
      <c r="K13" s="82"/>
      <c r="L13" s="82"/>
      <c r="M13" s="92">
        <f>SUM(C13:H13)</f>
        <v>0</v>
      </c>
    </row>
    <row r="14" spans="1:13">
      <c r="A14" s="80" t="s">
        <v>56</v>
      </c>
      <c r="B14" s="80"/>
      <c r="C14" s="83">
        <f t="shared" ref="C14:N14" si="2">SUM(C9:C13)</f>
        <v>30500</v>
      </c>
      <c r="D14" s="83">
        <f t="shared" si="2"/>
        <v>0</v>
      </c>
      <c r="E14" s="83">
        <f t="shared" si="2"/>
        <v>0</v>
      </c>
      <c r="F14" s="83">
        <f t="shared" si="2"/>
        <v>0</v>
      </c>
      <c r="G14" s="83">
        <f t="shared" si="2"/>
        <v>0</v>
      </c>
      <c r="H14" s="83">
        <f t="shared" si="2"/>
        <v>0</v>
      </c>
      <c r="I14" s="83">
        <f t="shared" si="2"/>
        <v>0</v>
      </c>
      <c r="J14" s="83">
        <f t="shared" si="2"/>
        <v>0</v>
      </c>
      <c r="K14" s="83">
        <f t="shared" si="2"/>
        <v>0</v>
      </c>
      <c r="L14" s="83">
        <f t="shared" si="2"/>
        <v>0</v>
      </c>
      <c r="M14" s="83">
        <f t="shared" si="2"/>
        <v>30500</v>
      </c>
    </row>
    <row r="15" ht="33" spans="1:3">
      <c r="A15" s="84"/>
      <c r="B15" s="84"/>
      <c r="C15" s="85" t="s">
        <v>52</v>
      </c>
    </row>
    <row r="16" spans="2:13">
      <c r="B16" s="69" t="s">
        <v>214</v>
      </c>
      <c r="C16" s="86">
        <f>材料成本!D24</f>
        <v>1251.70744087929</v>
      </c>
      <c r="D16" s="86">
        <f>材料成本!E24</f>
        <v>0</v>
      </c>
      <c r="E16" s="86">
        <f>材料成本!F24</f>
        <v>0</v>
      </c>
      <c r="F16" s="86">
        <f>材料成本!G24</f>
        <v>0</v>
      </c>
      <c r="G16" s="86">
        <f>材料成本!H24</f>
        <v>0</v>
      </c>
      <c r="H16" s="86">
        <f>材料成本!I24</f>
        <v>0</v>
      </c>
      <c r="I16" s="86">
        <f>材料成本!J24</f>
        <v>0</v>
      </c>
      <c r="J16" s="86">
        <f>材料成本!K24</f>
        <v>0</v>
      </c>
      <c r="K16" s="86">
        <f>材料成本!L24</f>
        <v>0</v>
      </c>
      <c r="L16" s="86">
        <f>材料成本!M24</f>
        <v>0</v>
      </c>
      <c r="M16" s="84">
        <f>SUM(C16:L16)</f>
        <v>1251.70744087929</v>
      </c>
    </row>
    <row r="17" spans="2:13">
      <c r="B17" s="69" t="s">
        <v>104</v>
      </c>
      <c r="C17" s="86">
        <f>C8-C16</f>
        <v>566.876629917167</v>
      </c>
      <c r="D17" s="86">
        <f t="shared" ref="D17:M17" si="3">D8-D16</f>
        <v>0</v>
      </c>
      <c r="E17" s="86">
        <f t="shared" si="3"/>
        <v>0</v>
      </c>
      <c r="F17" s="86">
        <f t="shared" si="3"/>
        <v>0</v>
      </c>
      <c r="G17" s="86">
        <f t="shared" si="3"/>
        <v>0</v>
      </c>
      <c r="H17" s="86">
        <f t="shared" si="3"/>
        <v>0</v>
      </c>
      <c r="I17" s="86">
        <f t="shared" si="3"/>
        <v>0</v>
      </c>
      <c r="J17" s="86">
        <f t="shared" si="3"/>
        <v>0</v>
      </c>
      <c r="K17" s="86">
        <f t="shared" si="3"/>
        <v>0</v>
      </c>
      <c r="L17" s="86">
        <f t="shared" si="3"/>
        <v>0</v>
      </c>
      <c r="M17" s="84">
        <f>SUM(C17:L17)</f>
        <v>566.876629917167</v>
      </c>
    </row>
    <row r="18" spans="2:13">
      <c r="B18" s="69" t="s">
        <v>215</v>
      </c>
      <c r="C18" s="87">
        <f>C17/C8</f>
        <v>0.311713183360778</v>
      </c>
      <c r="D18" s="87" t="e">
        <f t="shared" ref="D18:N18" si="4">D17/D8</f>
        <v>#DIV/0!</v>
      </c>
      <c r="E18" s="87" t="e">
        <f t="shared" si="4"/>
        <v>#DIV/0!</v>
      </c>
      <c r="F18" s="87" t="e">
        <f t="shared" si="4"/>
        <v>#DIV/0!</v>
      </c>
      <c r="G18" s="88" t="e">
        <f t="shared" si="4"/>
        <v>#DIV/0!</v>
      </c>
      <c r="H18" s="88" t="e">
        <f t="shared" si="4"/>
        <v>#DIV/0!</v>
      </c>
      <c r="I18" s="88" t="e">
        <f t="shared" si="4"/>
        <v>#DIV/0!</v>
      </c>
      <c r="J18" s="88" t="e">
        <f t="shared" si="4"/>
        <v>#DIV/0!</v>
      </c>
      <c r="K18" s="87" t="e">
        <f t="shared" si="4"/>
        <v>#DIV/0!</v>
      </c>
      <c r="L18" s="87" t="e">
        <f t="shared" si="4"/>
        <v>#DIV/0!</v>
      </c>
      <c r="M18" s="87">
        <f t="shared" si="4"/>
        <v>0.311713183360778</v>
      </c>
    </row>
  </sheetData>
  <mergeCells count="4">
    <mergeCell ref="A14:B14"/>
    <mergeCell ref="A5:A8"/>
    <mergeCell ref="A9:A13"/>
    <mergeCell ref="M5:M7"/>
  </mergeCells>
  <printOptions horizontalCentered="1"/>
  <pageMargins left="0.118110236220472" right="0.118110236220472" top="0.354330708661417" bottom="0.354330708661417" header="0.31496062992126" footer="0.31496062992126"/>
  <pageSetup paperSize="9" scale="71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8"/>
  <sheetViews>
    <sheetView workbookViewId="0">
      <pane xSplit="3" ySplit="5" topLeftCell="D13" activePane="bottomRight" state="frozen"/>
      <selection/>
      <selection pane="topRight"/>
      <selection pane="bottomLeft"/>
      <selection pane="bottomRight" activeCell="F32" sqref="F32"/>
    </sheetView>
  </sheetViews>
  <sheetFormatPr defaultColWidth="9" defaultRowHeight="16.5"/>
  <cols>
    <col min="1" max="2" width="4.37272727272727" style="33" customWidth="1"/>
    <col min="3" max="3" width="8.12727272727273" style="33" customWidth="1"/>
    <col min="4" max="8" width="12" style="34" customWidth="1"/>
    <col min="9" max="9" width="12.7272727272727" style="34" customWidth="1"/>
    <col min="10" max="14" width="12" style="34" customWidth="1"/>
    <col min="15" max="15" width="12.2545454545455" style="33" customWidth="1"/>
    <col min="16" max="16" width="13.2545454545455" style="33" customWidth="1"/>
    <col min="17" max="17" width="16" style="33" customWidth="1"/>
    <col min="18" max="16384" width="9" style="33"/>
  </cols>
  <sheetData>
    <row r="1" s="32" customFormat="1" ht="28.5" customHeight="1" spans="1:17">
      <c r="A1" s="35" t="s">
        <v>7</v>
      </c>
      <c r="B1" s="35"/>
      <c r="C1" s="35"/>
      <c r="D1" s="36" t="s">
        <v>52</v>
      </c>
      <c r="E1" s="37"/>
      <c r="F1" s="37"/>
      <c r="G1" s="37"/>
      <c r="H1" s="37"/>
      <c r="I1" s="37"/>
      <c r="J1" s="37"/>
      <c r="K1" s="37"/>
      <c r="L1" s="37"/>
      <c r="M1" s="37"/>
      <c r="N1" s="37"/>
      <c r="Q1" s="68"/>
    </row>
    <row r="2" spans="1:14">
      <c r="A2" s="38" t="s">
        <v>216</v>
      </c>
      <c r="B2" s="38"/>
      <c r="C2" s="39"/>
      <c r="D2" s="40"/>
      <c r="E2" s="41" t="s">
        <v>217</v>
      </c>
      <c r="F2" s="42"/>
      <c r="G2" s="42"/>
      <c r="H2" s="42"/>
      <c r="I2" s="42"/>
      <c r="J2" s="42"/>
      <c r="K2" s="42"/>
      <c r="L2" s="42"/>
      <c r="M2" s="42"/>
      <c r="N2" s="62"/>
    </row>
    <row r="3" ht="33" spans="1:14">
      <c r="A3" s="43" t="s">
        <v>21</v>
      </c>
      <c r="B3" s="43" t="s">
        <v>218</v>
      </c>
      <c r="C3" s="43" t="s">
        <v>219</v>
      </c>
      <c r="D3" s="44" t="s">
        <v>220</v>
      </c>
      <c r="E3" s="44"/>
      <c r="F3" s="40" t="s">
        <v>221</v>
      </c>
      <c r="G3" s="45" t="s">
        <v>222</v>
      </c>
      <c r="H3" s="46"/>
      <c r="I3" s="46"/>
      <c r="J3" s="46"/>
      <c r="K3" s="46"/>
      <c r="L3" s="46"/>
      <c r="M3" s="46"/>
      <c r="N3" s="63" t="s">
        <v>170</v>
      </c>
    </row>
    <row r="4" ht="33" spans="1:14">
      <c r="A4" s="43"/>
      <c r="B4" s="43"/>
      <c r="C4" s="43" t="s">
        <v>152</v>
      </c>
      <c r="D4" s="47" t="s">
        <v>153</v>
      </c>
      <c r="E4" s="47"/>
      <c r="F4" s="47"/>
      <c r="G4" s="47"/>
      <c r="H4" s="48"/>
      <c r="I4" s="48"/>
      <c r="J4" s="48"/>
      <c r="K4" s="48"/>
      <c r="L4" s="48"/>
      <c r="M4" s="48"/>
      <c r="N4" s="64"/>
    </row>
    <row r="5" ht="33" spans="1:14">
      <c r="A5" s="43"/>
      <c r="B5" s="43"/>
      <c r="C5" s="43" t="s">
        <v>154</v>
      </c>
      <c r="D5" s="47" t="s">
        <v>155</v>
      </c>
      <c r="E5" s="47"/>
      <c r="F5" s="47"/>
      <c r="G5" s="47"/>
      <c r="H5" s="47"/>
      <c r="I5" s="47"/>
      <c r="J5" s="47"/>
      <c r="K5" s="47"/>
      <c r="L5" s="47"/>
      <c r="M5" s="47"/>
      <c r="N5" s="65"/>
    </row>
    <row r="6" spans="1:14">
      <c r="A6" s="49">
        <v>1</v>
      </c>
      <c r="B6" s="50" t="s">
        <v>223</v>
      </c>
      <c r="C6" s="51"/>
      <c r="D6" s="52"/>
      <c r="E6" s="48"/>
      <c r="F6" s="48"/>
      <c r="G6" s="48"/>
      <c r="H6" s="48"/>
      <c r="I6" s="48"/>
      <c r="J6" s="48"/>
      <c r="K6" s="48"/>
      <c r="L6" s="48"/>
      <c r="M6" s="48"/>
      <c r="N6" s="66"/>
    </row>
    <row r="7" spans="1:14">
      <c r="A7" s="49">
        <v>2</v>
      </c>
      <c r="B7" s="50" t="s">
        <v>224</v>
      </c>
      <c r="C7" s="51"/>
      <c r="D7" s="52"/>
      <c r="E7" s="48"/>
      <c r="F7" s="48"/>
      <c r="G7" s="48"/>
      <c r="H7" s="48"/>
      <c r="I7" s="48"/>
      <c r="J7" s="48"/>
      <c r="K7" s="48"/>
      <c r="L7" s="48"/>
      <c r="M7" s="48"/>
      <c r="N7" s="66"/>
    </row>
    <row r="8" spans="1:14">
      <c r="A8" s="49">
        <v>3</v>
      </c>
      <c r="B8" s="50" t="s">
        <v>225</v>
      </c>
      <c r="C8" s="51"/>
      <c r="D8" s="52"/>
      <c r="E8" s="52"/>
      <c r="F8" s="52"/>
      <c r="G8" s="52"/>
      <c r="H8" s="52"/>
      <c r="I8" s="52"/>
      <c r="J8" s="52"/>
      <c r="K8" s="52"/>
      <c r="L8" s="52"/>
      <c r="M8" s="52"/>
      <c r="N8" s="66"/>
    </row>
    <row r="9" spans="1:14">
      <c r="A9" s="49">
        <v>4</v>
      </c>
      <c r="B9" s="50" t="s">
        <v>226</v>
      </c>
      <c r="C9" s="51"/>
      <c r="D9" s="52"/>
      <c r="E9" s="48"/>
      <c r="F9" s="48"/>
      <c r="G9" s="48"/>
      <c r="H9" s="48"/>
      <c r="I9" s="48"/>
      <c r="J9" s="48"/>
      <c r="K9" s="48"/>
      <c r="L9" s="48"/>
      <c r="M9" s="48"/>
      <c r="N9" s="66"/>
    </row>
    <row r="10" spans="1:14">
      <c r="A10" s="49">
        <v>5</v>
      </c>
      <c r="B10" s="50" t="s">
        <v>227</v>
      </c>
      <c r="C10" s="51"/>
      <c r="D10" s="52"/>
      <c r="E10" s="48"/>
      <c r="F10" s="48"/>
      <c r="G10" s="48"/>
      <c r="H10" s="48"/>
      <c r="I10" s="48"/>
      <c r="J10" s="48"/>
      <c r="K10" s="48"/>
      <c r="L10" s="48"/>
      <c r="M10" s="48"/>
      <c r="N10" s="66"/>
    </row>
    <row r="11" spans="1:14">
      <c r="A11" s="49">
        <v>6</v>
      </c>
      <c r="B11" s="50" t="s">
        <v>228</v>
      </c>
      <c r="C11" s="51"/>
      <c r="D11" s="52"/>
      <c r="E11" s="48"/>
      <c r="F11" s="48"/>
      <c r="G11" s="48"/>
      <c r="H11" s="48"/>
      <c r="I11" s="48"/>
      <c r="J11" s="48"/>
      <c r="K11" s="48"/>
      <c r="L11" s="48"/>
      <c r="M11" s="48"/>
      <c r="N11" s="66"/>
    </row>
    <row r="12" spans="1:14">
      <c r="A12" s="49">
        <v>7</v>
      </c>
      <c r="B12" s="50" t="s">
        <v>229</v>
      </c>
      <c r="C12" s="51"/>
      <c r="D12" s="52"/>
      <c r="E12" s="48"/>
      <c r="F12" s="48"/>
      <c r="G12" s="48"/>
      <c r="H12" s="48"/>
      <c r="I12" s="48"/>
      <c r="J12" s="48"/>
      <c r="K12" s="48"/>
      <c r="L12" s="48"/>
      <c r="M12" s="48"/>
      <c r="N12" s="66"/>
    </row>
    <row r="13" spans="1:14">
      <c r="A13" s="49">
        <v>8</v>
      </c>
      <c r="B13" s="50" t="s">
        <v>230</v>
      </c>
      <c r="C13" s="51"/>
      <c r="D13" s="52"/>
      <c r="E13" s="48"/>
      <c r="F13" s="48"/>
      <c r="G13" s="48"/>
      <c r="H13" s="48"/>
      <c r="I13" s="48"/>
      <c r="J13" s="48"/>
      <c r="K13" s="48"/>
      <c r="L13" s="48"/>
      <c r="M13" s="48"/>
      <c r="N13" s="66"/>
    </row>
    <row r="14" spans="1:14">
      <c r="A14" s="49">
        <v>9</v>
      </c>
      <c r="B14" s="50" t="s">
        <v>231</v>
      </c>
      <c r="C14" s="51"/>
      <c r="D14" s="52"/>
      <c r="E14" s="48"/>
      <c r="F14" s="48"/>
      <c r="G14" s="48"/>
      <c r="H14" s="48"/>
      <c r="I14" s="48"/>
      <c r="J14" s="48"/>
      <c r="K14" s="48"/>
      <c r="L14" s="48"/>
      <c r="M14" s="48"/>
      <c r="N14" s="66"/>
    </row>
    <row r="15" spans="1:14">
      <c r="A15" s="49">
        <v>10</v>
      </c>
      <c r="B15" s="50" t="s">
        <v>232</v>
      </c>
      <c r="C15" s="51"/>
      <c r="D15" s="52"/>
      <c r="E15" s="48"/>
      <c r="F15" s="48"/>
      <c r="G15" s="48"/>
      <c r="H15" s="48"/>
      <c r="I15" s="48"/>
      <c r="J15" s="48"/>
      <c r="K15" s="48"/>
      <c r="L15" s="48"/>
      <c r="M15" s="48"/>
      <c r="N15" s="66"/>
    </row>
    <row r="16" spans="1:14">
      <c r="A16" s="49">
        <v>11</v>
      </c>
      <c r="B16" s="50" t="s">
        <v>233</v>
      </c>
      <c r="C16" s="51"/>
      <c r="D16" s="52"/>
      <c r="E16" s="48"/>
      <c r="F16" s="48"/>
      <c r="G16" s="48"/>
      <c r="H16" s="48"/>
      <c r="I16" s="48"/>
      <c r="J16" s="48"/>
      <c r="K16" s="48"/>
      <c r="L16" s="48"/>
      <c r="M16" s="48"/>
      <c r="N16" s="66"/>
    </row>
    <row r="17" spans="1:14">
      <c r="A17" s="49">
        <v>12</v>
      </c>
      <c r="B17" s="50" t="s">
        <v>234</v>
      </c>
      <c r="C17" s="51"/>
      <c r="D17" s="52"/>
      <c r="E17" s="48"/>
      <c r="F17" s="48"/>
      <c r="G17" s="48"/>
      <c r="H17" s="48"/>
      <c r="I17" s="48"/>
      <c r="J17" s="48"/>
      <c r="K17" s="48"/>
      <c r="L17" s="48"/>
      <c r="M17" s="48"/>
      <c r="N17" s="66"/>
    </row>
    <row r="18" spans="1:14">
      <c r="A18" s="49">
        <v>13</v>
      </c>
      <c r="B18" s="50" t="s">
        <v>235</v>
      </c>
      <c r="C18" s="51"/>
      <c r="D18" s="52"/>
      <c r="E18" s="48"/>
      <c r="F18" s="48"/>
      <c r="G18" s="48"/>
      <c r="H18" s="48"/>
      <c r="I18" s="48"/>
      <c r="J18" s="48"/>
      <c r="K18" s="48"/>
      <c r="L18" s="48"/>
      <c r="M18" s="48"/>
      <c r="N18" s="66"/>
    </row>
    <row r="19" spans="1:14">
      <c r="A19" s="49">
        <v>14</v>
      </c>
      <c r="B19" s="50" t="s">
        <v>236</v>
      </c>
      <c r="C19" s="51"/>
      <c r="D19" s="52"/>
      <c r="E19" s="48"/>
      <c r="F19" s="48"/>
      <c r="G19" s="48"/>
      <c r="H19" s="48"/>
      <c r="I19" s="48"/>
      <c r="J19" s="48"/>
      <c r="K19" s="48"/>
      <c r="L19" s="48"/>
      <c r="M19" s="48"/>
      <c r="N19" s="66"/>
    </row>
    <row r="20" spans="1:14">
      <c r="A20" s="49">
        <v>15</v>
      </c>
      <c r="B20" s="50" t="s">
        <v>237</v>
      </c>
      <c r="C20" s="51"/>
      <c r="D20" s="52"/>
      <c r="E20" s="48"/>
      <c r="F20" s="48"/>
      <c r="G20" s="48"/>
      <c r="H20" s="48"/>
      <c r="I20" s="48"/>
      <c r="J20" s="48"/>
      <c r="K20" s="48"/>
      <c r="L20" s="48"/>
      <c r="M20" s="48"/>
      <c r="N20" s="66"/>
    </row>
    <row r="21" spans="1:14">
      <c r="A21" s="49">
        <v>16</v>
      </c>
      <c r="B21" s="50" t="s">
        <v>238</v>
      </c>
      <c r="C21" s="51"/>
      <c r="D21" s="52"/>
      <c r="E21" s="48"/>
      <c r="F21" s="48"/>
      <c r="G21" s="48"/>
      <c r="H21" s="48"/>
      <c r="I21" s="48"/>
      <c r="J21" s="48"/>
      <c r="K21" s="48"/>
      <c r="L21" s="48"/>
      <c r="M21" s="48"/>
      <c r="N21" s="66"/>
    </row>
    <row r="22" spans="1:14">
      <c r="A22" s="49">
        <v>17</v>
      </c>
      <c r="B22" s="50" t="s">
        <v>39</v>
      </c>
      <c r="C22" s="51"/>
      <c r="D22" s="52"/>
      <c r="E22" s="48"/>
      <c r="F22" s="48"/>
      <c r="G22" s="48"/>
      <c r="H22" s="48"/>
      <c r="I22" s="48"/>
      <c r="J22" s="48"/>
      <c r="K22" s="48"/>
      <c r="L22" s="48"/>
      <c r="M22" s="48"/>
      <c r="N22" s="66"/>
    </row>
    <row r="23" spans="1:14">
      <c r="A23" s="49">
        <v>18</v>
      </c>
      <c r="B23" s="50" t="s">
        <v>239</v>
      </c>
      <c r="C23" s="51"/>
      <c r="D23" s="53">
        <v>1251.70744087929</v>
      </c>
      <c r="E23" s="53"/>
      <c r="F23" s="53"/>
      <c r="G23" s="54"/>
      <c r="H23" s="55"/>
      <c r="I23" s="55"/>
      <c r="J23" s="55"/>
      <c r="K23" s="55"/>
      <c r="L23" s="55"/>
      <c r="M23" s="55"/>
      <c r="N23" s="67"/>
    </row>
    <row r="24" ht="31.5" customHeight="1" spans="1:14">
      <c r="A24" s="56" t="s">
        <v>240</v>
      </c>
      <c r="B24" s="57"/>
      <c r="C24" s="58"/>
      <c r="D24" s="59">
        <f t="shared" ref="D24:M24" si="0">SUM(D6:D23)</f>
        <v>1251.70744087929</v>
      </c>
      <c r="E24" s="59">
        <f t="shared" si="0"/>
        <v>0</v>
      </c>
      <c r="F24" s="59">
        <f t="shared" si="0"/>
        <v>0</v>
      </c>
      <c r="G24" s="59">
        <f t="shared" si="0"/>
        <v>0</v>
      </c>
      <c r="H24" s="59">
        <f t="shared" si="0"/>
        <v>0</v>
      </c>
      <c r="I24" s="59">
        <f t="shared" si="0"/>
        <v>0</v>
      </c>
      <c r="J24" s="59">
        <f t="shared" si="0"/>
        <v>0</v>
      </c>
      <c r="K24" s="59">
        <f t="shared" si="0"/>
        <v>0</v>
      </c>
      <c r="L24" s="59">
        <f t="shared" si="0"/>
        <v>0</v>
      </c>
      <c r="M24" s="59">
        <f t="shared" si="0"/>
        <v>0</v>
      </c>
      <c r="N24" s="67"/>
    </row>
    <row r="25" spans="3:13">
      <c r="C25" s="33" t="s">
        <v>241</v>
      </c>
      <c r="D25" s="60"/>
      <c r="E25" s="60"/>
      <c r="F25" s="60"/>
      <c r="G25" s="60"/>
      <c r="H25" s="60"/>
      <c r="I25" s="60"/>
      <c r="J25" s="60"/>
      <c r="K25" s="60"/>
      <c r="L25" s="60"/>
      <c r="M25" s="60"/>
    </row>
    <row r="27" spans="3:13">
      <c r="C27" s="33" t="s">
        <v>54</v>
      </c>
      <c r="D27" s="61">
        <f t="shared" ref="D27:M27" si="1">D24*0.94</f>
        <v>1176.60499442654</v>
      </c>
      <c r="E27" s="61">
        <f t="shared" si="1"/>
        <v>0</v>
      </c>
      <c r="F27" s="61">
        <f t="shared" si="1"/>
        <v>0</v>
      </c>
      <c r="G27" s="61">
        <f t="shared" si="1"/>
        <v>0</v>
      </c>
      <c r="H27" s="61">
        <f t="shared" si="1"/>
        <v>0</v>
      </c>
      <c r="I27" s="61">
        <f t="shared" si="1"/>
        <v>0</v>
      </c>
      <c r="J27" s="61">
        <f t="shared" si="1"/>
        <v>0</v>
      </c>
      <c r="K27" s="61">
        <f t="shared" si="1"/>
        <v>0</v>
      </c>
      <c r="L27" s="61">
        <f t="shared" si="1"/>
        <v>0</v>
      </c>
      <c r="M27" s="61">
        <f t="shared" si="1"/>
        <v>0</v>
      </c>
    </row>
    <row r="28" spans="3:13">
      <c r="C28" s="33" t="s">
        <v>55</v>
      </c>
      <c r="D28" s="61">
        <f t="shared" ref="D28:M28" si="2">D27*0.94</f>
        <v>1106.00869476094</v>
      </c>
      <c r="E28" s="61">
        <f t="shared" si="2"/>
        <v>0</v>
      </c>
      <c r="F28" s="61">
        <f t="shared" si="2"/>
        <v>0</v>
      </c>
      <c r="G28" s="61">
        <f t="shared" si="2"/>
        <v>0</v>
      </c>
      <c r="H28" s="61">
        <f t="shared" si="2"/>
        <v>0</v>
      </c>
      <c r="I28" s="61">
        <f t="shared" si="2"/>
        <v>0</v>
      </c>
      <c r="J28" s="61">
        <f t="shared" si="2"/>
        <v>0</v>
      </c>
      <c r="K28" s="61">
        <f t="shared" si="2"/>
        <v>0</v>
      </c>
      <c r="L28" s="61">
        <f t="shared" si="2"/>
        <v>0</v>
      </c>
      <c r="M28" s="61">
        <f t="shared" si="2"/>
        <v>0</v>
      </c>
    </row>
  </sheetData>
  <mergeCells count="27">
    <mergeCell ref="A1:B1"/>
    <mergeCell ref="A2:D2"/>
    <mergeCell ref="E2:N2"/>
    <mergeCell ref="D3:E3"/>
    <mergeCell ref="G3:H3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C24"/>
    <mergeCell ref="A3:A5"/>
    <mergeCell ref="B3:B5"/>
    <mergeCell ref="N3:N5"/>
  </mergeCells>
  <pageMargins left="0.708661417322835" right="0.118110236220472" top="0.354330708661417" bottom="0.354330708661417" header="0.31496062992126" footer="0.31496062992126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假设条件</vt:lpstr>
      <vt:lpstr>现金</vt:lpstr>
      <vt:lpstr>损益表</vt:lpstr>
      <vt:lpstr>2025年</vt:lpstr>
      <vt:lpstr>2026年</vt:lpstr>
      <vt:lpstr>2027年</vt:lpstr>
      <vt:lpstr>项目投资</vt:lpstr>
      <vt:lpstr>销量</vt:lpstr>
      <vt:lpstr>材料成本</vt:lpstr>
      <vt:lpstr>其他</vt:lpstr>
      <vt:lpstr>标准成本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哿 偉</cp:lastModifiedBy>
  <dcterms:created xsi:type="dcterms:W3CDTF">2006-09-13T11:21:00Z</dcterms:created>
  <dcterms:modified xsi:type="dcterms:W3CDTF">2024-07-09T03:32:41Z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9545D4B7266740A89BCEAE7E60B7E103</vt:lpwstr>
  </property>
</Properties>
</file>