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660"/>
  </bookViews>
  <sheets>
    <sheet name="固定资产" sheetId="1" r:id="rId1"/>
  </sheets>
  <externalReferences>
    <externalReference r:id="rId2"/>
  </externalReferences>
  <definedNames>
    <definedName name="_xlnm._FilterDatabase" localSheetId="0" hidden="1">固定资产!$A$2:$AF$21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<sst xmlns="http://schemas.openxmlformats.org/spreadsheetml/2006/main" count="140" uniqueCount="94">
  <si>
    <t>瑞隆祥转移设备清单</t>
  </si>
  <si>
    <t>序号</t>
  </si>
  <si>
    <t>设备名称</t>
  </si>
  <si>
    <t>类型</t>
  </si>
  <si>
    <t>规格型号</t>
  </si>
  <si>
    <t>生产厂家</t>
  </si>
  <si>
    <t>计量单位</t>
  </si>
  <si>
    <t>数量</t>
  </si>
  <si>
    <t>生产日期</t>
  </si>
  <si>
    <t>启用日期</t>
  </si>
  <si>
    <t>启用期</t>
  </si>
  <si>
    <t>使用年限</t>
  </si>
  <si>
    <t>账面原值</t>
  </si>
  <si>
    <t>发票价格</t>
  </si>
  <si>
    <t>税额</t>
  </si>
  <si>
    <t>合计</t>
  </si>
  <si>
    <t>残值率</t>
  </si>
  <si>
    <t>原值-残值</t>
  </si>
  <si>
    <t>折旧总期限（月）</t>
  </si>
  <si>
    <t>已提折旧</t>
  </si>
  <si>
    <t>至上月止</t>
  </si>
  <si>
    <t>上期已使用月数</t>
  </si>
  <si>
    <t>剩余月数</t>
  </si>
  <si>
    <t>月度折旧额</t>
  </si>
  <si>
    <t>以前期已提折旧额</t>
  </si>
  <si>
    <t>净值</t>
  </si>
  <si>
    <t>账面净值</t>
  </si>
  <si>
    <t>账面价值</t>
  </si>
  <si>
    <t>材质</t>
  </si>
  <si>
    <t>重量</t>
  </si>
  <si>
    <t>转移到河北的状态</t>
  </si>
  <si>
    <t>固定资产转移厚所在地</t>
  </si>
  <si>
    <t>备注</t>
  </si>
  <si>
    <t>数控车床</t>
  </si>
  <si>
    <t>北京中机鑫和源机电设备有限公司</t>
  </si>
  <si>
    <t>可用</t>
  </si>
  <si>
    <t>河北模具车间</t>
  </si>
  <si>
    <t>待安装使用</t>
  </si>
  <si>
    <t>普通车床</t>
  </si>
  <si>
    <t>C6136B-1</t>
  </si>
  <si>
    <t>北京金玉通机械设备有限公司-沈阳一机床</t>
  </si>
  <si>
    <t>主轴及走刀松旷</t>
  </si>
  <si>
    <t>维修后已正常使用</t>
  </si>
  <si>
    <t>小磨床</t>
  </si>
  <si>
    <t>M618</t>
  </si>
  <si>
    <t>大丰市铁元达机械制造有限公司</t>
  </si>
  <si>
    <t>无法开机</t>
  </si>
  <si>
    <t>大磨床</t>
  </si>
  <si>
    <t>M7130G/F</t>
  </si>
  <si>
    <t>桂林磨床厂</t>
  </si>
  <si>
    <t>2005-8月,2006初左右购买</t>
  </si>
  <si>
    <t>换向器松动，轻微异响</t>
  </si>
  <si>
    <t>摇臂钻床</t>
  </si>
  <si>
    <t>Z3050X16/1</t>
  </si>
  <si>
    <t>沈阳中捷钻床</t>
  </si>
  <si>
    <t>2004-7月，2006初左右购买</t>
  </si>
  <si>
    <t>锁紧装置损坏</t>
  </si>
  <si>
    <t>已正常使用</t>
  </si>
  <si>
    <t>火花机1</t>
  </si>
  <si>
    <t>7145NC</t>
  </si>
  <si>
    <t>深圳市创世纪机械有限公司</t>
  </si>
  <si>
    <t>待维修</t>
  </si>
  <si>
    <t>火花机2</t>
  </si>
  <si>
    <t>1200NC</t>
  </si>
  <si>
    <t>2007-5月</t>
  </si>
  <si>
    <t>不可用</t>
  </si>
  <si>
    <t>经评估无法使用，待报废处理</t>
  </si>
  <si>
    <t>火花机3</t>
  </si>
  <si>
    <t>2004-7月</t>
  </si>
  <si>
    <t>炮塔铣床1</t>
  </si>
  <si>
    <t>E21050</t>
  </si>
  <si>
    <t>昆山屹正新精密机械有限公司</t>
  </si>
  <si>
    <t>注塑车间模具维修区</t>
  </si>
  <si>
    <t>炮塔铣床2</t>
  </si>
  <si>
    <t>X轴不准</t>
  </si>
  <si>
    <t>经评估使用价值，待报废处理</t>
  </si>
  <si>
    <t>炮塔铣床3</t>
  </si>
  <si>
    <t>X轴和Y轴不准</t>
  </si>
  <si>
    <t>铸铁平台</t>
  </si>
  <si>
    <t>1500*2000</t>
  </si>
  <si>
    <t>泊头市冀丰工量具有限公司</t>
  </si>
  <si>
    <t>金属件厂AUDIT评审区</t>
  </si>
  <si>
    <t>氩弧焊接机</t>
  </si>
  <si>
    <t>ZXJ-5D0DS</t>
  </si>
  <si>
    <t>深圳白胜机电有限公司</t>
  </si>
  <si>
    <t>2007-11月</t>
  </si>
  <si>
    <t>冲压车间</t>
  </si>
  <si>
    <t>钳工平台</t>
  </si>
  <si>
    <t>2020-5月</t>
  </si>
  <si>
    <t>冲压模具维修区</t>
  </si>
  <si>
    <t>钳工工作台</t>
  </si>
  <si>
    <t>地面操作钢板</t>
  </si>
  <si>
    <t>1250*4000</t>
  </si>
  <si>
    <t>2013-5月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</si>
</sst>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.00_);[Red]\(0.00\)"/>
    <numFmt numFmtId="178" formatCode="yyyy/m/d;@"/>
    <numFmt numFmtId="179" formatCode="yyyy&quot;年&quot;m&quot;月&quot;;@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176" fontId="0" fillId="0" borderId="0" xfId="1" applyNumberFormat="1" applyFont="1" applyFill="1" applyAlignment="1">
      <alignment horizontal="left"/>
    </xf>
    <xf numFmtId="43" fontId="0" fillId="0" borderId="0" xfId="1" applyFont="1" applyFill="1" applyAlignment="1">
      <alignment horizontal="center"/>
    </xf>
    <xf numFmtId="9" fontId="0" fillId="0" borderId="0" xfId="3" applyFont="1" applyFill="1" applyAlignment="1">
      <alignment horizontal="center"/>
    </xf>
    <xf numFmtId="177" fontId="0" fillId="0" borderId="0" xfId="3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4" fillId="0" borderId="2" xfId="49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8" fontId="4" fillId="2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176" fontId="3" fillId="0" borderId="2" xfId="1" applyNumberFormat="1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9" fontId="3" fillId="0" borderId="2" xfId="3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center" vertical="center" wrapText="1"/>
    </xf>
    <xf numFmtId="43" fontId="1" fillId="0" borderId="2" xfId="1" applyFont="1" applyFill="1" applyBorder="1" applyAlignment="1">
      <alignment horizontal="center" vertical="center"/>
    </xf>
    <xf numFmtId="9" fontId="4" fillId="0" borderId="2" xfId="3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/>
    </xf>
    <xf numFmtId="176" fontId="4" fillId="2" borderId="2" xfId="1" applyNumberFormat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/>
    </xf>
    <xf numFmtId="9" fontId="4" fillId="2" borderId="2" xfId="3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1" fillId="0" borderId="2" xfId="1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3" fontId="1" fillId="0" borderId="2" xfId="0" applyNumberFormat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57" fontId="1" fillId="2" borderId="2" xfId="0" applyNumberFormat="1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center"/>
    </xf>
    <xf numFmtId="43" fontId="0" fillId="0" borderId="0" xfId="0" applyNumberForma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0;&#29790;&#38534;&#31077;&#35774;&#22791;&#28165;&#21333;-&#19982;&#21457;&#31080;&#26680;&#23545;&#21518;4.28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固定资产"/>
      <sheetName val="存货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5"/>
  <sheetViews>
    <sheetView tabSelected="1" view="pageBreakPreview" zoomScale="70" zoomScaleNormal="100" workbookViewId="0">
      <pane ySplit="3" topLeftCell="A4" activePane="bottomLeft" state="frozen"/>
      <selection/>
      <selection pane="bottomLeft" activeCell="AJ12" sqref="AJ12"/>
    </sheetView>
  </sheetViews>
  <sheetFormatPr defaultColWidth="9" defaultRowHeight="14"/>
  <cols>
    <col min="1" max="1" width="5.90909090909091" style="2" customWidth="1"/>
    <col min="2" max="2" width="12.3636363636364" style="2" customWidth="1"/>
    <col min="3" max="3" width="5.36363636363636" style="2" hidden="1" customWidth="1"/>
    <col min="4" max="4" width="10.3636363636364" style="2" customWidth="1"/>
    <col min="5" max="5" width="27.2727272727273" style="2" customWidth="1"/>
    <col min="6" max="6" width="8.81818181818182" style="2" hidden="1" customWidth="1"/>
    <col min="7" max="7" width="4.18181818181818" style="2" customWidth="1"/>
    <col min="8" max="8" width="8" style="2" hidden="1" customWidth="1"/>
    <col min="9" max="9" width="26.1818181818182" style="2" hidden="1" customWidth="1"/>
    <col min="10" max="10" width="12.1818181818182" style="3" customWidth="1"/>
    <col min="11" max="11" width="5.54545454545455" style="2" customWidth="1"/>
    <col min="12" max="12" width="11.8181818181818" style="4" customWidth="1"/>
    <col min="13" max="13" width="14" style="2" hidden="1" customWidth="1"/>
    <col min="14" max="14" width="12.8181818181818" style="2" hidden="1" customWidth="1"/>
    <col min="15" max="15" width="13.9090909090909" style="5" hidden="1" customWidth="1"/>
    <col min="16" max="16" width="10.8181818181818" style="6" hidden="1" customWidth="1"/>
    <col min="17" max="17" width="15.0909090909091" style="7" hidden="1" customWidth="1"/>
    <col min="18" max="18" width="16.0909090909091" style="2" hidden="1" customWidth="1"/>
    <col min="19" max="19" width="13.9090909090909" style="2" hidden="1" customWidth="1"/>
    <col min="20" max="20" width="10.3636363636364" style="2" hidden="1" customWidth="1"/>
    <col min="21" max="24" width="9" style="2" hidden="1" customWidth="1"/>
    <col min="25" max="25" width="10" style="2" hidden="1" customWidth="1"/>
    <col min="26" max="26" width="13.9090909090909" style="2" hidden="1" customWidth="1"/>
    <col min="27" max="27" width="9" style="2" hidden="1" customWidth="1"/>
    <col min="28" max="28" width="13.9090909090909" style="2" hidden="1" customWidth="1"/>
    <col min="29" max="30" width="9" style="2" hidden="1" customWidth="1"/>
    <col min="31" max="32" width="18.0909090909091" style="2" customWidth="1"/>
    <col min="33" max="33" width="25.3636363636364" style="2" customWidth="1"/>
    <col min="34" max="16384" width="9" style="2"/>
  </cols>
  <sheetData>
    <row r="1" customHeight="1" spans="1:3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ht="19.5" customHeight="1" spans="1:3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ht="35" customHeight="1" spans="1:3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9" t="s">
        <v>12</v>
      </c>
      <c r="M3" s="10" t="s">
        <v>13</v>
      </c>
      <c r="N3" s="10" t="s">
        <v>14</v>
      </c>
      <c r="O3" s="20" t="s">
        <v>15</v>
      </c>
      <c r="P3" s="21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0" t="s">
        <v>21</v>
      </c>
      <c r="V3" s="10" t="s">
        <v>22</v>
      </c>
      <c r="W3" s="10" t="s">
        <v>17</v>
      </c>
      <c r="X3" s="10" t="s">
        <v>23</v>
      </c>
      <c r="Y3" s="10" t="s">
        <v>24</v>
      </c>
      <c r="Z3" s="10" t="s">
        <v>25</v>
      </c>
      <c r="AA3" s="10" t="s">
        <v>26</v>
      </c>
      <c r="AB3" s="10" t="s">
        <v>27</v>
      </c>
      <c r="AC3" s="10" t="s">
        <v>28</v>
      </c>
      <c r="AD3" s="10" t="s">
        <v>29</v>
      </c>
      <c r="AE3" s="10" t="s">
        <v>30</v>
      </c>
      <c r="AF3" s="10" t="s">
        <v>31</v>
      </c>
      <c r="AG3" s="10" t="s">
        <v>32</v>
      </c>
    </row>
    <row r="4" s="1" customFormat="1" ht="25" customHeight="1" spans="1:33">
      <c r="A4" s="11">
        <v>1</v>
      </c>
      <c r="B4" s="12" t="s">
        <v>33</v>
      </c>
      <c r="C4" s="12"/>
      <c r="D4" s="12">
        <v>6140</v>
      </c>
      <c r="E4" s="12" t="s">
        <v>34</v>
      </c>
      <c r="F4" s="11"/>
      <c r="G4" s="12">
        <v>1</v>
      </c>
      <c r="H4" s="13"/>
      <c r="I4" s="22">
        <v>41835</v>
      </c>
      <c r="J4" s="23">
        <v>41835</v>
      </c>
      <c r="K4" s="12">
        <v>10</v>
      </c>
      <c r="L4" s="24">
        <v>80700</v>
      </c>
      <c r="M4" s="25">
        <v>38974.36</v>
      </c>
      <c r="N4" s="25">
        <f t="shared" ref="N4:N20" si="0">L4-M4</f>
        <v>41725.64</v>
      </c>
      <c r="O4" s="25">
        <f t="shared" ref="O4:O20" si="1">SUBTOTAL(9,M4:N4)</f>
        <v>80700</v>
      </c>
      <c r="P4" s="26">
        <v>0.05</v>
      </c>
      <c r="Q4" s="32">
        <f t="shared" ref="Q4:Q20" si="2">M4*(1-P4)</f>
        <v>37025.642</v>
      </c>
      <c r="R4" s="24">
        <f t="shared" ref="R4:R20" si="3">K4*12</f>
        <v>120</v>
      </c>
      <c r="S4" s="33">
        <f t="shared" ref="S4:S17" si="4">L4*95%</f>
        <v>76665</v>
      </c>
      <c r="T4" s="34">
        <v>44986</v>
      </c>
      <c r="U4" s="35">
        <f t="shared" ref="U4:U20" si="5">ROUND(IF(DATEDIF(J4,T4,"M")&gt;=R4,R4,DATEDIF(J4,T4,"M")),0)</f>
        <v>103</v>
      </c>
      <c r="V4" s="36">
        <f t="shared" ref="V4:V20" si="6">IF(R4-U4&gt;0,R4-U4,0)</f>
        <v>17</v>
      </c>
      <c r="W4" s="25">
        <f t="shared" ref="W4:W20" si="7">ROUND($M4*0.95,2)</f>
        <v>37025.64</v>
      </c>
      <c r="X4" s="37">
        <f t="shared" ref="X4:X20" si="8">W4/R4</f>
        <v>308.547</v>
      </c>
      <c r="Y4" s="25">
        <f t="shared" ref="Y4:Y20" si="9">IFERROR(ROUND((W4/R4)*U4,2),"")</f>
        <v>31780.34</v>
      </c>
      <c r="Z4" s="25">
        <f t="shared" ref="Z4:Z20" si="10">IFERROR(M4-Y4,"")</f>
        <v>7194.02</v>
      </c>
      <c r="AA4" s="11">
        <f t="shared" ref="AA4:AA20" si="11">L4-S4</f>
        <v>4035</v>
      </c>
      <c r="AB4" s="11"/>
      <c r="AC4" s="11"/>
      <c r="AD4" s="11"/>
      <c r="AE4" s="11" t="s">
        <v>35</v>
      </c>
      <c r="AF4" s="11" t="s">
        <v>36</v>
      </c>
      <c r="AG4" s="11" t="s">
        <v>37</v>
      </c>
    </row>
    <row r="5" s="1" customFormat="1" ht="25" customHeight="1" spans="1:33">
      <c r="A5" s="11">
        <v>2</v>
      </c>
      <c r="B5" s="12" t="s">
        <v>38</v>
      </c>
      <c r="C5" s="12"/>
      <c r="D5" s="12" t="s">
        <v>39</v>
      </c>
      <c r="E5" s="12" t="s">
        <v>40</v>
      </c>
      <c r="F5" s="11"/>
      <c r="G5" s="12">
        <v>1</v>
      </c>
      <c r="H5" s="13"/>
      <c r="I5" s="22">
        <v>41757</v>
      </c>
      <c r="J5" s="23">
        <v>41757</v>
      </c>
      <c r="K5" s="12">
        <v>10</v>
      </c>
      <c r="L5" s="24">
        <v>50500</v>
      </c>
      <c r="M5" s="25">
        <v>43162.39</v>
      </c>
      <c r="N5" s="25">
        <f t="shared" si="0"/>
        <v>7337.61</v>
      </c>
      <c r="O5" s="25">
        <f t="shared" si="1"/>
        <v>50500</v>
      </c>
      <c r="P5" s="26">
        <v>0.05</v>
      </c>
      <c r="Q5" s="32">
        <f t="shared" si="2"/>
        <v>41004.2705</v>
      </c>
      <c r="R5" s="24">
        <f t="shared" si="3"/>
        <v>120</v>
      </c>
      <c r="S5" s="33">
        <f t="shared" si="4"/>
        <v>47975</v>
      </c>
      <c r="T5" s="34">
        <v>44986</v>
      </c>
      <c r="U5" s="35">
        <f t="shared" si="5"/>
        <v>106</v>
      </c>
      <c r="V5" s="36">
        <f t="shared" si="6"/>
        <v>14</v>
      </c>
      <c r="W5" s="25">
        <f t="shared" si="7"/>
        <v>41004.27</v>
      </c>
      <c r="X5" s="37">
        <f t="shared" si="8"/>
        <v>341.70225</v>
      </c>
      <c r="Y5" s="25">
        <f t="shared" si="9"/>
        <v>36220.44</v>
      </c>
      <c r="Z5" s="25">
        <f t="shared" si="10"/>
        <v>6941.95</v>
      </c>
      <c r="AA5" s="11">
        <f t="shared" si="11"/>
        <v>2525</v>
      </c>
      <c r="AB5" s="11"/>
      <c r="AC5" s="11"/>
      <c r="AD5" s="11"/>
      <c r="AE5" s="11" t="s">
        <v>41</v>
      </c>
      <c r="AF5" s="11" t="s">
        <v>36</v>
      </c>
      <c r="AG5" s="11" t="s">
        <v>42</v>
      </c>
    </row>
    <row r="6" s="1" customFormat="1" ht="25" customHeight="1" spans="1:33">
      <c r="A6" s="11">
        <v>3</v>
      </c>
      <c r="B6" s="12" t="s">
        <v>43</v>
      </c>
      <c r="C6" s="12"/>
      <c r="D6" s="12" t="s">
        <v>44</v>
      </c>
      <c r="E6" s="12" t="s">
        <v>45</v>
      </c>
      <c r="F6" s="11"/>
      <c r="G6" s="12">
        <v>1</v>
      </c>
      <c r="H6" s="13"/>
      <c r="I6" s="22"/>
      <c r="J6" s="23">
        <v>40245</v>
      </c>
      <c r="K6" s="12">
        <v>10</v>
      </c>
      <c r="L6" s="24"/>
      <c r="M6" s="25"/>
      <c r="N6" s="25"/>
      <c r="O6" s="25"/>
      <c r="P6" s="26"/>
      <c r="Q6" s="32"/>
      <c r="R6" s="24"/>
      <c r="S6" s="33"/>
      <c r="T6" s="34"/>
      <c r="U6" s="35"/>
      <c r="V6" s="36"/>
      <c r="W6" s="25"/>
      <c r="X6" s="37"/>
      <c r="Y6" s="25"/>
      <c r="Z6" s="25"/>
      <c r="AA6" s="11"/>
      <c r="AB6" s="11"/>
      <c r="AC6" s="11"/>
      <c r="AD6" s="11"/>
      <c r="AE6" s="11" t="s">
        <v>46</v>
      </c>
      <c r="AF6" s="11" t="s">
        <v>36</v>
      </c>
      <c r="AG6" s="11" t="s">
        <v>42</v>
      </c>
    </row>
    <row r="7" s="1" customFormat="1" ht="25" customHeight="1" spans="1:33">
      <c r="A7" s="11">
        <v>4</v>
      </c>
      <c r="B7" s="12" t="s">
        <v>47</v>
      </c>
      <c r="C7" s="12"/>
      <c r="D7" s="12" t="s">
        <v>48</v>
      </c>
      <c r="E7" s="12" t="s">
        <v>49</v>
      </c>
      <c r="F7" s="11"/>
      <c r="G7" s="12">
        <v>1</v>
      </c>
      <c r="H7" s="11"/>
      <c r="I7" s="12" t="s">
        <v>50</v>
      </c>
      <c r="J7" s="23">
        <v>38687</v>
      </c>
      <c r="K7" s="12">
        <v>10</v>
      </c>
      <c r="L7" s="24">
        <v>110000</v>
      </c>
      <c r="M7" s="25">
        <f>L7/1.17</f>
        <v>94017.094017094</v>
      </c>
      <c r="N7" s="25">
        <f>L7-M7</f>
        <v>15982.905982906</v>
      </c>
      <c r="O7" s="25">
        <f>SUBTOTAL(9,M7:N7)</f>
        <v>110000</v>
      </c>
      <c r="P7" s="26">
        <v>0.05</v>
      </c>
      <c r="Q7" s="32">
        <f>M7*(1-P7)</f>
        <v>89316.2393162393</v>
      </c>
      <c r="R7" s="24">
        <f>K7*12</f>
        <v>120</v>
      </c>
      <c r="S7" s="33">
        <f>L7*95%</f>
        <v>104500</v>
      </c>
      <c r="T7" s="34">
        <v>44986</v>
      </c>
      <c r="U7" s="35">
        <f>ROUND(IF(DATEDIF(J7,T7,"M")&gt;=R7,R7,DATEDIF(J7,T7,"M")),0)</f>
        <v>120</v>
      </c>
      <c r="V7" s="36">
        <f>IF(R7-U7&gt;0,R7-U7,0)</f>
        <v>0</v>
      </c>
      <c r="W7" s="25">
        <f>ROUND($M7*0.95,2)</f>
        <v>89316.24</v>
      </c>
      <c r="X7" s="37">
        <f>W7/R7</f>
        <v>744.302</v>
      </c>
      <c r="Y7" s="25">
        <f>IFERROR(ROUND((W7/R7)*U7,2),"")</f>
        <v>89316.24</v>
      </c>
      <c r="Z7" s="25">
        <f>IFERROR(M7-Y7,"")</f>
        <v>4700.85401709401</v>
      </c>
      <c r="AA7" s="11">
        <f>L7-S7</f>
        <v>5500</v>
      </c>
      <c r="AB7" s="11"/>
      <c r="AC7" s="11"/>
      <c r="AD7" s="11"/>
      <c r="AE7" s="11" t="s">
        <v>51</v>
      </c>
      <c r="AF7" s="11" t="s">
        <v>36</v>
      </c>
      <c r="AG7" s="11" t="s">
        <v>42</v>
      </c>
    </row>
    <row r="8" s="1" customFormat="1" ht="25" customHeight="1" spans="1:33">
      <c r="A8" s="11">
        <v>5</v>
      </c>
      <c r="B8" s="12" t="s">
        <v>52</v>
      </c>
      <c r="C8" s="12"/>
      <c r="D8" s="12" t="s">
        <v>53</v>
      </c>
      <c r="E8" s="12" t="s">
        <v>54</v>
      </c>
      <c r="F8" s="11"/>
      <c r="G8" s="12">
        <v>1</v>
      </c>
      <c r="H8" s="11"/>
      <c r="I8" s="12" t="s">
        <v>55</v>
      </c>
      <c r="J8" s="23">
        <v>38687</v>
      </c>
      <c r="K8" s="12">
        <v>10</v>
      </c>
      <c r="L8" s="24">
        <v>58000</v>
      </c>
      <c r="M8" s="25">
        <f>L8/1.17</f>
        <v>49572.6495726496</v>
      </c>
      <c r="N8" s="25">
        <f>L8-M8</f>
        <v>8427.35042735042</v>
      </c>
      <c r="O8" s="25">
        <f>SUBTOTAL(9,M8:N8)</f>
        <v>58000</v>
      </c>
      <c r="P8" s="26">
        <v>0.05</v>
      </c>
      <c r="Q8" s="32">
        <f>M8*(1-P8)</f>
        <v>47094.0170940171</v>
      </c>
      <c r="R8" s="24">
        <f>K8*12</f>
        <v>120</v>
      </c>
      <c r="S8" s="33">
        <f>L8*95%</f>
        <v>55100</v>
      </c>
      <c r="T8" s="34">
        <v>44986</v>
      </c>
      <c r="U8" s="35">
        <f>ROUND(IF(DATEDIF(J8,T8,"M")&gt;=R8,R8,DATEDIF(J8,T8,"M")),0)</f>
        <v>120</v>
      </c>
      <c r="V8" s="36">
        <f>IF(R8-U8&gt;0,R8-U8,0)</f>
        <v>0</v>
      </c>
      <c r="W8" s="25">
        <f>ROUND($M8*0.95,2)</f>
        <v>47094.02</v>
      </c>
      <c r="X8" s="37">
        <f>W8/R8</f>
        <v>392.450166666667</v>
      </c>
      <c r="Y8" s="25">
        <f>IFERROR(ROUND((W8/R8)*U8,2),"")</f>
        <v>47094.02</v>
      </c>
      <c r="Z8" s="25">
        <f>IFERROR(M8-Y8,"")</f>
        <v>2478.62957264958</v>
      </c>
      <c r="AA8" s="11">
        <f>L8-S8</f>
        <v>2900</v>
      </c>
      <c r="AB8" s="11"/>
      <c r="AC8" s="11"/>
      <c r="AD8" s="11"/>
      <c r="AE8" s="11" t="s">
        <v>56</v>
      </c>
      <c r="AF8" s="11" t="s">
        <v>36</v>
      </c>
      <c r="AG8" s="11" t="s">
        <v>42</v>
      </c>
    </row>
    <row r="9" s="1" customFormat="1" ht="25" customHeight="1" spans="1:33">
      <c r="A9" s="11">
        <v>6</v>
      </c>
      <c r="B9" s="12" t="s">
        <v>43</v>
      </c>
      <c r="C9" s="12"/>
      <c r="D9" s="12" t="s">
        <v>44</v>
      </c>
      <c r="E9" s="12" t="s">
        <v>45</v>
      </c>
      <c r="F9" s="11"/>
      <c r="G9" s="12">
        <v>1</v>
      </c>
      <c r="H9" s="13"/>
      <c r="I9" s="22">
        <v>40245</v>
      </c>
      <c r="J9" s="23">
        <v>40245</v>
      </c>
      <c r="K9" s="12">
        <v>10</v>
      </c>
      <c r="L9" s="24">
        <v>17000</v>
      </c>
      <c r="M9" s="25">
        <v>14529.91</v>
      </c>
      <c r="N9" s="25">
        <f t="shared" si="0"/>
        <v>2470.09</v>
      </c>
      <c r="O9" s="25">
        <f t="shared" si="1"/>
        <v>17000</v>
      </c>
      <c r="P9" s="26">
        <v>0.05</v>
      </c>
      <c r="Q9" s="32">
        <f t="shared" si="2"/>
        <v>13803.4145</v>
      </c>
      <c r="R9" s="24">
        <f t="shared" si="3"/>
        <v>120</v>
      </c>
      <c r="S9" s="33">
        <f t="shared" si="4"/>
        <v>16150</v>
      </c>
      <c r="T9" s="34">
        <v>44986</v>
      </c>
      <c r="U9" s="35">
        <f t="shared" si="5"/>
        <v>120</v>
      </c>
      <c r="V9" s="36">
        <f t="shared" si="6"/>
        <v>0</v>
      </c>
      <c r="W9" s="25">
        <f t="shared" si="7"/>
        <v>13803.41</v>
      </c>
      <c r="X9" s="37">
        <f t="shared" si="8"/>
        <v>115.028416666667</v>
      </c>
      <c r="Y9" s="25">
        <f t="shared" si="9"/>
        <v>13803.41</v>
      </c>
      <c r="Z9" s="25">
        <f t="shared" si="10"/>
        <v>726.5</v>
      </c>
      <c r="AA9" s="11">
        <f t="shared" si="11"/>
        <v>850</v>
      </c>
      <c r="AB9" s="11"/>
      <c r="AC9" s="11"/>
      <c r="AD9" s="11"/>
      <c r="AE9" s="11" t="s">
        <v>35</v>
      </c>
      <c r="AF9" s="11" t="s">
        <v>36</v>
      </c>
      <c r="AG9" s="11" t="s">
        <v>57</v>
      </c>
    </row>
    <row r="10" s="1" customFormat="1" ht="25" customHeight="1" spans="1:33">
      <c r="A10" s="11">
        <v>7</v>
      </c>
      <c r="B10" s="12" t="s">
        <v>58</v>
      </c>
      <c r="C10" s="12"/>
      <c r="D10" s="12" t="s">
        <v>59</v>
      </c>
      <c r="E10" s="12" t="s">
        <v>60</v>
      </c>
      <c r="F10" s="11"/>
      <c r="G10" s="12">
        <v>1</v>
      </c>
      <c r="H10" s="13"/>
      <c r="I10" s="22">
        <v>40262</v>
      </c>
      <c r="J10" s="23">
        <v>40262</v>
      </c>
      <c r="K10" s="12">
        <v>10</v>
      </c>
      <c r="L10" s="24">
        <v>120000</v>
      </c>
      <c r="M10" s="25">
        <v>102564.1</v>
      </c>
      <c r="N10" s="25">
        <f t="shared" si="0"/>
        <v>17435.9</v>
      </c>
      <c r="O10" s="25">
        <f t="shared" si="1"/>
        <v>120000</v>
      </c>
      <c r="P10" s="26">
        <v>0.05</v>
      </c>
      <c r="Q10" s="32">
        <f t="shared" si="2"/>
        <v>97435.895</v>
      </c>
      <c r="R10" s="24">
        <f t="shared" si="3"/>
        <v>120</v>
      </c>
      <c r="S10" s="33">
        <f t="shared" si="4"/>
        <v>114000</v>
      </c>
      <c r="T10" s="34">
        <v>44986</v>
      </c>
      <c r="U10" s="35">
        <f t="shared" si="5"/>
        <v>120</v>
      </c>
      <c r="V10" s="36">
        <f t="shared" si="6"/>
        <v>0</v>
      </c>
      <c r="W10" s="25">
        <f t="shared" si="7"/>
        <v>97435.9</v>
      </c>
      <c r="X10" s="37">
        <f t="shared" si="8"/>
        <v>811.965833333333</v>
      </c>
      <c r="Y10" s="25">
        <f t="shared" si="9"/>
        <v>97435.9</v>
      </c>
      <c r="Z10" s="25">
        <f t="shared" si="10"/>
        <v>5128.20000000001</v>
      </c>
      <c r="AA10" s="11">
        <f t="shared" si="11"/>
        <v>6000</v>
      </c>
      <c r="AB10" s="11"/>
      <c r="AC10" s="11"/>
      <c r="AD10" s="11"/>
      <c r="AE10" s="11" t="s">
        <v>46</v>
      </c>
      <c r="AF10" s="11" t="s">
        <v>36</v>
      </c>
      <c r="AG10" s="11" t="s">
        <v>61</v>
      </c>
    </row>
    <row r="11" s="1" customFormat="1" ht="25" customHeight="1" spans="1:33">
      <c r="A11" s="14">
        <v>8</v>
      </c>
      <c r="B11" s="15" t="s">
        <v>62</v>
      </c>
      <c r="C11" s="15"/>
      <c r="D11" s="15" t="s">
        <v>63</v>
      </c>
      <c r="E11" s="15" t="s">
        <v>60</v>
      </c>
      <c r="F11" s="14"/>
      <c r="G11" s="15">
        <v>1</v>
      </c>
      <c r="H11" s="14"/>
      <c r="I11" s="27" t="s">
        <v>64</v>
      </c>
      <c r="J11" s="28">
        <v>39203</v>
      </c>
      <c r="K11" s="15">
        <v>10</v>
      </c>
      <c r="L11" s="29">
        <v>58000</v>
      </c>
      <c r="M11" s="30">
        <f t="shared" ref="M11:M12" si="12">L11/1.17</f>
        <v>49572.6495726496</v>
      </c>
      <c r="N11" s="30">
        <f t="shared" si="0"/>
        <v>8427.35042735042</v>
      </c>
      <c r="O11" s="30">
        <f t="shared" si="1"/>
        <v>58000</v>
      </c>
      <c r="P11" s="31">
        <v>0.05</v>
      </c>
      <c r="Q11" s="38">
        <f t="shared" si="2"/>
        <v>47094.0170940171</v>
      </c>
      <c r="R11" s="29">
        <f t="shared" si="3"/>
        <v>120</v>
      </c>
      <c r="S11" s="39">
        <f t="shared" si="4"/>
        <v>55100</v>
      </c>
      <c r="T11" s="40">
        <v>44986</v>
      </c>
      <c r="U11" s="41">
        <f t="shared" si="5"/>
        <v>120</v>
      </c>
      <c r="V11" s="42">
        <f t="shared" si="6"/>
        <v>0</v>
      </c>
      <c r="W11" s="30">
        <f t="shared" si="7"/>
        <v>47094.02</v>
      </c>
      <c r="X11" s="43">
        <f t="shared" si="8"/>
        <v>392.450166666667</v>
      </c>
      <c r="Y11" s="30">
        <f t="shared" si="9"/>
        <v>47094.02</v>
      </c>
      <c r="Z11" s="30">
        <f t="shared" si="10"/>
        <v>2478.62957264958</v>
      </c>
      <c r="AA11" s="14">
        <f t="shared" si="11"/>
        <v>2900</v>
      </c>
      <c r="AB11" s="14"/>
      <c r="AC11" s="14"/>
      <c r="AD11" s="14"/>
      <c r="AE11" s="14" t="s">
        <v>65</v>
      </c>
      <c r="AF11" s="14" t="s">
        <v>36</v>
      </c>
      <c r="AG11" s="14" t="s">
        <v>66</v>
      </c>
    </row>
    <row r="12" s="1" customFormat="1" ht="25" customHeight="1" spans="1:33">
      <c r="A12" s="14">
        <v>9</v>
      </c>
      <c r="B12" s="15" t="s">
        <v>67</v>
      </c>
      <c r="C12" s="15"/>
      <c r="D12" s="15" t="s">
        <v>63</v>
      </c>
      <c r="E12" s="15" t="s">
        <v>60</v>
      </c>
      <c r="F12" s="14"/>
      <c r="G12" s="15">
        <v>1</v>
      </c>
      <c r="H12" s="14"/>
      <c r="I12" s="15" t="s">
        <v>68</v>
      </c>
      <c r="J12" s="28">
        <v>38169</v>
      </c>
      <c r="K12" s="15">
        <v>10</v>
      </c>
      <c r="L12" s="29">
        <v>58000</v>
      </c>
      <c r="M12" s="30">
        <f t="shared" si="12"/>
        <v>49572.6495726496</v>
      </c>
      <c r="N12" s="30">
        <f t="shared" si="0"/>
        <v>8427.35042735042</v>
      </c>
      <c r="O12" s="30">
        <f t="shared" si="1"/>
        <v>58000</v>
      </c>
      <c r="P12" s="31">
        <v>0.05</v>
      </c>
      <c r="Q12" s="38">
        <f t="shared" si="2"/>
        <v>47094.0170940171</v>
      </c>
      <c r="R12" s="29">
        <f t="shared" si="3"/>
        <v>120</v>
      </c>
      <c r="S12" s="39">
        <f t="shared" si="4"/>
        <v>55100</v>
      </c>
      <c r="T12" s="40">
        <v>44986</v>
      </c>
      <c r="U12" s="41">
        <f t="shared" si="5"/>
        <v>120</v>
      </c>
      <c r="V12" s="42">
        <f t="shared" si="6"/>
        <v>0</v>
      </c>
      <c r="W12" s="30">
        <f t="shared" si="7"/>
        <v>47094.02</v>
      </c>
      <c r="X12" s="43">
        <f t="shared" si="8"/>
        <v>392.450166666667</v>
      </c>
      <c r="Y12" s="30">
        <f t="shared" si="9"/>
        <v>47094.02</v>
      </c>
      <c r="Z12" s="30">
        <f t="shared" si="10"/>
        <v>2478.62957264958</v>
      </c>
      <c r="AA12" s="14">
        <f t="shared" si="11"/>
        <v>2900</v>
      </c>
      <c r="AB12" s="14"/>
      <c r="AC12" s="14"/>
      <c r="AD12" s="14"/>
      <c r="AE12" s="14" t="s">
        <v>65</v>
      </c>
      <c r="AF12" s="14" t="s">
        <v>36</v>
      </c>
      <c r="AG12" s="14" t="s">
        <v>66</v>
      </c>
    </row>
    <row r="13" s="1" customFormat="1" ht="25" customHeight="1" spans="1:33">
      <c r="A13" s="11">
        <v>10</v>
      </c>
      <c r="B13" s="12" t="s">
        <v>69</v>
      </c>
      <c r="C13" s="12"/>
      <c r="D13" s="12" t="s">
        <v>70</v>
      </c>
      <c r="E13" s="12" t="s">
        <v>71</v>
      </c>
      <c r="F13" s="11"/>
      <c r="G13" s="12">
        <v>1</v>
      </c>
      <c r="H13" s="13"/>
      <c r="I13" s="22">
        <v>40253</v>
      </c>
      <c r="J13" s="23">
        <v>40253</v>
      </c>
      <c r="K13" s="12">
        <v>10</v>
      </c>
      <c r="L13" s="24">
        <v>27500</v>
      </c>
      <c r="M13" s="25">
        <v>23504.2735042735</v>
      </c>
      <c r="N13" s="25">
        <f t="shared" si="0"/>
        <v>3995.7264957265</v>
      </c>
      <c r="O13" s="25">
        <f t="shared" si="1"/>
        <v>27500</v>
      </c>
      <c r="P13" s="26">
        <v>0.05</v>
      </c>
      <c r="Q13" s="32">
        <f t="shared" si="2"/>
        <v>22329.0598290598</v>
      </c>
      <c r="R13" s="24">
        <f t="shared" si="3"/>
        <v>120</v>
      </c>
      <c r="S13" s="33">
        <f t="shared" si="4"/>
        <v>26125</v>
      </c>
      <c r="T13" s="34">
        <v>44986</v>
      </c>
      <c r="U13" s="35">
        <f t="shared" si="5"/>
        <v>120</v>
      </c>
      <c r="V13" s="36">
        <f t="shared" si="6"/>
        <v>0</v>
      </c>
      <c r="W13" s="25">
        <f t="shared" si="7"/>
        <v>22329.06</v>
      </c>
      <c r="X13" s="37">
        <f t="shared" si="8"/>
        <v>186.0755</v>
      </c>
      <c r="Y13" s="25">
        <f t="shared" si="9"/>
        <v>22329.06</v>
      </c>
      <c r="Z13" s="25">
        <f t="shared" si="10"/>
        <v>1175.2135042735</v>
      </c>
      <c r="AA13" s="11">
        <f t="shared" si="11"/>
        <v>1375</v>
      </c>
      <c r="AB13" s="11"/>
      <c r="AC13" s="11"/>
      <c r="AD13" s="11"/>
      <c r="AE13" s="11" t="s">
        <v>35</v>
      </c>
      <c r="AF13" s="11" t="s">
        <v>72</v>
      </c>
      <c r="AG13" s="11" t="s">
        <v>57</v>
      </c>
    </row>
    <row r="14" s="1" customFormat="1" ht="25" customHeight="1" spans="1:33">
      <c r="A14" s="14">
        <v>11</v>
      </c>
      <c r="B14" s="15" t="s">
        <v>73</v>
      </c>
      <c r="C14" s="15"/>
      <c r="D14" s="15" t="s">
        <v>70</v>
      </c>
      <c r="E14" s="15" t="s">
        <v>71</v>
      </c>
      <c r="F14" s="14"/>
      <c r="G14" s="15">
        <v>1</v>
      </c>
      <c r="H14" s="16"/>
      <c r="I14" s="27">
        <v>40253</v>
      </c>
      <c r="J14" s="28">
        <v>40253</v>
      </c>
      <c r="K14" s="15">
        <v>10</v>
      </c>
      <c r="L14" s="29">
        <v>27500</v>
      </c>
      <c r="M14" s="30">
        <v>23504.2735042735</v>
      </c>
      <c r="N14" s="30">
        <f t="shared" si="0"/>
        <v>3995.7264957265</v>
      </c>
      <c r="O14" s="30">
        <f t="shared" si="1"/>
        <v>27500</v>
      </c>
      <c r="P14" s="31">
        <v>0.05</v>
      </c>
      <c r="Q14" s="38">
        <f t="shared" si="2"/>
        <v>22329.0598290598</v>
      </c>
      <c r="R14" s="29">
        <f t="shared" si="3"/>
        <v>120</v>
      </c>
      <c r="S14" s="39">
        <f t="shared" si="4"/>
        <v>26125</v>
      </c>
      <c r="T14" s="40">
        <v>44986</v>
      </c>
      <c r="U14" s="41">
        <f t="shared" si="5"/>
        <v>120</v>
      </c>
      <c r="V14" s="42">
        <f t="shared" si="6"/>
        <v>0</v>
      </c>
      <c r="W14" s="30">
        <f t="shared" si="7"/>
        <v>22329.06</v>
      </c>
      <c r="X14" s="43">
        <f t="shared" si="8"/>
        <v>186.0755</v>
      </c>
      <c r="Y14" s="30">
        <f t="shared" si="9"/>
        <v>22329.06</v>
      </c>
      <c r="Z14" s="30">
        <f t="shared" si="10"/>
        <v>1175.2135042735</v>
      </c>
      <c r="AA14" s="14">
        <f t="shared" si="11"/>
        <v>1375</v>
      </c>
      <c r="AB14" s="14"/>
      <c r="AC14" s="14"/>
      <c r="AD14" s="14"/>
      <c r="AE14" s="14" t="s">
        <v>74</v>
      </c>
      <c r="AF14" s="14" t="s">
        <v>36</v>
      </c>
      <c r="AG14" s="14" t="s">
        <v>75</v>
      </c>
    </row>
    <row r="15" s="1" customFormat="1" ht="25" customHeight="1" spans="1:33">
      <c r="A15" s="14">
        <v>12</v>
      </c>
      <c r="B15" s="15" t="s">
        <v>76</v>
      </c>
      <c r="C15" s="15"/>
      <c r="D15" s="15" t="s">
        <v>70</v>
      </c>
      <c r="E15" s="15" t="s">
        <v>71</v>
      </c>
      <c r="F15" s="14"/>
      <c r="G15" s="15">
        <v>1</v>
      </c>
      <c r="H15" s="16"/>
      <c r="I15" s="27">
        <v>40253</v>
      </c>
      <c r="J15" s="28">
        <v>40253</v>
      </c>
      <c r="K15" s="15">
        <v>10</v>
      </c>
      <c r="L15" s="29">
        <v>27500</v>
      </c>
      <c r="M15" s="30">
        <v>23504.2735042735</v>
      </c>
      <c r="N15" s="30">
        <f t="shared" si="0"/>
        <v>3995.7264957265</v>
      </c>
      <c r="O15" s="30">
        <f t="shared" si="1"/>
        <v>27500</v>
      </c>
      <c r="P15" s="31">
        <v>0.05</v>
      </c>
      <c r="Q15" s="38">
        <f t="shared" si="2"/>
        <v>22329.0598290598</v>
      </c>
      <c r="R15" s="29">
        <f t="shared" si="3"/>
        <v>120</v>
      </c>
      <c r="S15" s="39">
        <f t="shared" si="4"/>
        <v>26125</v>
      </c>
      <c r="T15" s="40">
        <v>44986</v>
      </c>
      <c r="U15" s="41">
        <f t="shared" si="5"/>
        <v>120</v>
      </c>
      <c r="V15" s="42">
        <f t="shared" si="6"/>
        <v>0</v>
      </c>
      <c r="W15" s="30">
        <f t="shared" si="7"/>
        <v>22329.06</v>
      </c>
      <c r="X15" s="43">
        <f t="shared" si="8"/>
        <v>186.0755</v>
      </c>
      <c r="Y15" s="30">
        <f t="shared" si="9"/>
        <v>22329.06</v>
      </c>
      <c r="Z15" s="30">
        <f t="shared" si="10"/>
        <v>1175.2135042735</v>
      </c>
      <c r="AA15" s="14">
        <f t="shared" si="11"/>
        <v>1375</v>
      </c>
      <c r="AB15" s="14"/>
      <c r="AC15" s="14"/>
      <c r="AD15" s="14"/>
      <c r="AE15" s="14" t="s">
        <v>77</v>
      </c>
      <c r="AF15" s="14" t="s">
        <v>36</v>
      </c>
      <c r="AG15" s="14" t="s">
        <v>75</v>
      </c>
    </row>
    <row r="16" s="1" customFormat="1" ht="25" customHeight="1" spans="1:33">
      <c r="A16" s="11">
        <v>13</v>
      </c>
      <c r="B16" s="12" t="s">
        <v>78</v>
      </c>
      <c r="C16" s="12"/>
      <c r="D16" s="12" t="s">
        <v>79</v>
      </c>
      <c r="E16" s="12" t="s">
        <v>80</v>
      </c>
      <c r="F16" s="11"/>
      <c r="G16" s="12">
        <v>1</v>
      </c>
      <c r="H16" s="13"/>
      <c r="I16" s="22">
        <v>41774</v>
      </c>
      <c r="J16" s="23">
        <v>41774</v>
      </c>
      <c r="K16" s="12">
        <v>10</v>
      </c>
      <c r="L16" s="24">
        <v>8940</v>
      </c>
      <c r="M16" s="25">
        <v>7641.03</v>
      </c>
      <c r="N16" s="25">
        <f t="shared" si="0"/>
        <v>1298.97</v>
      </c>
      <c r="O16" s="25">
        <f t="shared" si="1"/>
        <v>8940</v>
      </c>
      <c r="P16" s="26">
        <v>0.05</v>
      </c>
      <c r="Q16" s="32">
        <f t="shared" si="2"/>
        <v>7258.9785</v>
      </c>
      <c r="R16" s="24">
        <f t="shared" si="3"/>
        <v>120</v>
      </c>
      <c r="S16" s="33">
        <f t="shared" si="4"/>
        <v>8493</v>
      </c>
      <c r="T16" s="34">
        <v>44986</v>
      </c>
      <c r="U16" s="35">
        <f t="shared" si="5"/>
        <v>105</v>
      </c>
      <c r="V16" s="36">
        <f t="shared" si="6"/>
        <v>15</v>
      </c>
      <c r="W16" s="25">
        <f t="shared" si="7"/>
        <v>7258.98</v>
      </c>
      <c r="X16" s="37">
        <f t="shared" si="8"/>
        <v>60.4915</v>
      </c>
      <c r="Y16" s="25">
        <f t="shared" si="9"/>
        <v>6351.61</v>
      </c>
      <c r="Z16" s="25">
        <f t="shared" si="10"/>
        <v>1289.42</v>
      </c>
      <c r="AA16" s="11">
        <f t="shared" si="11"/>
        <v>447</v>
      </c>
      <c r="AB16" s="11"/>
      <c r="AC16" s="11"/>
      <c r="AD16" s="11"/>
      <c r="AE16" s="11" t="s">
        <v>35</v>
      </c>
      <c r="AF16" s="11" t="s">
        <v>81</v>
      </c>
      <c r="AG16" s="11" t="s">
        <v>57</v>
      </c>
    </row>
    <row r="17" s="1" customFormat="1" ht="25" customHeight="1" spans="1:33">
      <c r="A17" s="11">
        <v>14</v>
      </c>
      <c r="B17" s="12" t="s">
        <v>82</v>
      </c>
      <c r="C17" s="12"/>
      <c r="D17" s="12" t="s">
        <v>83</v>
      </c>
      <c r="E17" s="12" t="s">
        <v>84</v>
      </c>
      <c r="F17" s="11"/>
      <c r="G17" s="12">
        <v>1</v>
      </c>
      <c r="H17" s="11"/>
      <c r="I17" s="12" t="s">
        <v>85</v>
      </c>
      <c r="J17" s="23">
        <v>39387</v>
      </c>
      <c r="K17" s="12">
        <v>10</v>
      </c>
      <c r="L17" s="24">
        <v>5000</v>
      </c>
      <c r="M17" s="25">
        <f>L17/1.17</f>
        <v>4273.50427350427</v>
      </c>
      <c r="N17" s="25">
        <f t="shared" si="0"/>
        <v>726.495726495727</v>
      </c>
      <c r="O17" s="25">
        <f t="shared" si="1"/>
        <v>5000</v>
      </c>
      <c r="P17" s="26">
        <v>0.05</v>
      </c>
      <c r="Q17" s="32">
        <f t="shared" si="2"/>
        <v>4059.82905982906</v>
      </c>
      <c r="R17" s="24">
        <f t="shared" si="3"/>
        <v>120</v>
      </c>
      <c r="S17" s="33">
        <f t="shared" si="4"/>
        <v>4750</v>
      </c>
      <c r="T17" s="34">
        <v>44986</v>
      </c>
      <c r="U17" s="35">
        <f t="shared" si="5"/>
        <v>120</v>
      </c>
      <c r="V17" s="36">
        <f t="shared" si="6"/>
        <v>0</v>
      </c>
      <c r="W17" s="25">
        <f t="shared" si="7"/>
        <v>4059.83</v>
      </c>
      <c r="X17" s="37">
        <f t="shared" si="8"/>
        <v>33.8319166666667</v>
      </c>
      <c r="Y17" s="25">
        <f t="shared" si="9"/>
        <v>4059.83</v>
      </c>
      <c r="Z17" s="25">
        <f t="shared" si="10"/>
        <v>213.674273504274</v>
      </c>
      <c r="AA17" s="11">
        <f t="shared" si="11"/>
        <v>250</v>
      </c>
      <c r="AB17" s="11"/>
      <c r="AC17" s="11"/>
      <c r="AD17" s="11"/>
      <c r="AE17" s="11" t="s">
        <v>35</v>
      </c>
      <c r="AF17" s="11" t="s">
        <v>86</v>
      </c>
      <c r="AG17" s="11" t="s">
        <v>57</v>
      </c>
    </row>
    <row r="18" s="1" customFormat="1" ht="25" customHeight="1" spans="1:33">
      <c r="A18" s="11">
        <v>15</v>
      </c>
      <c r="B18" s="12" t="s">
        <v>87</v>
      </c>
      <c r="C18" s="12"/>
      <c r="D18" s="12" t="s">
        <v>79</v>
      </c>
      <c r="E18" s="17"/>
      <c r="F18" s="11"/>
      <c r="G18" s="12">
        <v>1</v>
      </c>
      <c r="H18" s="11"/>
      <c r="I18" s="12" t="s">
        <v>88</v>
      </c>
      <c r="J18" s="23">
        <v>43952</v>
      </c>
      <c r="K18" s="12">
        <v>10</v>
      </c>
      <c r="L18" s="24">
        <v>13000</v>
      </c>
      <c r="M18" s="25">
        <f>L18/1.13</f>
        <v>11504.4247787611</v>
      </c>
      <c r="N18" s="25">
        <f t="shared" si="0"/>
        <v>1495.57522123894</v>
      </c>
      <c r="O18" s="25">
        <f t="shared" si="1"/>
        <v>13000</v>
      </c>
      <c r="P18" s="26">
        <v>0.05</v>
      </c>
      <c r="Q18" s="32">
        <f t="shared" si="2"/>
        <v>10929.203539823</v>
      </c>
      <c r="R18" s="24">
        <f t="shared" si="3"/>
        <v>120</v>
      </c>
      <c r="S18" s="33">
        <f t="shared" ref="S18:S20" si="13">L18*60%</f>
        <v>7800</v>
      </c>
      <c r="T18" s="34">
        <v>44986</v>
      </c>
      <c r="U18" s="35">
        <f t="shared" si="5"/>
        <v>34</v>
      </c>
      <c r="V18" s="36">
        <f t="shared" si="6"/>
        <v>86</v>
      </c>
      <c r="W18" s="25">
        <f t="shared" si="7"/>
        <v>10929.2</v>
      </c>
      <c r="X18" s="37">
        <f t="shared" si="8"/>
        <v>91.0766666666667</v>
      </c>
      <c r="Y18" s="25">
        <f t="shared" si="9"/>
        <v>3096.61</v>
      </c>
      <c r="Z18" s="25">
        <f t="shared" si="10"/>
        <v>8407.81477876106</v>
      </c>
      <c r="AA18" s="11">
        <f t="shared" si="11"/>
        <v>5200</v>
      </c>
      <c r="AB18" s="11"/>
      <c r="AC18" s="11"/>
      <c r="AD18" s="11"/>
      <c r="AE18" s="11" t="s">
        <v>35</v>
      </c>
      <c r="AF18" s="11" t="s">
        <v>89</v>
      </c>
      <c r="AG18" s="11" t="s">
        <v>57</v>
      </c>
    </row>
    <row r="19" s="1" customFormat="1" ht="25" customHeight="1" spans="1:33">
      <c r="A19" s="11">
        <v>16</v>
      </c>
      <c r="B19" s="12" t="s">
        <v>90</v>
      </c>
      <c r="C19" s="12"/>
      <c r="D19" s="12" t="s">
        <v>79</v>
      </c>
      <c r="E19" s="17"/>
      <c r="F19" s="11"/>
      <c r="G19" s="12">
        <v>1</v>
      </c>
      <c r="H19" s="11"/>
      <c r="I19" s="12" t="s">
        <v>88</v>
      </c>
      <c r="J19" s="23">
        <v>43952</v>
      </c>
      <c r="K19" s="12">
        <v>10</v>
      </c>
      <c r="L19" s="24">
        <v>15000</v>
      </c>
      <c r="M19" s="25">
        <f>L19/1.13</f>
        <v>13274.3362831858</v>
      </c>
      <c r="N19" s="25">
        <f t="shared" si="0"/>
        <v>1725.66371681416</v>
      </c>
      <c r="O19" s="25">
        <f t="shared" si="1"/>
        <v>15000</v>
      </c>
      <c r="P19" s="26">
        <v>0.05</v>
      </c>
      <c r="Q19" s="32">
        <f t="shared" si="2"/>
        <v>12610.6194690265</v>
      </c>
      <c r="R19" s="24">
        <f t="shared" si="3"/>
        <v>120</v>
      </c>
      <c r="S19" s="33">
        <f t="shared" si="13"/>
        <v>9000</v>
      </c>
      <c r="T19" s="34">
        <v>44986</v>
      </c>
      <c r="U19" s="35">
        <f t="shared" si="5"/>
        <v>34</v>
      </c>
      <c r="V19" s="36">
        <f t="shared" si="6"/>
        <v>86</v>
      </c>
      <c r="W19" s="25">
        <f t="shared" si="7"/>
        <v>12610.62</v>
      </c>
      <c r="X19" s="37">
        <f t="shared" si="8"/>
        <v>105.0885</v>
      </c>
      <c r="Y19" s="25">
        <f t="shared" si="9"/>
        <v>3573.01</v>
      </c>
      <c r="Z19" s="25">
        <f t="shared" si="10"/>
        <v>9701.32628318584</v>
      </c>
      <c r="AA19" s="11">
        <f t="shared" si="11"/>
        <v>6000</v>
      </c>
      <c r="AB19" s="11"/>
      <c r="AC19" s="11"/>
      <c r="AD19" s="11"/>
      <c r="AE19" s="11" t="s">
        <v>35</v>
      </c>
      <c r="AF19" s="11" t="s">
        <v>36</v>
      </c>
      <c r="AG19" s="11" t="s">
        <v>57</v>
      </c>
    </row>
    <row r="20" s="1" customFormat="1" ht="25" customHeight="1" spans="1:33">
      <c r="A20" s="11">
        <v>17</v>
      </c>
      <c r="B20" s="12" t="s">
        <v>91</v>
      </c>
      <c r="C20" s="12"/>
      <c r="D20" s="12" t="s">
        <v>92</v>
      </c>
      <c r="E20" s="17"/>
      <c r="F20" s="11"/>
      <c r="G20" s="12">
        <v>4</v>
      </c>
      <c r="H20" s="11"/>
      <c r="I20" s="12" t="s">
        <v>93</v>
      </c>
      <c r="J20" s="23">
        <v>41395</v>
      </c>
      <c r="K20" s="12">
        <v>10</v>
      </c>
      <c r="L20" s="24">
        <v>12000</v>
      </c>
      <c r="M20" s="25">
        <f>L20/1.17</f>
        <v>10256.4102564103</v>
      </c>
      <c r="N20" s="25">
        <f t="shared" si="0"/>
        <v>1743.58974358974</v>
      </c>
      <c r="O20" s="25">
        <f t="shared" si="1"/>
        <v>12000</v>
      </c>
      <c r="P20" s="26">
        <v>0.05</v>
      </c>
      <c r="Q20" s="32">
        <f t="shared" si="2"/>
        <v>9743.58974358974</v>
      </c>
      <c r="R20" s="24">
        <f t="shared" si="3"/>
        <v>120</v>
      </c>
      <c r="S20" s="33">
        <f t="shared" si="13"/>
        <v>7200</v>
      </c>
      <c r="T20" s="34">
        <v>44986</v>
      </c>
      <c r="U20" s="35">
        <f t="shared" si="5"/>
        <v>118</v>
      </c>
      <c r="V20" s="36">
        <f t="shared" si="6"/>
        <v>2</v>
      </c>
      <c r="W20" s="25">
        <f t="shared" si="7"/>
        <v>9743.59</v>
      </c>
      <c r="X20" s="37">
        <f t="shared" si="8"/>
        <v>81.1965833333333</v>
      </c>
      <c r="Y20" s="25">
        <f t="shared" si="9"/>
        <v>9581.2</v>
      </c>
      <c r="Z20" s="25">
        <f t="shared" si="10"/>
        <v>675.210256410257</v>
      </c>
      <c r="AA20" s="11">
        <f t="shared" si="11"/>
        <v>4800</v>
      </c>
      <c r="AB20" s="11"/>
      <c r="AC20" s="11"/>
      <c r="AD20" s="11"/>
      <c r="AE20" s="11" t="s">
        <v>35</v>
      </c>
      <c r="AF20" s="11" t="s">
        <v>86</v>
      </c>
      <c r="AG20" s="11" t="s">
        <v>57</v>
      </c>
    </row>
    <row r="21" spans="19:27">
      <c r="S21" s="2">
        <f>SUM(S4:S20)</f>
        <v>640208</v>
      </c>
      <c r="Z21" s="44">
        <f>SUM(Z4:Z20)</f>
        <v>55940.4988397247</v>
      </c>
      <c r="AA21" s="2">
        <f>SUM(AA4:AA20)</f>
        <v>48432</v>
      </c>
    </row>
    <row r="25" spans="5:5">
      <c r="E25" s="18"/>
    </row>
  </sheetData>
  <autoFilter ref="A2:AF21">
    <extLst/>
  </autoFilter>
  <mergeCells count="1">
    <mergeCell ref="A1:AG2"/>
  </mergeCells>
  <dataValidations count="1">
    <dataValidation type="list" allowBlank="1" showInputMessage="1" showErrorMessage="1" sqref="C3 C21:C1048576">
      <formula1>[1]Sheet2!#REF!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固定资产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深白色</dc:creator>
  <cp:lastModifiedBy>冯敬乾</cp:lastModifiedBy>
  <dcterms:created xsi:type="dcterms:W3CDTF">2023-07-10T00:56:00Z</dcterms:created>
  <cp:lastPrinted>2024-04-23T05:49:00Z</cp:lastPrinted>
  <dcterms:modified xsi:type="dcterms:W3CDTF">2024-07-16T01:23:59Z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2052-12.1.0.17147</vt:lpwstr>
  </property>
  <property fmtid="{D5CDD505-2E9C-101B-9397-08002B2CF9AE}" pid="4" name="ICV">
    <vt:lpwstr>E7AECDE6A54C401B99F4E6582744AB74_12</vt:lpwstr>
  </property>
</Properties>
</file>