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90" tabRatio="810" activeTab="7"/>
  </bookViews>
  <sheets>
    <sheet name="假设条件" sheetId="34" r:id="rId1"/>
    <sheet name="现金" sheetId="36" state="hidden" r:id="rId2"/>
    <sheet name="损益表" sheetId="56" r:id="rId3"/>
    <sheet name="2024年" sheetId="43" r:id="rId4"/>
    <sheet name="2025年" sheetId="59" r:id="rId5"/>
    <sheet name="2026年" sheetId="57" r:id="rId6"/>
    <sheet name="2027年" sheetId="58" r:id="rId7"/>
    <sheet name="2028年" sheetId="60" r:id="rId8"/>
    <sheet name="2029年" sheetId="61" r:id="rId9"/>
    <sheet name="2030年" sheetId="62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</sheets>
  <externalReferences>
    <externalReference r:id="rId16"/>
    <externalReference r:id="rId17"/>
  </externalReferences>
  <definedNames>
    <definedName name="_xlnm.Print_Area" localSheetId="3">'2024年'!$A$1:$D$48</definedName>
    <definedName name="_xlnm.Print_Area" localSheetId="5">'2026年'!$A$1:$D$48</definedName>
    <definedName name="_xlnm.Print_Area" localSheetId="6">'2027年'!$A$1:$D$48</definedName>
    <definedName name="_xlnm.Print_Area" localSheetId="10">项目投资!$A$1:$C$35</definedName>
    <definedName name="_xlnm.Print_Area" localSheetId="4">'2025年'!$A$1:$D$48</definedName>
    <definedName name="_xlnm.Print_Area" localSheetId="7">'2028年'!$A$1:$D$48</definedName>
    <definedName name="_xlnm.Print_Area" localSheetId="8">'2029年'!$A$1:$D$48</definedName>
    <definedName name="_xlnm.Print_Area" localSheetId="9">'2030年'!$A$1:$D$48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O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<sst xmlns="http://schemas.openxmlformats.org/spreadsheetml/2006/main" count="1955" uniqueCount="308">
  <si>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</si>
  <si>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</si>
  <si>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</si>
  <si>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</si>
  <si>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</si>
  <si>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</si>
  <si>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</si>
  <si>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</si>
  <si>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</si>
  <si>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</si>
  <si>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</si>
  <si>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</si>
  <si>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</si>
  <si>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</si>
  <si>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</si>
  <si>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</si>
  <si>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</si>
  <si>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</si>
  <si>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</si>
  <si>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</si>
  <si>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</si>
  <si>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</si>
  <si>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</si>
  <si>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</si>
  <si>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</si>
  <si>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</si>
  <si>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</si>
  <si>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</si>
  <si>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</si>
  <si>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</si>
  <si>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</si>
  <si>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</si>
  <si>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</si>
  <si>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</si>
  <si>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</si>
  <si>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</si>
  <si>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</si>
  <si>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</si>
  <si>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</si>
  <si>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</si>
  <si>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</si>
  <si>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</si>
  <si>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</si>
  <si>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</si>
  <si>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</si>
  <si>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</si>
  <si>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</si>
  <si>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</si>
  <si>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</si>
  <si>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</si>
  <si>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</si>
  <si>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M3000座椅项目可行性分析            单位：元</t>
  </si>
  <si>
    <t>面套、骨架、底支架自制</t>
  </si>
  <si>
    <r>
      <t>2024</t>
    </r>
    <r>
      <rPr>
        <b/>
        <sz val="10"/>
        <rFont val="宋体"/>
        <charset val="134"/>
      </rPr>
      <t>年</t>
    </r>
  </si>
  <si>
    <r>
      <t>2025</t>
    </r>
    <r>
      <rPr>
        <b/>
        <sz val="10"/>
        <rFont val="宋体"/>
        <charset val="134"/>
      </rPr>
      <t>年</t>
    </r>
  </si>
  <si>
    <r>
      <t>2026</t>
    </r>
    <r>
      <rPr>
        <b/>
        <sz val="10"/>
        <rFont val="宋体"/>
        <charset val="134"/>
      </rPr>
      <t>年</t>
    </r>
  </si>
  <si>
    <r>
      <t>2027</t>
    </r>
    <r>
      <rPr>
        <b/>
        <sz val="10"/>
        <rFont val="宋体"/>
        <charset val="134"/>
      </rPr>
      <t>年</t>
    </r>
  </si>
  <si>
    <r>
      <t>2028</t>
    </r>
    <r>
      <rPr>
        <b/>
        <sz val="10"/>
        <rFont val="宋体"/>
        <charset val="134"/>
      </rPr>
      <t>年</t>
    </r>
  </si>
  <si>
    <r>
      <t>2029</t>
    </r>
    <r>
      <rPr>
        <b/>
        <sz val="10"/>
        <rFont val="宋体"/>
        <charset val="134"/>
      </rPr>
      <t>年</t>
    </r>
  </si>
  <si>
    <r>
      <t>2030</t>
    </r>
    <r>
      <rPr>
        <b/>
        <sz val="10"/>
        <rFont val="宋体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</si>
  <si>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</si>
  <si>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</si>
  <si>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</si>
  <si>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</si>
  <si>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</si>
  <si>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</si>
  <si>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</si>
  <si>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</si>
  <si>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</si>
  <si>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</si>
  <si>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</si>
  <si>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</si>
  <si>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</si>
  <si>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</si>
  <si>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</si>
  <si>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</si>
  <si>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</si>
  <si>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</si>
  <si>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</si>
  <si>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</si>
  <si>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</si>
  <si>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</si>
  <si>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</si>
  <si>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</si>
  <si>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</si>
  <si>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</si>
  <si>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</si>
  <si>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</si>
  <si>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</si>
  <si>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</si>
  <si>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</si>
  <si>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</si>
  <si>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</si>
  <si>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</si>
  <si>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</si>
  <si>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</si>
  <si>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</si>
  <si>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</si>
  <si>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</si>
  <si>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</si>
  <si>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</si>
  <si>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</si>
  <si>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</si>
  <si>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</si>
  <si>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</si>
  <si>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</si>
  <si>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</si>
  <si>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</si>
  <si>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</si>
  <si>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</si>
  <si>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</si>
  <si>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</si>
  <si>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</si>
  <si>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</si>
  <si>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</si>
  <si>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</si>
  <si>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</si>
  <si>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</si>
  <si>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</si>
  <si>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</si>
  <si>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</si>
  <si>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</si>
  <si>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</si>
  <si>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</si>
  <si>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</si>
  <si>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</si>
  <si>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</si>
  <si>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</si>
  <si>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</si>
  <si>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</si>
  <si>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</si>
  <si>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</si>
  <si>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</si>
  <si>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</si>
  <si>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</si>
  <si>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</si>
  <si>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</si>
  <si>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</si>
  <si>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</si>
  <si>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</si>
  <si>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</si>
  <si>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</si>
  <si>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</si>
  <si>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</si>
  <si>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</si>
  <si>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</si>
  <si>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</si>
  <si>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</si>
  <si>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</si>
  <si>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</si>
  <si>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</si>
  <si>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</si>
  <si>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</si>
  <si>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2024年  </t>
  </si>
  <si>
    <t>客户全称</t>
  </si>
  <si>
    <t>M3000</t>
  </si>
  <si>
    <t>产品名称</t>
  </si>
  <si>
    <t>左空气座椅总成</t>
  </si>
  <si>
    <t>产品图号</t>
  </si>
  <si>
    <t>DZ15221512019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</si>
  <si>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</si>
  <si>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</si>
  <si>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</si>
  <si>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</si>
  <si>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</si>
  <si>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</si>
  <si>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</si>
  <si>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2025年  </t>
  </si>
  <si>
    <t xml:space="preserve">2026年  </t>
  </si>
  <si>
    <t xml:space="preserve">2027年  </t>
  </si>
  <si>
    <t xml:space="preserve">2029年  </t>
  </si>
  <si>
    <t xml:space="preserve">2030年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</si>
  <si>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</si>
  <si>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北京福田戴姆勒驾驶员座椅项目研发费用预算表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</si>
  <si>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</si>
  <si>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</si>
  <si>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</si>
  <si>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</si>
  <si>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</si>
  <si>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</si>
  <si>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</si>
  <si>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</si>
  <si>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</si>
  <si>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</si>
  <si>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</si>
  <si>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</si>
  <si>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</si>
  <si>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</si>
  <si>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</si>
  <si>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</si>
  <si>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</si>
  <si>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</si>
  <si>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</si>
  <si>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</si>
  <si>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</si>
  <si>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</si>
  <si>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</si>
  <si>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</si>
  <si>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</si>
  <si>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</si>
  <si>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</si>
  <si>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</si>
  <si>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</si>
  <si>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</si>
  <si>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</si>
  <si>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</si>
  <si>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</si>
  <si>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2025年</t>
  </si>
  <si>
    <t>2026年</t>
  </si>
  <si>
    <t>2027年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</si>
  <si>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</si>
  <si>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</si>
  <si>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</si>
  <si>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</si>
  <si>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</si>
  <si>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</si>
  <si>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</si>
  <si>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</si>
  <si>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</si>
  <si>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销售价格</t>
  </si>
  <si>
    <t>年降单位金额</t>
  </si>
  <si>
    <t>年降总金额</t>
  </si>
  <si>
    <t>配置</t>
  </si>
  <si>
    <t xml:space="preserve">销售价格
（元，未税）  </t>
  </si>
  <si>
    <t>销量（件）</t>
  </si>
  <si>
    <t>2024年</t>
  </si>
  <si>
    <t>2030年</t>
  </si>
  <si>
    <t>原材料成本</t>
  </si>
  <si>
    <t>附加值率</t>
  </si>
  <si>
    <t>预估原材料成本（单位：元，未税）</t>
  </si>
  <si>
    <t>供应商年降：       年3%</t>
  </si>
  <si>
    <t>模块</t>
  </si>
  <si>
    <t>项目名称</t>
  </si>
  <si>
    <t>项目编号</t>
  </si>
  <si>
    <t>ZY2416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</si>
  <si>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</si>
  <si>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</si>
  <si>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</si>
  <si>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</si>
  <si>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</si>
  <si>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</si>
  <si>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</si>
  <si>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</si>
  <si>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</si>
  <si>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</si>
  <si>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</si>
  <si>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</si>
  <si>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</si>
  <si>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</si>
  <si>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</si>
  <si>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</si>
  <si>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</si>
  <si>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</si>
  <si>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</si>
  <si>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</si>
  <si>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</si>
  <si>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</si>
  <si>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</si>
  <si>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</si>
  <si>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</si>
  <si>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</si>
  <si>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</si>
  <si>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</si>
  <si>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</si>
  <si>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</si>
  <si>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</si>
  <si>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</si>
  <si>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</si>
  <si>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</si>
  <si>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</si>
  <si>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</si>
  <si>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</si>
  <si>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</si>
  <si>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</si>
  <si>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</si>
  <si>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</si>
  <si>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</si>
  <si>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</si>
  <si>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</si>
  <si>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</si>
  <si>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</si>
  <si>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</si>
  <si>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</si>
  <si>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</si>
  <si>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</si>
  <si>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</si>
  <si>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</si>
  <si>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</si>
  <si>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</si>
  <si>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</si>
  <si>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</si>
  <si>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</si>
  <si>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</si>
  <si>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</si>
  <si>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</si>
  <si>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</si>
  <si>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</si>
  <si>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</si>
  <si>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A668100000023</t>
  </si>
  <si>
    <t>A668100000004</t>
  </si>
  <si>
    <t>A668100000026</t>
  </si>
  <si>
    <t>A668100000011</t>
  </si>
  <si>
    <t>A668100000024</t>
  </si>
  <si>
    <t>A668100000006</t>
  </si>
  <si>
    <t>A668100000025</t>
  </si>
  <si>
    <t>A668100000012</t>
  </si>
  <si>
    <t>A668100000007</t>
  </si>
  <si>
    <t>A668100000022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</si>
</sst>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1" borderId="19" applyNumberFormat="0" applyAlignment="0" applyProtection="0">
      <alignment vertical="center"/>
    </xf>
    <xf numFmtId="0" fontId="42" fillId="12" borderId="20" applyNumberFormat="0" applyAlignment="0" applyProtection="0">
      <alignment vertical="center"/>
    </xf>
    <xf numFmtId="0" fontId="43" fillId="12" borderId="19" applyNumberFormat="0" applyAlignment="0" applyProtection="0">
      <alignment vertical="center"/>
    </xf>
    <xf numFmtId="0" fontId="44" fillId="13" borderId="21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2" fillId="0" borderId="0"/>
    <xf numFmtId="0" fontId="53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/>
    <xf numFmtId="0" fontId="55" fillId="0" borderId="0"/>
    <xf numFmtId="1" fontId="56" fillId="0" borderId="2" applyBorder="0"/>
    <xf numFmtId="43" fontId="57" fillId="0" borderId="0" applyFont="0" applyFill="0" applyBorder="0" applyAlignment="0" applyProtection="0">
      <alignment vertical="center"/>
    </xf>
    <xf numFmtId="0" fontId="54" fillId="0" borderId="0"/>
  </cellStyleXfs>
  <cellXfs count="2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43" fontId="3" fillId="0" borderId="0" xfId="0" applyNumberFormat="1" applyFont="1" applyFill="1">
      <alignment vertical="center"/>
    </xf>
    <xf numFmtId="0" fontId="11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 readingOrder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12" fillId="0" borderId="2" xfId="1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176" fontId="12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4" fillId="0" borderId="0" xfId="0" applyFont="1" applyBorder="1" applyAlignment="1">
      <alignment horizontal="center" vertical="center" wrapText="1"/>
    </xf>
    <xf numFmtId="178" fontId="3" fillId="0" borderId="0" xfId="3" applyNumberFormat="1" applyFont="1" applyFill="1">
      <alignment vertical="center"/>
    </xf>
    <xf numFmtId="4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3" fontId="0" fillId="0" borderId="0" xfId="1" applyFont="1">
      <alignment vertical="center"/>
    </xf>
    <xf numFmtId="0" fontId="15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6" fillId="7" borderId="2" xfId="53" applyNumberFormat="1" applyFont="1" applyFill="1" applyBorder="1" applyAlignment="1">
      <alignment horizontal="center" vertical="center" wrapText="1"/>
    </xf>
    <xf numFmtId="43" fontId="16" fillId="7" borderId="2" xfId="1" applyFont="1" applyFill="1" applyBorder="1" applyAlignment="1">
      <alignment horizontal="center" vertical="center" wrapText="1"/>
    </xf>
    <xf numFmtId="0" fontId="16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7" fillId="0" borderId="2" xfId="53" applyNumberFormat="1" applyFont="1" applyFill="1" applyBorder="1" applyAlignment="1">
      <alignment horizontal="left" vertical="center"/>
    </xf>
    <xf numFmtId="43" fontId="17" fillId="4" borderId="2" xfId="1" applyFont="1" applyFill="1" applyBorder="1" applyAlignment="1">
      <alignment horizontal="center" vertical="center"/>
    </xf>
    <xf numFmtId="0" fontId="18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19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9" fontId="17" fillId="0" borderId="3" xfId="53" applyNumberFormat="1" applyFont="1" applyFill="1" applyBorder="1" applyAlignment="1">
      <alignment horizontal="center" vertical="center"/>
    </xf>
    <xf numFmtId="179" fontId="17" fillId="0" borderId="3" xfId="53" applyNumberFormat="1" applyFont="1" applyFill="1" applyBorder="1" applyAlignment="1">
      <alignment horizontal="left" vertical="center" wrapText="1"/>
    </xf>
    <xf numFmtId="0" fontId="18" fillId="6" borderId="2" xfId="49" applyNumberFormat="1" applyFont="1" applyFill="1" applyBorder="1" applyAlignment="1" applyProtection="1">
      <alignment horizontal="center" vertical="center" wrapText="1"/>
    </xf>
    <xf numFmtId="43" fontId="17" fillId="3" borderId="2" xfId="1" applyFont="1" applyFill="1" applyBorder="1" applyAlignment="1" applyProtection="1">
      <alignment horizontal="center" vertical="center"/>
    </xf>
    <xf numFmtId="0" fontId="0" fillId="0" borderId="2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2" fillId="0" borderId="0" xfId="1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43" fontId="22" fillId="0" borderId="3" xfId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43" fontId="22" fillId="4" borderId="2" xfId="1" applyFont="1" applyFill="1" applyBorder="1" applyAlignment="1">
      <alignment horizontal="center" vertical="center"/>
    </xf>
    <xf numFmtId="43" fontId="23" fillId="0" borderId="6" xfId="1" applyFont="1" applyFill="1" applyBorder="1" applyAlignment="1">
      <alignment horizontal="center" vertical="center" wrapText="1"/>
    </xf>
    <xf numFmtId="43" fontId="23" fillId="0" borderId="10" xfId="1" applyFont="1" applyFill="1" applyBorder="1" applyAlignment="1">
      <alignment horizontal="center" vertical="center" wrapText="1"/>
    </xf>
    <xf numFmtId="43" fontId="23" fillId="0" borderId="7" xfId="1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 readingOrder="1"/>
    </xf>
    <xf numFmtId="43" fontId="22" fillId="0" borderId="2" xfId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0" fontId="24" fillId="0" borderId="2" xfId="0" applyFont="1" applyFill="1" applyBorder="1">
      <alignment vertical="center"/>
    </xf>
    <xf numFmtId="10" fontId="22" fillId="0" borderId="2" xfId="3" applyNumberFormat="1" applyFont="1" applyFill="1" applyBorder="1" applyAlignment="1">
      <alignment horizontal="center" vertical="center"/>
    </xf>
    <xf numFmtId="10" fontId="22" fillId="0" borderId="0" xfId="0" applyNumberFormat="1" applyFont="1" applyFill="1">
      <alignment vertical="center"/>
    </xf>
    <xf numFmtId="0" fontId="20" fillId="0" borderId="2" xfId="0" applyFont="1" applyFill="1" applyBorder="1">
      <alignment vertical="center"/>
    </xf>
    <xf numFmtId="43" fontId="20" fillId="0" borderId="2" xfId="1" applyFont="1" applyFill="1" applyBorder="1">
      <alignment vertical="center"/>
    </xf>
    <xf numFmtId="0" fontId="25" fillId="0" borderId="0" xfId="0" applyFont="1" applyFill="1">
      <alignment vertical="center"/>
    </xf>
    <xf numFmtId="43" fontId="22" fillId="0" borderId="2" xfId="1" applyFont="1" applyFill="1" applyBorder="1">
      <alignment vertical="center"/>
    </xf>
    <xf numFmtId="0" fontId="21" fillId="0" borderId="2" xfId="0" applyFont="1" applyFill="1" applyBorder="1">
      <alignment vertical="center"/>
    </xf>
    <xf numFmtId="180" fontId="22" fillId="0" borderId="0" xfId="0" applyNumberFormat="1" applyFont="1" applyFill="1">
      <alignment vertical="center"/>
    </xf>
    <xf numFmtId="10" fontId="22" fillId="0" borderId="2" xfId="3" applyNumberFormat="1" applyFont="1" applyFill="1" applyBorder="1">
      <alignment vertical="center"/>
    </xf>
    <xf numFmtId="43" fontId="20" fillId="0" borderId="2" xfId="1" applyFont="1" applyFill="1" applyBorder="1" applyAlignment="1">
      <alignment horizontal="center" vertical="center"/>
    </xf>
    <xf numFmtId="43" fontId="22" fillId="0" borderId="2" xfId="0" applyNumberFormat="1" applyFont="1" applyFill="1" applyBorder="1">
      <alignment vertical="center"/>
    </xf>
    <xf numFmtId="43" fontId="21" fillId="0" borderId="2" xfId="1" applyFont="1" applyFill="1" applyBorder="1">
      <alignment vertical="center"/>
    </xf>
    <xf numFmtId="43" fontId="22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21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43" fontId="22" fillId="0" borderId="0" xfId="1" applyFont="1">
      <alignment vertical="center"/>
    </xf>
    <xf numFmtId="0" fontId="26" fillId="0" borderId="1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43" fontId="27" fillId="0" borderId="2" xfId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4" fillId="9" borderId="2" xfId="0" applyFont="1" applyFill="1" applyBorder="1">
      <alignment vertical="center"/>
    </xf>
    <xf numFmtId="177" fontId="21" fillId="9" borderId="2" xfId="1" applyNumberFormat="1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177" fontId="21" fillId="0" borderId="2" xfId="1" applyNumberFormat="1" applyFont="1" applyFill="1" applyBorder="1" applyAlignment="1">
      <alignment horizontal="center" vertical="center"/>
    </xf>
    <xf numFmtId="0" fontId="22" fillId="0" borderId="2" xfId="0" applyFont="1" applyBorder="1">
      <alignment vertical="center"/>
    </xf>
    <xf numFmtId="10" fontId="21" fillId="0" borderId="2" xfId="3" applyNumberFormat="1" applyFont="1" applyBorder="1" applyAlignment="1">
      <alignment vertical="center"/>
    </xf>
    <xf numFmtId="177" fontId="21" fillId="0" borderId="2" xfId="1" applyNumberFormat="1" applyFont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10" fontId="22" fillId="0" borderId="2" xfId="3" applyNumberFormat="1" applyFont="1" applyBorder="1">
      <alignment vertical="center"/>
    </xf>
    <xf numFmtId="10" fontId="22" fillId="0" borderId="0" xfId="3" applyNumberFormat="1" applyFont="1" applyBorder="1">
      <alignment vertical="center"/>
    </xf>
    <xf numFmtId="43" fontId="22" fillId="0" borderId="0" xfId="1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3" fontId="22" fillId="0" borderId="2" xfId="1" applyFont="1" applyBorder="1">
      <alignment vertical="center"/>
    </xf>
    <xf numFmtId="177" fontId="22" fillId="0" borderId="2" xfId="1" applyNumberFormat="1" applyFont="1" applyBorder="1">
      <alignment vertical="center"/>
    </xf>
    <xf numFmtId="43" fontId="23" fillId="0" borderId="2" xfId="1" applyFont="1" applyFill="1" applyBorder="1" applyAlignment="1">
      <alignment horizontal="center" vertical="center" wrapText="1"/>
    </xf>
    <xf numFmtId="43" fontId="20" fillId="0" borderId="0" xfId="0" applyNumberFormat="1" applyFont="1" applyFill="1">
      <alignment vertical="center"/>
    </xf>
    <xf numFmtId="43" fontId="22" fillId="0" borderId="0" xfId="0" applyNumberFormat="1" applyFont="1" applyFill="1" applyBorder="1">
      <alignment vertical="center"/>
    </xf>
    <xf numFmtId="0" fontId="21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22" fillId="0" borderId="6" xfId="0" applyFont="1" applyBorder="1">
      <alignment vertical="center"/>
    </xf>
    <xf numFmtId="1" fontId="17" fillId="6" borderId="0" xfId="49" applyNumberFormat="1" applyFont="1" applyFill="1" applyProtection="1"/>
    <xf numFmtId="0" fontId="17" fillId="6" borderId="0" xfId="49" applyFont="1" applyFill="1" applyProtection="1"/>
    <xf numFmtId="0" fontId="29" fillId="6" borderId="0" xfId="49" applyFont="1" applyFill="1" applyAlignment="1" applyProtection="1">
      <alignment horizontal="centerContinuous"/>
    </xf>
    <xf numFmtId="0" fontId="17" fillId="6" borderId="0" xfId="49" applyFont="1" applyFill="1" applyAlignment="1">
      <alignment horizontal="centerContinuous"/>
    </xf>
    <xf numFmtId="0" fontId="17" fillId="6" borderId="0" xfId="49" applyFont="1" applyFill="1" applyAlignment="1" applyProtection="1">
      <alignment horizontal="centerContinuous"/>
    </xf>
    <xf numFmtId="9" fontId="17" fillId="6" borderId="0" xfId="49" applyNumberFormat="1" applyFont="1" applyFill="1" applyProtection="1"/>
    <xf numFmtId="0" fontId="17" fillId="6" borderId="6" xfId="49" applyFont="1" applyFill="1" applyBorder="1" applyAlignment="1" applyProtection="1">
      <alignment horizontal="center"/>
    </xf>
    <xf numFmtId="0" fontId="19" fillId="6" borderId="2" xfId="49" applyFont="1" applyFill="1" applyBorder="1" applyAlignment="1" applyProtection="1">
      <alignment horizontal="center"/>
    </xf>
    <xf numFmtId="0" fontId="19" fillId="6" borderId="4" xfId="49" applyFont="1" applyFill="1" applyBorder="1" applyAlignment="1" applyProtection="1">
      <alignment horizontal="center"/>
    </xf>
    <xf numFmtId="1" fontId="19" fillId="6" borderId="4" xfId="54" applyFont="1" applyFill="1" applyBorder="1"/>
    <xf numFmtId="1" fontId="17" fillId="6" borderId="4" xfId="54" applyFont="1" applyFill="1" applyBorder="1"/>
    <xf numFmtId="0" fontId="17" fillId="6" borderId="7" xfId="49" applyFont="1" applyFill="1" applyBorder="1" applyProtection="1"/>
    <xf numFmtId="0" fontId="17" fillId="6" borderId="2" xfId="49" applyFont="1" applyFill="1" applyBorder="1" applyAlignment="1" applyProtection="1">
      <alignment horizontal="center"/>
    </xf>
    <xf numFmtId="0" fontId="17" fillId="6" borderId="2" xfId="49" applyFont="1" applyFill="1" applyBorder="1" applyAlignment="1" applyProtection="1">
      <alignment horizontal="left"/>
    </xf>
    <xf numFmtId="0" fontId="17" fillId="9" borderId="2" xfId="49" applyFont="1" applyFill="1" applyBorder="1" applyProtection="1"/>
    <xf numFmtId="177" fontId="17" fillId="9" borderId="2" xfId="1" applyNumberFormat="1" applyFont="1" applyFill="1" applyBorder="1" applyAlignment="1" applyProtection="1"/>
    <xf numFmtId="0" fontId="17" fillId="6" borderId="2" xfId="49" applyFont="1" applyFill="1" applyBorder="1" applyProtection="1"/>
    <xf numFmtId="177" fontId="17" fillId="6" borderId="2" xfId="1" applyNumberFormat="1" applyFont="1" applyFill="1" applyBorder="1" applyAlignment="1" applyProtection="1"/>
    <xf numFmtId="0" fontId="17" fillId="6" borderId="2" xfId="49" applyNumberFormat="1" applyFont="1" applyFill="1" applyBorder="1" applyAlignment="1" applyProtection="1">
      <alignment horizontal="left"/>
    </xf>
    <xf numFmtId="1" fontId="17" fillId="6" borderId="2" xfId="49" applyNumberFormat="1" applyFont="1" applyFill="1" applyBorder="1" applyProtection="1"/>
    <xf numFmtId="1" fontId="17" fillId="6" borderId="2" xfId="49" applyNumberFormat="1" applyFont="1" applyFill="1" applyBorder="1" applyAlignment="1" applyProtection="1">
      <alignment horizontal="left"/>
    </xf>
    <xf numFmtId="0" fontId="17" fillId="6" borderId="9" xfId="49" applyFont="1" applyFill="1" applyBorder="1" applyProtection="1"/>
    <xf numFmtId="0" fontId="17" fillId="6" borderId="11" xfId="49" applyFont="1" applyFill="1" applyBorder="1" applyProtection="1"/>
    <xf numFmtId="0" fontId="17" fillId="6" borderId="12" xfId="49" applyFont="1" applyFill="1" applyBorder="1" applyProtection="1"/>
    <xf numFmtId="0" fontId="17" fillId="6" borderId="0" xfId="49" applyFont="1" applyFill="1" applyBorder="1" applyProtection="1"/>
    <xf numFmtId="181" fontId="17" fillId="6" borderId="0" xfId="49" applyNumberFormat="1" applyFont="1" applyFill="1" applyBorder="1" applyProtection="1"/>
    <xf numFmtId="10" fontId="17" fillId="6" borderId="0" xfId="49" applyNumberFormat="1" applyFont="1" applyFill="1" applyBorder="1" applyProtection="1"/>
    <xf numFmtId="1" fontId="17" fillId="6" borderId="0" xfId="49" applyNumberFormat="1" applyFont="1" applyFill="1" applyBorder="1" applyProtection="1"/>
    <xf numFmtId="0" fontId="17" fillId="6" borderId="13" xfId="49" applyFont="1" applyFill="1" applyBorder="1" applyProtection="1"/>
    <xf numFmtId="0" fontId="17" fillId="6" borderId="1" xfId="49" applyFont="1" applyFill="1" applyBorder="1" applyProtection="1"/>
    <xf numFmtId="2" fontId="17" fillId="6" borderId="1" xfId="49" applyNumberFormat="1" applyFont="1" applyFill="1" applyBorder="1" applyProtection="1"/>
    <xf numFmtId="0" fontId="17" fillId="6" borderId="5" xfId="49" applyFont="1" applyFill="1" applyBorder="1"/>
    <xf numFmtId="1" fontId="17" fillId="6" borderId="7" xfId="54" applyFont="1" applyFill="1" applyBorder="1" applyAlignment="1">
      <alignment horizontal="center"/>
    </xf>
    <xf numFmtId="0" fontId="17" fillId="6" borderId="8" xfId="49" applyFont="1" applyFill="1" applyBorder="1" applyProtection="1"/>
    <xf numFmtId="0" fontId="17" fillId="6" borderId="14" xfId="49" applyFont="1" applyFill="1" applyBorder="1" applyProtection="1"/>
    <xf numFmtId="0" fontId="17" fillId="6" borderId="15" xfId="49" applyFont="1" applyFill="1" applyBorder="1" applyProtection="1"/>
    <xf numFmtId="0" fontId="30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 readingOrder="1"/>
    </xf>
    <xf numFmtId="0" fontId="30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left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32" fillId="0" borderId="2" xfId="0" applyFont="1" applyFill="1" applyBorder="1" applyAlignment="1">
      <alignment horizontal="left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0" fontId="32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35" customFormat="1" ht="35.25" customHeight="1" spans="1:4">
      <c r="A2" s="236" t="s">
        <v>0</v>
      </c>
      <c r="B2" s="236" t="s">
        <v>1</v>
      </c>
      <c r="C2" s="236" t="s">
        <v>2</v>
      </c>
      <c r="D2" s="237"/>
    </row>
    <row r="3" s="235" customFormat="1" ht="33.75" customHeight="1" spans="1:4">
      <c r="A3" s="238">
        <v>1</v>
      </c>
      <c r="B3" s="238" t="s">
        <v>3</v>
      </c>
      <c r="C3" s="239" t="s">
        <v>4</v>
      </c>
      <c r="D3" s="237"/>
    </row>
    <row r="4" s="235" customFormat="1" ht="33.75" customHeight="1" spans="1:3">
      <c r="A4" s="238">
        <v>2</v>
      </c>
      <c r="B4" s="238" t="s">
        <v>5</v>
      </c>
      <c r="C4" s="239" t="s">
        <v>6</v>
      </c>
    </row>
    <row r="5" s="235" customFormat="1" ht="33.75" customHeight="1" spans="1:3">
      <c r="A5" s="238">
        <v>3</v>
      </c>
      <c r="B5" s="240" t="s">
        <v>7</v>
      </c>
      <c r="C5" s="241" t="s">
        <v>8</v>
      </c>
    </row>
    <row r="6" s="235" customFormat="1" ht="33.75" customHeight="1" spans="1:3">
      <c r="A6" s="238">
        <v>4</v>
      </c>
      <c r="B6" s="242"/>
      <c r="C6" s="239" t="s">
        <v>9</v>
      </c>
    </row>
    <row r="7" s="235" customFormat="1" ht="33.75" customHeight="1" spans="1:3">
      <c r="A7" s="238">
        <v>5</v>
      </c>
      <c r="B7" s="243" t="s">
        <v>10</v>
      </c>
      <c r="C7" s="239" t="s">
        <v>11</v>
      </c>
    </row>
    <row r="8" s="235" customFormat="1" ht="33.75" customHeight="1" spans="1:3">
      <c r="A8" s="238">
        <v>6</v>
      </c>
      <c r="B8" s="240" t="s">
        <v>12</v>
      </c>
      <c r="C8" s="239" t="s">
        <v>13</v>
      </c>
    </row>
    <row r="9" s="235" customFormat="1" ht="33.75" customHeight="1" spans="1:3">
      <c r="A9" s="238">
        <v>7</v>
      </c>
      <c r="B9" s="242"/>
      <c r="C9" s="239" t="s">
        <v>14</v>
      </c>
    </row>
    <row r="10" s="235" customFormat="1" ht="33.75" customHeight="1" spans="1:3">
      <c r="A10" s="238">
        <v>8</v>
      </c>
      <c r="B10" s="242"/>
      <c r="C10" s="241" t="s">
        <v>15</v>
      </c>
    </row>
    <row r="11" s="235" customFormat="1" ht="33.75" customHeight="1" spans="1:3">
      <c r="A11" s="238">
        <v>9</v>
      </c>
      <c r="B11" s="242"/>
      <c r="C11" s="239" t="s">
        <v>16</v>
      </c>
    </row>
    <row r="12" s="235" customFormat="1" ht="33.75" customHeight="1" spans="1:3">
      <c r="A12" s="238">
        <v>10</v>
      </c>
      <c r="B12" s="243" t="s">
        <v>17</v>
      </c>
      <c r="C12" s="239" t="s">
        <v>18</v>
      </c>
    </row>
    <row r="13" ht="33.75" customHeight="1"/>
    <row r="14" ht="33.75" customHeight="1"/>
    <row r="15" ht="33.75" customHeight="1" spans="3:3">
      <c r="C15" s="244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5" sqref="C25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39" customWidth="1"/>
    <col min="4" max="4" width="18.7545454545455" style="139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pans="1:4">
      <c r="A1" s="140" t="s">
        <v>152</v>
      </c>
      <c r="B1" s="140"/>
      <c r="C1" s="141" t="s">
        <v>171</v>
      </c>
      <c r="D1" s="142"/>
    </row>
    <row r="2" spans="1:4">
      <c r="A2" s="140" t="s">
        <v>154</v>
      </c>
      <c r="B2" s="140"/>
      <c r="C2" s="143" t="s">
        <v>155</v>
      </c>
      <c r="D2" s="143"/>
    </row>
    <row r="3" ht="33" spans="1:4">
      <c r="A3" s="140" t="s">
        <v>156</v>
      </c>
      <c r="B3" s="140"/>
      <c r="C3" s="21" t="s">
        <v>157</v>
      </c>
      <c r="D3" s="144" t="s">
        <v>60</v>
      </c>
    </row>
    <row r="4" ht="33" spans="1:4">
      <c r="A4" s="140" t="s">
        <v>158</v>
      </c>
      <c r="B4" s="140"/>
      <c r="C4" s="21" t="s">
        <v>159</v>
      </c>
      <c r="D4" s="145"/>
    </row>
    <row r="5" ht="16.5" spans="1:33">
      <c r="A5" s="140" t="s">
        <v>160</v>
      </c>
      <c r="B5" s="140"/>
      <c r="C5" s="81"/>
      <c r="D5" s="146"/>
      <c r="AG5" s="138" t="s">
        <v>61</v>
      </c>
    </row>
    <row r="6" ht="16.5" spans="1:33">
      <c r="A6" s="147" t="s">
        <v>21</v>
      </c>
      <c r="B6" s="148" t="s">
        <v>161</v>
      </c>
      <c r="C6" s="149">
        <f>销量!C15</f>
        <v>6000</v>
      </c>
      <c r="D6" s="150">
        <f t="shared" ref="D6:D15" si="0">+SUM(C6:C6)</f>
        <v>6000</v>
      </c>
      <c r="O6" s="148" t="s">
        <v>3</v>
      </c>
      <c r="AE6" s="147" t="s">
        <v>21</v>
      </c>
      <c r="AF6" s="148" t="s">
        <v>3</v>
      </c>
      <c r="AG6" s="138" t="s">
        <v>62</v>
      </c>
    </row>
    <row r="7" spans="1:33">
      <c r="A7" s="140">
        <v>1</v>
      </c>
      <c r="B7" s="148" t="s">
        <v>63</v>
      </c>
      <c r="C7" s="150">
        <f>C6*销量!C8</f>
        <v>6960000</v>
      </c>
      <c r="D7" s="150">
        <f t="shared" si="0"/>
        <v>6960000</v>
      </c>
      <c r="E7" s="139"/>
      <c r="O7" s="148" t="s">
        <v>63</v>
      </c>
      <c r="AE7" s="147" t="s">
        <v>64</v>
      </c>
      <c r="AF7" s="148" t="s">
        <v>63</v>
      </c>
      <c r="AG7" s="138" t="s">
        <v>62</v>
      </c>
    </row>
    <row r="8" spans="1:33">
      <c r="A8" s="140">
        <v>2</v>
      </c>
      <c r="B8" s="140" t="s">
        <v>65</v>
      </c>
      <c r="C8" s="150">
        <f>C7*(1-销量!$J$12)</f>
        <v>1162514.84569416</v>
      </c>
      <c r="D8" s="150">
        <f t="shared" si="0"/>
        <v>1162514.84569416</v>
      </c>
      <c r="E8" s="151"/>
      <c r="O8" s="140" t="s">
        <v>67</v>
      </c>
      <c r="AE8" s="147" t="s">
        <v>66</v>
      </c>
      <c r="AF8" s="140" t="s">
        <v>67</v>
      </c>
      <c r="AG8" s="138" t="s">
        <v>62</v>
      </c>
    </row>
    <row r="9" spans="1:33">
      <c r="A9" s="140">
        <v>3</v>
      </c>
      <c r="B9" s="148" t="s">
        <v>68</v>
      </c>
      <c r="C9" s="150">
        <f>+C7-C8</f>
        <v>5797485.15430584</v>
      </c>
      <c r="D9" s="150">
        <f t="shared" si="0"/>
        <v>5797485.15430584</v>
      </c>
      <c r="O9" s="148" t="s">
        <v>68</v>
      </c>
      <c r="AE9" s="147" t="s">
        <v>69</v>
      </c>
      <c r="AF9" s="148" t="s">
        <v>68</v>
      </c>
      <c r="AG9" s="138" t="s">
        <v>70</v>
      </c>
    </row>
    <row r="10" spans="1:33">
      <c r="A10" s="140">
        <v>4</v>
      </c>
      <c r="B10" s="147" t="s">
        <v>73</v>
      </c>
      <c r="C10" s="150">
        <f>C6*C33</f>
        <v>4139304.44353378</v>
      </c>
      <c r="D10" s="150">
        <f t="shared" si="0"/>
        <v>4139304.44353378</v>
      </c>
      <c r="O10" s="147" t="s">
        <v>73</v>
      </c>
      <c r="AE10" s="147" t="s">
        <v>72</v>
      </c>
      <c r="AF10" s="147" t="s">
        <v>73</v>
      </c>
      <c r="AG10" s="138" t="s">
        <v>74</v>
      </c>
    </row>
    <row r="11" spans="1:32">
      <c r="A11" s="140">
        <v>5</v>
      </c>
      <c r="B11" s="147" t="s">
        <v>75</v>
      </c>
      <c r="C11" s="150">
        <f>+C6*C36</f>
        <v>299976</v>
      </c>
      <c r="D11" s="150">
        <f t="shared" si="0"/>
        <v>299976</v>
      </c>
      <c r="O11" s="147" t="s">
        <v>75</v>
      </c>
      <c r="AE11" s="147" t="s">
        <v>76</v>
      </c>
      <c r="AF11" s="147" t="s">
        <v>75</v>
      </c>
    </row>
    <row r="12" spans="1:32">
      <c r="A12" s="140">
        <v>6</v>
      </c>
      <c r="B12" s="147" t="s">
        <v>77</v>
      </c>
      <c r="C12" s="150">
        <f>+C6*C37</f>
        <v>151032</v>
      </c>
      <c r="D12" s="150">
        <f t="shared" si="0"/>
        <v>151032</v>
      </c>
      <c r="O12" s="147" t="s">
        <v>77</v>
      </c>
      <c r="AE12" s="147" t="s">
        <v>78</v>
      </c>
      <c r="AF12" s="147" t="s">
        <v>77</v>
      </c>
    </row>
    <row r="13" spans="1:33">
      <c r="A13" s="140">
        <v>7</v>
      </c>
      <c r="B13" s="147" t="s">
        <v>79</v>
      </c>
      <c r="C13" s="150">
        <f>+C6*C38</f>
        <v>306240</v>
      </c>
      <c r="D13" s="150">
        <f t="shared" si="0"/>
        <v>306240</v>
      </c>
      <c r="O13" s="147" t="s">
        <v>79</v>
      </c>
      <c r="AE13" s="147" t="s">
        <v>80</v>
      </c>
      <c r="AF13" s="147" t="s">
        <v>79</v>
      </c>
      <c r="AG13" s="138" t="s">
        <v>62</v>
      </c>
    </row>
    <row r="14" spans="1:32">
      <c r="A14" s="140">
        <v>8</v>
      </c>
      <c r="B14" s="152" t="s">
        <v>81</v>
      </c>
      <c r="C14" s="150">
        <f>SUM(C11:C13)</f>
        <v>757248</v>
      </c>
      <c r="D14" s="150">
        <f t="shared" si="0"/>
        <v>757248</v>
      </c>
      <c r="O14" s="152" t="s">
        <v>81</v>
      </c>
      <c r="AE14" s="147" t="s">
        <v>82</v>
      </c>
      <c r="AF14" s="152" t="s">
        <v>81</v>
      </c>
    </row>
    <row r="15" spans="1:32">
      <c r="A15" s="140">
        <v>9</v>
      </c>
      <c r="B15" s="152" t="s">
        <v>83</v>
      </c>
      <c r="C15" s="150">
        <f>+C9-C10-C14</f>
        <v>900932.710772062</v>
      </c>
      <c r="D15" s="150">
        <f t="shared" si="0"/>
        <v>900932.710772062</v>
      </c>
      <c r="O15" s="152" t="s">
        <v>83</v>
      </c>
      <c r="AE15" s="147" t="s">
        <v>84</v>
      </c>
      <c r="AF15" s="152" t="s">
        <v>83</v>
      </c>
    </row>
    <row r="16" spans="1:32">
      <c r="A16" s="140">
        <v>10</v>
      </c>
      <c r="B16" s="147" t="s">
        <v>85</v>
      </c>
      <c r="C16" s="153">
        <f>+C15/C9</f>
        <v>0.155400606779119</v>
      </c>
      <c r="D16" s="153">
        <f>+D15/D9</f>
        <v>0.155400606779119</v>
      </c>
      <c r="E16" s="154"/>
      <c r="F16" s="154"/>
      <c r="G16" s="154"/>
      <c r="O16" s="147" t="s">
        <v>85</v>
      </c>
      <c r="AE16" s="147" t="s">
        <v>86</v>
      </c>
      <c r="AF16" s="147" t="s">
        <v>85</v>
      </c>
    </row>
    <row r="17" spans="1:32">
      <c r="A17" s="140">
        <v>11</v>
      </c>
      <c r="B17" s="147" t="s">
        <v>87</v>
      </c>
      <c r="C17" s="150">
        <f>C6*C43+C18</f>
        <v>285360</v>
      </c>
      <c r="D17" s="150">
        <f>+SUM(C17:C17)</f>
        <v>285360</v>
      </c>
      <c r="E17" s="151"/>
      <c r="O17" s="147" t="s">
        <v>87</v>
      </c>
      <c r="AE17" s="147" t="s">
        <v>88</v>
      </c>
      <c r="AF17" s="147" t="s">
        <v>87</v>
      </c>
    </row>
    <row r="18" s="136" customFormat="1" spans="1:7">
      <c r="A18" s="140">
        <v>12</v>
      </c>
      <c r="B18" s="155" t="s">
        <v>162</v>
      </c>
      <c r="C18" s="156">
        <f>$D$18/$D$6*C6</f>
        <v>0</v>
      </c>
      <c r="D18" s="150">
        <f>项目投资!F26</f>
        <v>0</v>
      </c>
      <c r="E18" s="157" t="s">
        <v>163</v>
      </c>
      <c r="F18" s="157"/>
      <c r="G18" s="157"/>
    </row>
    <row r="19" spans="1:33">
      <c r="A19" s="140">
        <v>13</v>
      </c>
      <c r="B19" s="147" t="s">
        <v>89</v>
      </c>
      <c r="C19" s="150">
        <f>C6*C44</f>
        <v>48720</v>
      </c>
      <c r="D19" s="150">
        <f>+SUM(C19:C19)</f>
        <v>48720</v>
      </c>
      <c r="E19" s="136"/>
      <c r="O19" s="147" t="s">
        <v>89</v>
      </c>
      <c r="AE19" s="147" t="s">
        <v>90</v>
      </c>
      <c r="AF19" s="147" t="s">
        <v>89</v>
      </c>
      <c r="AG19" s="138" t="s">
        <v>62</v>
      </c>
    </row>
    <row r="20" spans="1:32">
      <c r="A20" s="140">
        <v>14</v>
      </c>
      <c r="B20" s="147" t="s">
        <v>91</v>
      </c>
      <c r="C20" s="150">
        <f>C6*C45</f>
        <v>236640</v>
      </c>
      <c r="D20" s="150">
        <f>+SUM(C20:C20)</f>
        <v>236640</v>
      </c>
      <c r="O20" s="147" t="s">
        <v>91</v>
      </c>
      <c r="AE20" s="147" t="s">
        <v>92</v>
      </c>
      <c r="AF20" s="147" t="s">
        <v>91</v>
      </c>
    </row>
    <row r="21" spans="1:32">
      <c r="A21" s="140">
        <v>15</v>
      </c>
      <c r="B21" s="147" t="s">
        <v>93</v>
      </c>
      <c r="C21" s="158">
        <f>$D$21/$D$6*C6</f>
        <v>0</v>
      </c>
      <c r="D21" s="150">
        <f>项目投资!F27</f>
        <v>0</v>
      </c>
      <c r="O21" s="147" t="s">
        <v>93</v>
      </c>
      <c r="AE21" s="147"/>
      <c r="AF21" s="147"/>
    </row>
    <row r="22" spans="1:32">
      <c r="A22" s="140">
        <v>16</v>
      </c>
      <c r="B22" s="147" t="s">
        <v>94</v>
      </c>
      <c r="C22" s="150">
        <f>C6*C47</f>
        <v>208800</v>
      </c>
      <c r="D22" s="150">
        <f>+SUM(C22:C22)</f>
        <v>208800</v>
      </c>
      <c r="O22" s="147" t="s">
        <v>94</v>
      </c>
      <c r="AE22" s="147" t="s">
        <v>95</v>
      </c>
      <c r="AF22" s="147" t="s">
        <v>94</v>
      </c>
    </row>
    <row r="23" spans="1:32">
      <c r="A23" s="140">
        <v>17</v>
      </c>
      <c r="B23" s="152" t="s">
        <v>96</v>
      </c>
      <c r="C23" s="158">
        <f>+C22+C21+C20+C19+C17</f>
        <v>779520</v>
      </c>
      <c r="D23" s="158">
        <f>+D22+D21+D20+D19+D17</f>
        <v>779520</v>
      </c>
      <c r="O23" s="152" t="s">
        <v>96</v>
      </c>
      <c r="AE23" s="147" t="s">
        <v>97</v>
      </c>
      <c r="AF23" s="152" t="s">
        <v>96</v>
      </c>
    </row>
    <row r="24" spans="1:32">
      <c r="A24" s="140">
        <v>18</v>
      </c>
      <c r="B24" s="159" t="s">
        <v>98</v>
      </c>
      <c r="C24" s="158">
        <f>+C15-C23</f>
        <v>121412.710772062</v>
      </c>
      <c r="D24" s="158">
        <f>+D15-D23</f>
        <v>121412.710772062</v>
      </c>
      <c r="F24" s="160"/>
      <c r="O24" s="147" t="s">
        <v>98</v>
      </c>
      <c r="AE24" s="147" t="s">
        <v>99</v>
      </c>
      <c r="AF24" s="147" t="s">
        <v>98</v>
      </c>
    </row>
    <row r="25" spans="1:32">
      <c r="A25" s="140">
        <v>19</v>
      </c>
      <c r="B25" s="147" t="s">
        <v>164</v>
      </c>
      <c r="C25" s="158">
        <f>IF(C24&lt;0,0,C24*0.25)</f>
        <v>30353.1776930154</v>
      </c>
      <c r="D25" s="158">
        <f>IF(D24&lt;0,0,D24*0.25)</f>
        <v>30353.1776930154</v>
      </c>
      <c r="E25" s="2"/>
      <c r="F25" s="2"/>
      <c r="G25" s="2"/>
      <c r="O25" s="147" t="s">
        <v>38</v>
      </c>
      <c r="AE25" s="147" t="s">
        <v>100</v>
      </c>
      <c r="AF25" s="147" t="s">
        <v>38</v>
      </c>
    </row>
    <row r="26" spans="1:32">
      <c r="A26" s="140">
        <v>20</v>
      </c>
      <c r="B26" s="147" t="s">
        <v>101</v>
      </c>
      <c r="C26" s="158">
        <f>C24-C25</f>
        <v>91059.5330790463</v>
      </c>
      <c r="D26" s="150">
        <f>+SUM(C26:C26)</f>
        <v>91059.5330790463</v>
      </c>
      <c r="E26" s="2"/>
      <c r="F26" s="2"/>
      <c r="G26" s="2"/>
      <c r="O26" s="147" t="s">
        <v>101</v>
      </c>
      <c r="AE26" s="147" t="s">
        <v>102</v>
      </c>
      <c r="AF26" s="147" t="s">
        <v>101</v>
      </c>
    </row>
    <row r="27" spans="1:32">
      <c r="A27" s="140">
        <v>21</v>
      </c>
      <c r="B27" s="147" t="s">
        <v>105</v>
      </c>
      <c r="C27" s="161">
        <f>C26/C7</f>
        <v>0.0130832662469894</v>
      </c>
      <c r="D27" s="161">
        <f>D26/D7</f>
        <v>0.0130832662469894</v>
      </c>
      <c r="E27" s="2"/>
      <c r="F27" s="2"/>
      <c r="G27" s="2"/>
      <c r="O27" s="147" t="s">
        <v>105</v>
      </c>
      <c r="AE27" s="147" t="s">
        <v>104</v>
      </c>
      <c r="AF27" s="147" t="s">
        <v>105</v>
      </c>
    </row>
    <row r="28" spans="5:15">
      <c r="E28" s="2"/>
      <c r="F28" s="2"/>
      <c r="G28" s="2"/>
      <c r="O28" s="147"/>
    </row>
    <row r="29" spans="1:31">
      <c r="A29" s="138" t="s">
        <v>106</v>
      </c>
      <c r="D29" s="139" t="s">
        <v>165</v>
      </c>
      <c r="E29" s="2"/>
      <c r="F29" s="2"/>
      <c r="G29" s="2"/>
      <c r="O29" s="147"/>
      <c r="AE29" s="138" t="s">
        <v>106</v>
      </c>
    </row>
    <row r="30" spans="1:32">
      <c r="A30" s="147" t="s">
        <v>107</v>
      </c>
      <c r="B30" s="152" t="s">
        <v>108</v>
      </c>
      <c r="C30" s="158"/>
      <c r="D30" s="158"/>
      <c r="E30" s="2"/>
      <c r="F30" s="2"/>
      <c r="G30" s="2"/>
      <c r="I30" s="2"/>
      <c r="O30" s="152" t="s">
        <v>108</v>
      </c>
      <c r="AE30" s="147" t="s">
        <v>109</v>
      </c>
      <c r="AF30" s="152" t="s">
        <v>108</v>
      </c>
    </row>
    <row r="31" spans="1:32">
      <c r="A31" s="140">
        <v>1</v>
      </c>
      <c r="B31" s="155" t="s">
        <v>110</v>
      </c>
      <c r="C31" s="162">
        <f>销量!K12</f>
        <v>966.24752571764</v>
      </c>
      <c r="D31" s="158"/>
      <c r="E31" s="2"/>
      <c r="F31" s="2"/>
      <c r="G31" s="2"/>
      <c r="I31" s="2"/>
      <c r="O31" s="147" t="s">
        <v>110</v>
      </c>
      <c r="AE31" s="147" t="s">
        <v>64</v>
      </c>
      <c r="AF31" s="147" t="s">
        <v>110</v>
      </c>
    </row>
    <row r="32" spans="1:32">
      <c r="A32" s="140">
        <v>2</v>
      </c>
      <c r="B32" s="147" t="s">
        <v>166</v>
      </c>
      <c r="C32" s="150">
        <f>C31*1</f>
        <v>966.24752571764</v>
      </c>
      <c r="D32" s="158"/>
      <c r="E32" s="2"/>
      <c r="F32" s="2"/>
      <c r="G32" s="2"/>
      <c r="H32" s="2"/>
      <c r="I32" s="2"/>
      <c r="J32" s="2"/>
      <c r="K32" s="2"/>
      <c r="AE32" s="147"/>
      <c r="AF32" s="147"/>
    </row>
    <row r="33" spans="1:32">
      <c r="A33" s="140">
        <v>3</v>
      </c>
      <c r="B33" s="155" t="s">
        <v>111</v>
      </c>
      <c r="C33" s="150">
        <f>材料成本!D31</f>
        <v>689.884073922296</v>
      </c>
      <c r="D33" s="158"/>
      <c r="F33" s="2"/>
      <c r="G33" s="2"/>
      <c r="H33" s="2"/>
      <c r="I33" s="2"/>
      <c r="J33" s="2"/>
      <c r="K33" s="2"/>
      <c r="O33" s="147" t="s">
        <v>111</v>
      </c>
      <c r="AE33" s="147" t="s">
        <v>66</v>
      </c>
      <c r="AF33" s="147" t="s">
        <v>111</v>
      </c>
    </row>
    <row r="34" ht="17.25" customHeight="1" spans="1:32">
      <c r="A34" s="140">
        <v>4</v>
      </c>
      <c r="B34" s="147" t="s">
        <v>113</v>
      </c>
      <c r="C34" s="163">
        <f>C32-C33</f>
        <v>276.363451795344</v>
      </c>
      <c r="D34" s="158"/>
      <c r="F34" s="2"/>
      <c r="G34" s="2"/>
      <c r="H34" s="2"/>
      <c r="I34" s="2"/>
      <c r="J34" s="2"/>
      <c r="K34" s="2"/>
      <c r="O34" s="147" t="s">
        <v>113</v>
      </c>
      <c r="AE34" s="147" t="s">
        <v>112</v>
      </c>
      <c r="AF34" s="147" t="s">
        <v>113</v>
      </c>
    </row>
    <row r="35" spans="1:32">
      <c r="A35" s="147" t="s">
        <v>109</v>
      </c>
      <c r="B35" s="152" t="s">
        <v>10</v>
      </c>
      <c r="C35" s="158"/>
      <c r="D35" s="158"/>
      <c r="E35" s="2"/>
      <c r="F35" s="2"/>
      <c r="G35" s="2"/>
      <c r="H35" s="2"/>
      <c r="I35" s="2"/>
      <c r="J35" s="2"/>
      <c r="K35" s="2"/>
      <c r="L35" s="2"/>
      <c r="M35" s="2"/>
      <c r="N35" s="2"/>
      <c r="O35" s="152" t="s">
        <v>10</v>
      </c>
      <c r="AE35" s="147" t="s">
        <v>115</v>
      </c>
      <c r="AF35" s="152" t="s">
        <v>10</v>
      </c>
    </row>
    <row r="36" spans="1:32">
      <c r="A36" s="140">
        <v>1</v>
      </c>
      <c r="B36" s="147" t="s">
        <v>116</v>
      </c>
      <c r="C36" s="156">
        <f>标准成本!E4</f>
        <v>49.996</v>
      </c>
      <c r="D36" s="162"/>
      <c r="E36" s="2"/>
      <c r="F36" s="2"/>
      <c r="G36" s="2"/>
      <c r="H36" s="2"/>
      <c r="I36" s="2"/>
      <c r="J36" s="2"/>
      <c r="K36" s="2"/>
      <c r="L36" s="2"/>
      <c r="M36" s="2"/>
      <c r="N36" s="2"/>
      <c r="O36" s="147" t="s">
        <v>116</v>
      </c>
      <c r="AE36" s="147" t="s">
        <v>112</v>
      </c>
      <c r="AF36" s="147" t="s">
        <v>116</v>
      </c>
    </row>
    <row r="37" spans="1:32">
      <c r="A37" s="140">
        <v>2</v>
      </c>
      <c r="B37" s="147" t="s">
        <v>117</v>
      </c>
      <c r="C37" s="156">
        <f>标准成本!E6</f>
        <v>25.172</v>
      </c>
      <c r="D37" s="162"/>
      <c r="E37" s="2"/>
      <c r="F37" s="2"/>
      <c r="G37" s="2"/>
      <c r="H37" s="2"/>
      <c r="I37" s="2"/>
      <c r="J37" s="2"/>
      <c r="K37" s="2"/>
      <c r="L37" s="2"/>
      <c r="M37" s="2"/>
      <c r="N37" s="2"/>
      <c r="O37" s="147" t="s">
        <v>117</v>
      </c>
      <c r="AE37" s="147" t="s">
        <v>69</v>
      </c>
      <c r="AF37" s="147" t="s">
        <v>117</v>
      </c>
    </row>
    <row r="38" spans="1:32">
      <c r="A38" s="140">
        <v>3</v>
      </c>
      <c r="B38" s="147" t="s">
        <v>118</v>
      </c>
      <c r="C38" s="156">
        <f>标准成本!E10</f>
        <v>51.04</v>
      </c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147" t="s">
        <v>118</v>
      </c>
      <c r="AE38" s="147" t="s">
        <v>76</v>
      </c>
      <c r="AF38" s="147" t="s">
        <v>118</v>
      </c>
    </row>
    <row r="39" spans="1:32">
      <c r="A39" s="147" t="s">
        <v>115</v>
      </c>
      <c r="B39" s="152" t="s">
        <v>120</v>
      </c>
      <c r="C39" s="158"/>
      <c r="D39" s="158"/>
      <c r="O39" s="152" t="s">
        <v>120</v>
      </c>
      <c r="AE39" s="147" t="s">
        <v>119</v>
      </c>
      <c r="AF39" s="152" t="s">
        <v>120</v>
      </c>
    </row>
    <row r="40" spans="1:32">
      <c r="A40" s="140">
        <v>1</v>
      </c>
      <c r="B40" s="147" t="s">
        <v>122</v>
      </c>
      <c r="C40" s="158">
        <f>C34-C36-C37-C38</f>
        <v>150.155451795344</v>
      </c>
      <c r="D40" s="158"/>
      <c r="O40" s="147" t="s">
        <v>122</v>
      </c>
      <c r="AE40" s="147" t="s">
        <v>64</v>
      </c>
      <c r="AF40" s="147" t="s">
        <v>122</v>
      </c>
    </row>
    <row r="41" spans="1:32">
      <c r="A41" s="140">
        <v>2</v>
      </c>
      <c r="B41" s="147" t="s">
        <v>123</v>
      </c>
      <c r="C41" s="158"/>
      <c r="D41" s="158"/>
      <c r="O41" s="147" t="s">
        <v>123</v>
      </c>
      <c r="AE41" s="147" t="s">
        <v>66</v>
      </c>
      <c r="AF41" s="147" t="s">
        <v>123</v>
      </c>
    </row>
    <row r="42" spans="1:32">
      <c r="A42" s="147" t="s">
        <v>119</v>
      </c>
      <c r="B42" s="152" t="s">
        <v>125</v>
      </c>
      <c r="C42" s="158"/>
      <c r="D42" s="158"/>
      <c r="O42" s="152" t="s">
        <v>125</v>
      </c>
      <c r="AE42" s="147" t="s">
        <v>124</v>
      </c>
      <c r="AF42" s="152" t="s">
        <v>125</v>
      </c>
    </row>
    <row r="43" spans="1:32">
      <c r="A43" s="140">
        <v>1</v>
      </c>
      <c r="B43" s="159" t="s">
        <v>126</v>
      </c>
      <c r="C43" s="156">
        <f>标准成本!E5</f>
        <v>47.56</v>
      </c>
      <c r="D43" s="158"/>
      <c r="O43" s="147" t="s">
        <v>126</v>
      </c>
      <c r="AE43" s="147" t="s">
        <v>64</v>
      </c>
      <c r="AF43" s="147" t="s">
        <v>126</v>
      </c>
    </row>
    <row r="44" spans="1:32">
      <c r="A44" s="140">
        <v>2</v>
      </c>
      <c r="B44" s="159" t="s">
        <v>127</v>
      </c>
      <c r="C44" s="156">
        <f>标准成本!E9</f>
        <v>8.12</v>
      </c>
      <c r="D44" s="158"/>
      <c r="O44" s="147" t="s">
        <v>127</v>
      </c>
      <c r="AE44" s="147" t="s">
        <v>66</v>
      </c>
      <c r="AF44" s="147" t="s">
        <v>127</v>
      </c>
    </row>
    <row r="45" spans="1:32">
      <c r="A45" s="140">
        <v>3</v>
      </c>
      <c r="B45" s="159" t="s">
        <v>128</v>
      </c>
      <c r="C45" s="156">
        <f>标准成本!E8</f>
        <v>39.44</v>
      </c>
      <c r="D45" s="158"/>
      <c r="O45" s="147" t="s">
        <v>128</v>
      </c>
      <c r="AE45" s="147" t="s">
        <v>112</v>
      </c>
      <c r="AF45" s="147" t="s">
        <v>128</v>
      </c>
    </row>
    <row r="46" s="137" customFormat="1" spans="1:32">
      <c r="A46" s="140">
        <v>4</v>
      </c>
      <c r="B46" s="159" t="s">
        <v>129</v>
      </c>
      <c r="C46" s="164">
        <f>C21/C6</f>
        <v>0</v>
      </c>
      <c r="D46" s="164"/>
      <c r="O46" s="159" t="s">
        <v>131</v>
      </c>
      <c r="AE46" s="159" t="s">
        <v>72</v>
      </c>
      <c r="AF46" s="159" t="s">
        <v>131</v>
      </c>
    </row>
    <row r="47" s="137" customFormat="1" spans="1:32">
      <c r="A47" s="140">
        <v>5</v>
      </c>
      <c r="B47" s="159" t="s">
        <v>131</v>
      </c>
      <c r="C47" s="164">
        <f>标准成本!E11</f>
        <v>34.8</v>
      </c>
      <c r="D47" s="164"/>
      <c r="O47" s="159" t="s">
        <v>131</v>
      </c>
      <c r="AE47" s="159" t="s">
        <v>72</v>
      </c>
      <c r="AF47" s="159" t="s">
        <v>131</v>
      </c>
    </row>
    <row r="48" spans="1:32">
      <c r="A48" s="147" t="s">
        <v>124</v>
      </c>
      <c r="B48" s="152" t="s">
        <v>142</v>
      </c>
      <c r="C48" s="158">
        <f>C40-C43-C44-C45-C47-C46</f>
        <v>20.2354517953435</v>
      </c>
      <c r="D48" s="158"/>
      <c r="O48" s="152" t="s">
        <v>142</v>
      </c>
      <c r="AE48" s="147" t="s">
        <v>141</v>
      </c>
      <c r="AF48" s="152" t="s">
        <v>142</v>
      </c>
    </row>
    <row r="51" spans="3:3">
      <c r="C51" s="165"/>
    </row>
    <row r="54" spans="2:9">
      <c r="B54" s="2"/>
      <c r="C54" s="166"/>
      <c r="D54" s="166"/>
      <c r="E54" s="2"/>
      <c r="F54" s="2"/>
      <c r="G54" s="2"/>
      <c r="H54" s="2"/>
      <c r="I54" s="2"/>
    </row>
    <row r="55" spans="2:9">
      <c r="B55" s="2"/>
      <c r="C55" s="166"/>
      <c r="D55" s="166"/>
      <c r="E55" s="2"/>
      <c r="F55" s="2"/>
      <c r="G55" s="2"/>
      <c r="H55" s="2"/>
      <c r="I55" s="2"/>
    </row>
    <row r="56" spans="2:9">
      <c r="B56" s="2"/>
      <c r="C56" s="166"/>
      <c r="D56" s="166"/>
      <c r="E56" s="2"/>
      <c r="F56" s="2"/>
      <c r="G56" s="2"/>
      <c r="H56" s="2"/>
      <c r="I56" s="2"/>
    </row>
    <row r="57" spans="2:9">
      <c r="B57" s="2"/>
      <c r="C57" s="166"/>
      <c r="D57" s="166"/>
      <c r="E57" s="2"/>
      <c r="F57" s="2"/>
      <c r="G57" s="2"/>
      <c r="H57" s="2"/>
      <c r="I57" s="2"/>
    </row>
    <row r="58" spans="2:9">
      <c r="B58" s="2"/>
      <c r="C58" s="166"/>
      <c r="D58" s="166"/>
      <c r="E58" s="2"/>
      <c r="F58" s="2"/>
      <c r="G58" s="2"/>
      <c r="H58" s="2"/>
      <c r="I58" s="2"/>
    </row>
    <row r="59" spans="2:9">
      <c r="B59" s="2"/>
      <c r="C59" s="166"/>
      <c r="D59" s="166"/>
      <c r="E59" s="2"/>
      <c r="F59" s="2"/>
      <c r="G59" s="2"/>
      <c r="H59" s="2"/>
      <c r="I59" s="2"/>
    </row>
    <row r="60" spans="2:9">
      <c r="B60" s="2"/>
      <c r="C60" s="166"/>
      <c r="D60" s="166"/>
      <c r="E60" s="2"/>
      <c r="F60" s="2"/>
      <c r="G60" s="2"/>
      <c r="H60" s="2"/>
      <c r="I60" s="2"/>
    </row>
    <row r="61" spans="2:9">
      <c r="B61" s="2"/>
      <c r="C61" s="166"/>
      <c r="D61" s="166"/>
      <c r="E61" s="2"/>
      <c r="F61" s="2"/>
      <c r="G61" s="2"/>
      <c r="H61" s="2"/>
      <c r="I61" s="2"/>
    </row>
    <row r="62" spans="2:9">
      <c r="B62" s="2"/>
      <c r="C62" s="166"/>
      <c r="D62" s="166"/>
      <c r="E62" s="2"/>
      <c r="F62" s="2"/>
      <c r="G62" s="2"/>
      <c r="H62" s="2"/>
      <c r="I62" s="2"/>
    </row>
    <row r="63" spans="2:9">
      <c r="B63" s="2"/>
      <c r="C63" s="166"/>
      <c r="D63" s="166"/>
      <c r="E63" s="2"/>
      <c r="F63" s="2"/>
      <c r="G63" s="2"/>
      <c r="H63" s="2"/>
      <c r="I63" s="2"/>
    </row>
    <row r="64" spans="2:9">
      <c r="B64" s="2"/>
      <c r="C64" s="166"/>
      <c r="D64" s="166"/>
      <c r="E64" s="2"/>
      <c r="F64" s="2"/>
      <c r="G64" s="2"/>
      <c r="H64" s="2"/>
      <c r="I64" s="2"/>
    </row>
    <row r="65" spans="2:9">
      <c r="B65" s="2"/>
      <c r="C65" s="166"/>
      <c r="D65" s="166"/>
      <c r="E65" s="2"/>
      <c r="F65" s="2"/>
      <c r="G65" s="2"/>
      <c r="H65" s="2"/>
      <c r="I65" s="2"/>
    </row>
    <row r="66" spans="2:9">
      <c r="B66" s="2"/>
      <c r="C66" s="166"/>
      <c r="D66" s="166"/>
      <c r="E66" s="2"/>
      <c r="F66" s="2"/>
      <c r="G66" s="2"/>
      <c r="H66" s="2"/>
      <c r="I66" s="2"/>
    </row>
    <row r="67" spans="2:5">
      <c r="B67" s="2"/>
      <c r="C67" s="166"/>
      <c r="D67" s="166"/>
      <c r="E67" s="2"/>
    </row>
    <row r="68" spans="2:5">
      <c r="B68" s="2"/>
      <c r="C68" s="166"/>
      <c r="D68" s="166"/>
      <c r="E68" s="2"/>
    </row>
    <row r="69" spans="2:5">
      <c r="B69" s="2"/>
      <c r="C69" s="166"/>
      <c r="D69" s="166"/>
      <c r="E69" s="2"/>
    </row>
    <row r="70" spans="2:5">
      <c r="B70" s="2"/>
      <c r="C70" s="166"/>
      <c r="D70" s="166"/>
      <c r="E70" s="2"/>
    </row>
    <row r="71" spans="2:5">
      <c r="B71" s="2"/>
      <c r="C71" s="166"/>
      <c r="D71" s="166"/>
      <c r="E71" s="2"/>
    </row>
    <row r="72" spans="2:5">
      <c r="B72" s="2"/>
      <c r="C72" s="166"/>
      <c r="D72" s="166"/>
      <c r="E72" s="2"/>
    </row>
    <row r="73" spans="2:5">
      <c r="B73" s="2"/>
      <c r="C73" s="166"/>
      <c r="D73" s="166"/>
      <c r="E73" s="2"/>
    </row>
    <row r="74" spans="2:5">
      <c r="B74" s="2"/>
      <c r="C74" s="166"/>
      <c r="D74" s="166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xSplit="6" ySplit="2" topLeftCell="G12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4"/>
  <cols>
    <col min="1" max="1" width="19.5" customWidth="1"/>
    <col min="2" max="2" width="14.8727272727273" style="94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20.5" customWidth="1"/>
    <col min="8" max="8" width="13" customWidth="1"/>
    <col min="9" max="9" width="14.8727272727273" customWidth="1"/>
    <col min="10" max="10" width="13" customWidth="1"/>
  </cols>
  <sheetData>
    <row r="1" ht="21" spans="1:8">
      <c r="A1" s="95" t="s">
        <v>172</v>
      </c>
      <c r="B1" s="95"/>
      <c r="C1" s="95"/>
      <c r="E1" s="96" t="s">
        <v>173</v>
      </c>
      <c r="F1" s="97"/>
      <c r="G1" s="97"/>
      <c r="H1" s="98"/>
    </row>
    <row r="2" ht="23.45" customHeight="1" spans="1:8">
      <c r="A2" s="99" t="s">
        <v>1</v>
      </c>
      <c r="B2" s="100" t="s">
        <v>174</v>
      </c>
      <c r="C2" s="101" t="s">
        <v>175</v>
      </c>
      <c r="E2" s="102" t="s">
        <v>176</v>
      </c>
      <c r="F2" s="102" t="s">
        <v>1</v>
      </c>
      <c r="G2" s="103" t="s">
        <v>177</v>
      </c>
      <c r="H2" s="102" t="s">
        <v>175</v>
      </c>
    </row>
    <row r="3" ht="15.75" customHeight="1" spans="1:8">
      <c r="A3" s="104" t="s">
        <v>178</v>
      </c>
      <c r="B3" s="105"/>
      <c r="C3" s="106"/>
      <c r="E3" s="107" t="s">
        <v>179</v>
      </c>
      <c r="F3" s="108" t="s">
        <v>180</v>
      </c>
      <c r="G3" s="109">
        <v>0</v>
      </c>
      <c r="H3" s="108"/>
    </row>
    <row r="4" ht="15.75" customHeight="1" spans="1:8">
      <c r="A4" s="104" t="s">
        <v>181</v>
      </c>
      <c r="B4" s="105"/>
      <c r="C4" s="110"/>
      <c r="E4" s="111"/>
      <c r="F4" s="108" t="s">
        <v>182</v>
      </c>
      <c r="G4" s="109"/>
      <c r="H4" s="108"/>
    </row>
    <row r="5" ht="15.75" customHeight="1" spans="1:8">
      <c r="A5" s="104" t="s">
        <v>183</v>
      </c>
      <c r="B5" s="112">
        <f>SUM(G3:G4)</f>
        <v>0</v>
      </c>
      <c r="C5" s="106"/>
      <c r="E5" s="113" t="s">
        <v>184</v>
      </c>
      <c r="F5" s="114" t="s">
        <v>185</v>
      </c>
      <c r="G5" s="109"/>
      <c r="H5" s="114"/>
    </row>
    <row r="6" ht="15.75" customHeight="1" spans="1:10">
      <c r="A6" s="104" t="s">
        <v>186</v>
      </c>
      <c r="B6" s="105"/>
      <c r="C6" s="106"/>
      <c r="E6" s="115"/>
      <c r="F6" s="114" t="s">
        <v>187</v>
      </c>
      <c r="G6" s="109"/>
      <c r="H6" s="108"/>
      <c r="J6">
        <v>10000</v>
      </c>
    </row>
    <row r="7" ht="15.75" customHeight="1" spans="1:8">
      <c r="A7" s="116" t="s">
        <v>188</v>
      </c>
      <c r="B7" s="112">
        <f>SUM(B3:B6)</f>
        <v>0</v>
      </c>
      <c r="C7" s="106"/>
      <c r="E7" s="115"/>
      <c r="F7" s="114" t="s">
        <v>189</v>
      </c>
      <c r="G7" s="109"/>
      <c r="H7" s="108"/>
    </row>
    <row r="8" ht="15.75" customHeight="1" spans="1:8">
      <c r="A8" s="117" t="s">
        <v>190</v>
      </c>
      <c r="B8" s="112">
        <f>SUM(G5:G12)</f>
        <v>0</v>
      </c>
      <c r="C8" s="118"/>
      <c r="E8" s="115"/>
      <c r="F8" s="114" t="s">
        <v>191</v>
      </c>
      <c r="G8" s="109"/>
      <c r="H8" s="108"/>
    </row>
    <row r="9" ht="15.75" customHeight="1" spans="1:8">
      <c r="A9" s="104" t="s">
        <v>192</v>
      </c>
      <c r="B9" s="112">
        <f>SUM(G13:G21)</f>
        <v>0</v>
      </c>
      <c r="C9" s="106"/>
      <c r="E9" s="115"/>
      <c r="F9" s="108" t="s">
        <v>193</v>
      </c>
      <c r="G9" s="119"/>
      <c r="H9" s="120"/>
    </row>
    <row r="10" ht="15.75" customHeight="1" spans="1:8">
      <c r="A10" s="110" t="s">
        <v>60</v>
      </c>
      <c r="B10" s="112">
        <f>B7+B8+B9</f>
        <v>0</v>
      </c>
      <c r="C10" s="106"/>
      <c r="E10" s="115"/>
      <c r="F10" s="108" t="s">
        <v>194</v>
      </c>
      <c r="G10" s="119"/>
      <c r="H10" s="108"/>
    </row>
    <row r="11" ht="15.75" customHeight="1" spans="5:8">
      <c r="E11" s="115"/>
      <c r="F11" s="108" t="s">
        <v>195</v>
      </c>
      <c r="G11" s="109"/>
      <c r="H11" s="108"/>
    </row>
    <row r="12" ht="15.75" customHeight="1" spans="5:8">
      <c r="E12" s="121"/>
      <c r="F12" s="108" t="s">
        <v>196</v>
      </c>
      <c r="G12" s="109"/>
      <c r="H12" s="120"/>
    </row>
    <row r="13" ht="15.75" customHeight="1" spans="5:8">
      <c r="E13" s="107" t="s">
        <v>93</v>
      </c>
      <c r="F13" s="108" t="s">
        <v>197</v>
      </c>
      <c r="G13" s="109"/>
      <c r="H13" s="122"/>
    </row>
    <row r="14" ht="15.75" customHeight="1" spans="5:8">
      <c r="E14" s="111"/>
      <c r="F14" s="108" t="s">
        <v>198</v>
      </c>
      <c r="G14" s="109"/>
      <c r="H14" s="108"/>
    </row>
    <row r="15" ht="15.75" customHeight="1" spans="5:8">
      <c r="E15" s="111"/>
      <c r="F15" s="108" t="s">
        <v>199</v>
      </c>
      <c r="G15" s="109"/>
      <c r="H15" s="108"/>
    </row>
    <row r="16" ht="15.75" customHeight="1" spans="5:8">
      <c r="E16" s="111"/>
      <c r="F16" s="108" t="s">
        <v>200</v>
      </c>
      <c r="G16" s="109"/>
      <c r="H16" s="108"/>
    </row>
    <row r="17" ht="15.75" customHeight="1" spans="5:8">
      <c r="E17" s="111"/>
      <c r="F17" s="108" t="s">
        <v>201</v>
      </c>
      <c r="G17" s="109"/>
      <c r="H17" s="108"/>
    </row>
    <row r="18" ht="15.75" customHeight="1" spans="5:8">
      <c r="E18" s="111"/>
      <c r="F18" s="108" t="s">
        <v>202</v>
      </c>
      <c r="G18" s="109"/>
      <c r="H18" s="108"/>
    </row>
    <row r="19" ht="15.75" customHeight="1" spans="5:8">
      <c r="E19" s="111"/>
      <c r="F19" s="108" t="s">
        <v>203</v>
      </c>
      <c r="G19" s="109"/>
      <c r="H19" s="108"/>
    </row>
    <row r="20" ht="15.75" customHeight="1" spans="5:8">
      <c r="E20" s="111"/>
      <c r="F20" s="108" t="s">
        <v>204</v>
      </c>
      <c r="G20" s="109"/>
      <c r="H20" s="108"/>
    </row>
    <row r="21" ht="15.75" customHeight="1" spans="5:8">
      <c r="E21" s="123"/>
      <c r="F21" s="108" t="s">
        <v>39</v>
      </c>
      <c r="G21" s="109"/>
      <c r="H21" s="108"/>
    </row>
    <row r="22" ht="15.75" customHeight="1" spans="5:8">
      <c r="E22" s="102" t="s">
        <v>60</v>
      </c>
      <c r="F22" s="108"/>
      <c r="G22" s="103">
        <f>SUM(G3:G21)</f>
        <v>0</v>
      </c>
      <c r="H22" s="108"/>
    </row>
    <row r="23" ht="30.75" customHeight="1" spans="5:8">
      <c r="E23" s="124" t="s">
        <v>205</v>
      </c>
      <c r="F23" s="124"/>
      <c r="G23" s="124"/>
      <c r="H23" s="124"/>
    </row>
    <row r="25" ht="16.5" spans="1:10">
      <c r="A25" s="125" t="s">
        <v>1</v>
      </c>
      <c r="B25" s="125" t="s">
        <v>174</v>
      </c>
      <c r="C25" s="125" t="s">
        <v>206</v>
      </c>
      <c r="D25" s="126" t="s">
        <v>207</v>
      </c>
      <c r="E25" s="126" t="s">
        <v>208</v>
      </c>
      <c r="F25" s="126" t="s">
        <v>209</v>
      </c>
      <c r="G25" s="126" t="s">
        <v>210</v>
      </c>
      <c r="H25" s="126" t="s">
        <v>211</v>
      </c>
      <c r="I25" s="126" t="s">
        <v>60</v>
      </c>
      <c r="J25" s="134" t="s">
        <v>212</v>
      </c>
    </row>
    <row r="26" ht="16.5" spans="1:10">
      <c r="A26" s="127" t="s">
        <v>162</v>
      </c>
      <c r="B26" s="128">
        <f>(B5+B8)*10000</f>
        <v>0</v>
      </c>
      <c r="C26" s="129">
        <v>0.05</v>
      </c>
      <c r="D26" s="130">
        <f>B26*(1-C26)/3</f>
        <v>0</v>
      </c>
      <c r="E26" s="130">
        <f t="shared" ref="E26:F27" si="0">D26</f>
        <v>0</v>
      </c>
      <c r="F26" s="130">
        <f t="shared" si="0"/>
        <v>0</v>
      </c>
      <c r="G26" s="130"/>
      <c r="H26" s="130"/>
      <c r="I26" s="130">
        <f>SUM(D26:H26)</f>
        <v>0</v>
      </c>
      <c r="J26" s="130">
        <f>B26*0.05</f>
        <v>0</v>
      </c>
    </row>
    <row r="27" ht="16.5" spans="1:10">
      <c r="A27" s="127" t="s">
        <v>213</v>
      </c>
      <c r="B27" s="128">
        <f>B9*10000</f>
        <v>0</v>
      </c>
      <c r="C27" s="130"/>
      <c r="D27" s="130">
        <f>B27/3</f>
        <v>0</v>
      </c>
      <c r="E27" s="130">
        <f t="shared" si="0"/>
        <v>0</v>
      </c>
      <c r="F27" s="130">
        <f t="shared" si="0"/>
        <v>0</v>
      </c>
      <c r="G27" s="130"/>
      <c r="H27" s="130"/>
      <c r="I27" s="130">
        <f>SUM(D27:H27)</f>
        <v>0</v>
      </c>
      <c r="J27" s="130"/>
    </row>
    <row r="28" ht="16.5" spans="1:10">
      <c r="A28" s="131" t="s">
        <v>150</v>
      </c>
      <c r="B28" s="132"/>
      <c r="C28" s="133"/>
      <c r="D28" s="130">
        <f>SUM(D26:D27)</f>
        <v>0</v>
      </c>
      <c r="E28" s="130">
        <f t="shared" ref="E28:H28" si="1">SUM(E26:E27)</f>
        <v>0</v>
      </c>
      <c r="F28" s="130">
        <f t="shared" si="1"/>
        <v>0</v>
      </c>
      <c r="G28" s="130">
        <f t="shared" si="1"/>
        <v>0</v>
      </c>
      <c r="H28" s="130">
        <f t="shared" si="1"/>
        <v>0</v>
      </c>
      <c r="I28" s="135"/>
      <c r="J28" s="13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="85" zoomScaleNormal="85" workbookViewId="0">
      <selection activeCell="M18" sqref="M18"/>
    </sheetView>
  </sheetViews>
  <sheetFormatPr defaultColWidth="9" defaultRowHeight="16.5"/>
  <cols>
    <col min="1" max="1" width="14" style="70" customWidth="1"/>
    <col min="2" max="2" width="14.1272727272727" style="70" customWidth="1"/>
    <col min="3" max="3" width="14.7545454545455" style="70" customWidth="1"/>
    <col min="4" max="4" width="11.1272727272727" style="70" customWidth="1"/>
    <col min="5" max="5" width="12.8727272727273" style="70" customWidth="1"/>
    <col min="6" max="6" width="11.1272727272727" style="70" customWidth="1"/>
    <col min="7" max="7" width="11.6272727272727" style="70" customWidth="1"/>
    <col min="8" max="8" width="9.25454545454545" style="70" customWidth="1"/>
    <col min="9" max="9" width="9.12727272727273" style="71" customWidth="1"/>
    <col min="10" max="10" width="12.8727272727273" style="71"/>
    <col min="11" max="11" width="11.1818181818182" style="72" customWidth="1"/>
    <col min="12" max="12" width="11.1818181818182" style="70" customWidth="1"/>
    <col min="13" max="13" width="17" style="70"/>
    <col min="14" max="16384" width="9" style="70"/>
  </cols>
  <sheetData>
    <row r="1" ht="29.25" customHeight="1" spans="1:7">
      <c r="A1" s="73" t="s">
        <v>214</v>
      </c>
      <c r="E1" s="74"/>
      <c r="F1" s="74"/>
      <c r="G1" s="74"/>
    </row>
    <row r="2" ht="24" customHeight="1" spans="1:7">
      <c r="A2" s="75" t="s">
        <v>215</v>
      </c>
      <c r="E2" s="74"/>
      <c r="F2" s="74"/>
      <c r="G2" s="74"/>
    </row>
    <row r="3" spans="3:5">
      <c r="C3" s="70" t="s">
        <v>216</v>
      </c>
      <c r="D3" s="70" t="s">
        <v>217</v>
      </c>
      <c r="E3" s="76">
        <v>0.03</v>
      </c>
    </row>
    <row r="5" ht="45" customHeight="1" spans="1:7">
      <c r="A5" s="77" t="s">
        <v>218</v>
      </c>
      <c r="B5" s="78" t="s">
        <v>156</v>
      </c>
      <c r="C5" s="21" t="s">
        <v>157</v>
      </c>
      <c r="D5" s="21"/>
      <c r="E5" s="21"/>
      <c r="F5" s="21"/>
      <c r="G5" s="79" t="s">
        <v>60</v>
      </c>
    </row>
    <row r="6" ht="31.5" customHeight="1" spans="1:13">
      <c r="A6" s="77"/>
      <c r="B6" s="78" t="s">
        <v>158</v>
      </c>
      <c r="C6" s="21" t="s">
        <v>159</v>
      </c>
      <c r="D6" s="23"/>
      <c r="E6" s="23"/>
      <c r="F6" s="23"/>
      <c r="G6" s="80"/>
      <c r="I6" s="71">
        <v>100</v>
      </c>
      <c r="K6" s="92" t="s">
        <v>219</v>
      </c>
      <c r="L6" s="93" t="s">
        <v>220</v>
      </c>
      <c r="M6" s="93" t="s">
        <v>221</v>
      </c>
    </row>
    <row r="7" ht="15.6" customHeight="1" spans="1:13">
      <c r="A7" s="77"/>
      <c r="B7" s="23" t="s">
        <v>222</v>
      </c>
      <c r="C7" s="81"/>
      <c r="D7" s="81"/>
      <c r="E7" s="23"/>
      <c r="F7" s="23"/>
      <c r="G7" s="82"/>
      <c r="H7" s="70">
        <v>2025</v>
      </c>
      <c r="I7" s="71">
        <f>I6*(1-$E$3)</f>
        <v>97</v>
      </c>
      <c r="J7" s="71">
        <f>I7/$I$6</f>
        <v>0.97</v>
      </c>
      <c r="K7" s="72">
        <f>C8*J7</f>
        <v>1125.2</v>
      </c>
      <c r="L7" s="72">
        <f>$C$8-K7</f>
        <v>34.8</v>
      </c>
      <c r="M7" s="72">
        <f>L7*C10</f>
        <v>174000</v>
      </c>
    </row>
    <row r="8" ht="33" spans="1:13">
      <c r="A8" s="77"/>
      <c r="B8" s="23" t="s">
        <v>223</v>
      </c>
      <c r="C8" s="83">
        <v>1160</v>
      </c>
      <c r="D8" s="83"/>
      <c r="E8" s="83"/>
      <c r="F8" s="83"/>
      <c r="G8" s="84">
        <f>SUM(C8:F8)</f>
        <v>1160</v>
      </c>
      <c r="H8" s="70">
        <v>2026</v>
      </c>
      <c r="I8" s="71">
        <f>I7*(1-$E$3)</f>
        <v>94.09</v>
      </c>
      <c r="J8" s="71">
        <f>I8/$I$6</f>
        <v>0.9409</v>
      </c>
      <c r="K8" s="72">
        <f>$C$8*J8</f>
        <v>1091.444</v>
      </c>
      <c r="L8" s="72">
        <f>$C$8-K8</f>
        <v>68.5559999999998</v>
      </c>
      <c r="M8" s="72">
        <f>L8*C11</f>
        <v>411335.999999999</v>
      </c>
    </row>
    <row r="9" spans="1:13">
      <c r="A9" s="77" t="s">
        <v>224</v>
      </c>
      <c r="B9" s="85" t="s">
        <v>225</v>
      </c>
      <c r="C9" s="86">
        <v>4000</v>
      </c>
      <c r="D9" s="87"/>
      <c r="E9" s="87"/>
      <c r="F9" s="87"/>
      <c r="G9" s="84">
        <f>SUM(C9:F9)</f>
        <v>4000</v>
      </c>
      <c r="H9" s="70">
        <v>2027</v>
      </c>
      <c r="I9" s="71">
        <f>I8*(1-$E$3)</f>
        <v>91.2673</v>
      </c>
      <c r="J9" s="71">
        <f>I9/$I$6</f>
        <v>0.912673</v>
      </c>
      <c r="K9" s="72">
        <f>$C$8*J9</f>
        <v>1058.70068</v>
      </c>
      <c r="L9" s="72">
        <f>$C$8-K9</f>
        <v>101.29932</v>
      </c>
      <c r="M9" s="72">
        <f>L9*C12</f>
        <v>607795.919999999</v>
      </c>
    </row>
    <row r="10" spans="1:13">
      <c r="A10" s="77"/>
      <c r="B10" s="85" t="s">
        <v>207</v>
      </c>
      <c r="C10" s="86">
        <v>5000</v>
      </c>
      <c r="D10" s="87"/>
      <c r="E10" s="87"/>
      <c r="F10" s="87"/>
      <c r="G10" s="84">
        <f>SUM(C10:F10)</f>
        <v>5000</v>
      </c>
      <c r="H10" s="70">
        <v>2028</v>
      </c>
      <c r="I10" s="71">
        <f>I9*(1-$E$3)</f>
        <v>88.529281</v>
      </c>
      <c r="J10" s="71">
        <f t="shared" ref="J10" si="0">I10/$I$6</f>
        <v>0.88529281</v>
      </c>
      <c r="K10" s="72">
        <f>$C$8*J10</f>
        <v>1026.9396596</v>
      </c>
      <c r="L10" s="72">
        <f>$C$8-K10</f>
        <v>133.0603404</v>
      </c>
      <c r="M10" s="72">
        <f>L10*C13</f>
        <v>798362.0424</v>
      </c>
    </row>
    <row r="11" spans="1:13">
      <c r="A11" s="77"/>
      <c r="B11" s="85" t="s">
        <v>208</v>
      </c>
      <c r="C11" s="86">
        <v>6000</v>
      </c>
      <c r="D11" s="87"/>
      <c r="E11" s="87"/>
      <c r="F11" s="87"/>
      <c r="G11" s="84">
        <f>SUM(C11:F11)</f>
        <v>6000</v>
      </c>
      <c r="H11" s="70">
        <v>2029</v>
      </c>
      <c r="I11" s="71">
        <f>I10*(1-$E$3)</f>
        <v>85.87340257</v>
      </c>
      <c r="J11" s="71">
        <f>I11/$I$6</f>
        <v>0.8587340257</v>
      </c>
      <c r="K11" s="72">
        <f>$C$8*J11</f>
        <v>996.131469812</v>
      </c>
      <c r="L11" s="72">
        <f>$C$8-K11</f>
        <v>163.868530188</v>
      </c>
      <c r="M11" s="72">
        <f>L11*C14</f>
        <v>983211.181128</v>
      </c>
    </row>
    <row r="12" spans="1:13">
      <c r="A12" s="77"/>
      <c r="B12" s="85" t="s">
        <v>209</v>
      </c>
      <c r="C12" s="86">
        <v>6000</v>
      </c>
      <c r="D12" s="87"/>
      <c r="E12" s="87"/>
      <c r="F12" s="87"/>
      <c r="G12" s="84">
        <f>SUM(C12:F12)</f>
        <v>6000</v>
      </c>
      <c r="H12" s="70">
        <v>2030</v>
      </c>
      <c r="I12" s="71">
        <f>I11*(1-$E$3)</f>
        <v>83.2972004929</v>
      </c>
      <c r="J12" s="71">
        <f>I12/$I$6</f>
        <v>0.832972004929</v>
      </c>
      <c r="K12" s="72">
        <f>$C$8*J12</f>
        <v>966.24752571764</v>
      </c>
      <c r="L12" s="72">
        <f>$C$8-K12</f>
        <v>193.75247428236</v>
      </c>
      <c r="M12" s="72">
        <f>L12*C15</f>
        <v>1162514.84569416</v>
      </c>
    </row>
    <row r="13" spans="1:7">
      <c r="A13" s="77"/>
      <c r="B13" s="85" t="s">
        <v>210</v>
      </c>
      <c r="C13" s="86">
        <v>6000</v>
      </c>
      <c r="D13" s="87"/>
      <c r="E13" s="87"/>
      <c r="F13" s="87"/>
      <c r="G13" s="84">
        <f>SUM(C13:F13)</f>
        <v>6000</v>
      </c>
    </row>
    <row r="14" spans="1:7">
      <c r="A14" s="77"/>
      <c r="B14" s="85" t="s">
        <v>211</v>
      </c>
      <c r="C14" s="86">
        <v>6000</v>
      </c>
      <c r="D14" s="87"/>
      <c r="E14" s="87"/>
      <c r="F14" s="87"/>
      <c r="G14" s="84">
        <f>SUM(C14:F14)</f>
        <v>6000</v>
      </c>
    </row>
    <row r="15" spans="1:7">
      <c r="A15" s="77"/>
      <c r="B15" s="85" t="s">
        <v>226</v>
      </c>
      <c r="C15" s="86">
        <v>6000</v>
      </c>
      <c r="D15" s="87"/>
      <c r="E15" s="87"/>
      <c r="F15" s="87"/>
      <c r="G15" s="84">
        <f>SUM(C15:F15)</f>
        <v>6000</v>
      </c>
    </row>
    <row r="16" spans="1:7">
      <c r="A16" s="85" t="s">
        <v>60</v>
      </c>
      <c r="B16" s="85"/>
      <c r="C16" s="88">
        <f>SUM(C9:C15)</f>
        <v>39000</v>
      </c>
      <c r="D16" s="88"/>
      <c r="E16" s="88"/>
      <c r="F16" s="88"/>
      <c r="G16" s="88">
        <f>SUM(G9:G15)</f>
        <v>39000</v>
      </c>
    </row>
    <row r="17" ht="33" spans="1:3">
      <c r="A17" s="89"/>
      <c r="B17" s="89"/>
      <c r="C17" s="90" t="s">
        <v>52</v>
      </c>
    </row>
    <row r="18" spans="2:7">
      <c r="B18" s="70" t="s">
        <v>227</v>
      </c>
      <c r="C18" s="72">
        <f>材料成本!D24</f>
        <v>828.22</v>
      </c>
      <c r="D18" s="72"/>
      <c r="E18" s="72"/>
      <c r="F18" s="72"/>
      <c r="G18" s="89"/>
    </row>
    <row r="19" spans="2:7">
      <c r="B19" s="70" t="s">
        <v>108</v>
      </c>
      <c r="C19" s="72">
        <f>C8-C18</f>
        <v>331.78</v>
      </c>
      <c r="D19" s="72"/>
      <c r="E19" s="72"/>
      <c r="F19" s="72"/>
      <c r="G19" s="89"/>
    </row>
    <row r="20" spans="2:7">
      <c r="B20" s="70" t="s">
        <v>228</v>
      </c>
      <c r="C20" s="91">
        <f>C19/C8</f>
        <v>0.28601724137931</v>
      </c>
      <c r="D20" s="91"/>
      <c r="E20" s="91"/>
      <c r="F20" s="91"/>
      <c r="G20" s="91"/>
    </row>
  </sheetData>
  <mergeCells count="4">
    <mergeCell ref="A16:B16"/>
    <mergeCell ref="A5:A8"/>
    <mergeCell ref="A9:A15"/>
    <mergeCell ref="G5:G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workbookViewId="0">
      <pane xSplit="3" ySplit="5" topLeftCell="D16" activePane="bottomRight" state="frozen"/>
      <selection/>
      <selection pane="topRight"/>
      <selection pane="bottomLeft"/>
      <selection pane="bottomRight" activeCell="D27" sqref="D27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8" width="12" style="34" customWidth="1"/>
    <col min="9" max="9" width="6.37272727272727" style="34" customWidth="1"/>
    <col min="10" max="15" width="12" style="34" customWidth="1"/>
    <col min="16" max="16" width="12.2545454545455" style="33" customWidth="1"/>
    <col min="17" max="17" width="13.2545454545455" style="33" customWidth="1"/>
    <col min="18" max="18" width="16" style="33" customWidth="1"/>
    <col min="19" max="16384" width="9" style="33"/>
  </cols>
  <sheetData>
    <row r="1" s="32" customFormat="1" ht="28.5" customHeight="1" spans="1:18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R1" s="69"/>
    </row>
    <row r="2" spans="1:15">
      <c r="A2" s="38" t="s">
        <v>229</v>
      </c>
      <c r="B2" s="38"/>
      <c r="C2" s="39"/>
      <c r="D2" s="40"/>
      <c r="E2" s="41" t="s">
        <v>230</v>
      </c>
      <c r="F2" s="42"/>
      <c r="G2" s="42"/>
      <c r="H2" s="42"/>
      <c r="I2" s="42"/>
      <c r="J2" s="42"/>
      <c r="K2" s="42"/>
      <c r="L2" s="42"/>
      <c r="M2" s="42"/>
      <c r="N2" s="42"/>
      <c r="O2" s="62"/>
    </row>
    <row r="3" ht="33" spans="1:15">
      <c r="A3" s="43" t="s">
        <v>21</v>
      </c>
      <c r="B3" s="43" t="s">
        <v>231</v>
      </c>
      <c r="C3" s="43" t="s">
        <v>232</v>
      </c>
      <c r="D3" s="44" t="s">
        <v>155</v>
      </c>
      <c r="E3" s="44"/>
      <c r="F3" s="40" t="s">
        <v>233</v>
      </c>
      <c r="G3" s="45" t="s">
        <v>234</v>
      </c>
      <c r="H3" s="46"/>
      <c r="I3" s="46"/>
      <c r="J3" s="46"/>
      <c r="K3" s="46"/>
      <c r="L3" s="46"/>
      <c r="M3" s="46"/>
      <c r="N3" s="46"/>
      <c r="O3" s="63" t="s">
        <v>175</v>
      </c>
    </row>
    <row r="4" ht="33" spans="1:15">
      <c r="A4" s="43"/>
      <c r="B4" s="43"/>
      <c r="C4" s="43" t="s">
        <v>156</v>
      </c>
      <c r="D4" s="47" t="s">
        <v>157</v>
      </c>
      <c r="E4" s="47"/>
      <c r="F4" s="47"/>
      <c r="G4" s="47"/>
      <c r="H4" s="48"/>
      <c r="I4" s="48"/>
      <c r="J4" s="48"/>
      <c r="K4" s="48"/>
      <c r="L4" s="48"/>
      <c r="M4" s="48"/>
      <c r="N4" s="48"/>
      <c r="O4" s="64"/>
    </row>
    <row r="5" ht="33" spans="1:15">
      <c r="A5" s="43"/>
      <c r="B5" s="43"/>
      <c r="C5" s="43" t="s">
        <v>158</v>
      </c>
      <c r="D5" s="47" t="s">
        <v>159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65"/>
    </row>
    <row r="6" spans="1:15">
      <c r="A6" s="49">
        <v>1</v>
      </c>
      <c r="B6" s="50" t="s">
        <v>235</v>
      </c>
      <c r="C6" s="51"/>
      <c r="D6" s="52"/>
      <c r="E6" s="48"/>
      <c r="F6" s="48"/>
      <c r="G6" s="48"/>
      <c r="H6" s="48"/>
      <c r="I6" s="48"/>
      <c r="J6" s="48"/>
      <c r="K6" s="48"/>
      <c r="L6" s="48"/>
      <c r="M6" s="48"/>
      <c r="N6" s="48"/>
      <c r="O6" s="66"/>
    </row>
    <row r="7" spans="1:15">
      <c r="A7" s="49">
        <v>2</v>
      </c>
      <c r="B7" s="50" t="s">
        <v>236</v>
      </c>
      <c r="C7" s="51"/>
      <c r="D7" s="52"/>
      <c r="E7" s="48"/>
      <c r="F7" s="48"/>
      <c r="G7" s="48"/>
      <c r="H7" s="48"/>
      <c r="I7" s="48"/>
      <c r="J7" s="48"/>
      <c r="K7" s="48"/>
      <c r="L7" s="48"/>
      <c r="M7" s="48"/>
      <c r="N7" s="48"/>
      <c r="O7" s="66"/>
    </row>
    <row r="8" spans="1:15">
      <c r="A8" s="49">
        <v>3</v>
      </c>
      <c r="B8" s="50" t="s">
        <v>237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66"/>
    </row>
    <row r="9" spans="1:15">
      <c r="A9" s="49">
        <v>4</v>
      </c>
      <c r="B9" s="50" t="s">
        <v>238</v>
      </c>
      <c r="C9" s="51"/>
      <c r="D9" s="52"/>
      <c r="E9" s="48"/>
      <c r="F9" s="48"/>
      <c r="G9" s="48"/>
      <c r="H9" s="48"/>
      <c r="I9" s="48"/>
      <c r="J9" s="48"/>
      <c r="K9" s="48"/>
      <c r="L9" s="48"/>
      <c r="M9" s="48"/>
      <c r="N9" s="48"/>
      <c r="O9" s="66"/>
    </row>
    <row r="10" spans="1:15">
      <c r="A10" s="49">
        <v>5</v>
      </c>
      <c r="B10" s="50" t="s">
        <v>239</v>
      </c>
      <c r="C10" s="51"/>
      <c r="D10" s="52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66"/>
    </row>
    <row r="11" spans="1:15">
      <c r="A11" s="49">
        <v>6</v>
      </c>
      <c r="B11" s="50" t="s">
        <v>240</v>
      </c>
      <c r="C11" s="51"/>
      <c r="D11" s="52"/>
      <c r="E11" s="48"/>
      <c r="F11" s="48"/>
      <c r="G11" s="48"/>
      <c r="H11" s="48"/>
      <c r="I11" s="48"/>
      <c r="J11" s="48"/>
      <c r="K11" s="48"/>
      <c r="L11" s="47"/>
      <c r="M11" s="48"/>
      <c r="N11" s="48"/>
      <c r="O11" s="66"/>
    </row>
    <row r="12" spans="1:15">
      <c r="A12" s="49">
        <v>7</v>
      </c>
      <c r="B12" s="50" t="s">
        <v>241</v>
      </c>
      <c r="C12" s="51"/>
      <c r="D12" s="52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66"/>
    </row>
    <row r="13" spans="1:15">
      <c r="A13" s="49">
        <v>8</v>
      </c>
      <c r="B13" s="50" t="s">
        <v>242</v>
      </c>
      <c r="C13" s="51"/>
      <c r="D13" s="52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66"/>
    </row>
    <row r="14" spans="1:15">
      <c r="A14" s="49">
        <v>9</v>
      </c>
      <c r="B14" s="50" t="s">
        <v>243</v>
      </c>
      <c r="C14" s="51"/>
      <c r="D14" s="52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66"/>
    </row>
    <row r="15" spans="1:15">
      <c r="A15" s="49">
        <v>10</v>
      </c>
      <c r="B15" s="50" t="s">
        <v>244</v>
      </c>
      <c r="C15" s="51"/>
      <c r="D15" s="52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66"/>
    </row>
    <row r="16" spans="1:15">
      <c r="A16" s="49">
        <v>11</v>
      </c>
      <c r="B16" s="50" t="s">
        <v>245</v>
      </c>
      <c r="C16" s="51"/>
      <c r="D16" s="52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66"/>
    </row>
    <row r="17" spans="1:15">
      <c r="A17" s="49">
        <v>12</v>
      </c>
      <c r="B17" s="50" t="s">
        <v>246</v>
      </c>
      <c r="C17" s="51"/>
      <c r="D17" s="52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66"/>
    </row>
    <row r="18" spans="1:15">
      <c r="A18" s="49">
        <v>13</v>
      </c>
      <c r="B18" s="50" t="s">
        <v>247</v>
      </c>
      <c r="C18" s="51"/>
      <c r="D18" s="52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66"/>
    </row>
    <row r="19" spans="1:15">
      <c r="A19" s="49">
        <v>14</v>
      </c>
      <c r="B19" s="50" t="s">
        <v>248</v>
      </c>
      <c r="C19" s="51"/>
      <c r="D19" s="52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66"/>
    </row>
    <row r="20" spans="1:15">
      <c r="A20" s="49">
        <v>15</v>
      </c>
      <c r="B20" s="50" t="s">
        <v>249</v>
      </c>
      <c r="C20" s="51"/>
      <c r="D20" s="52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66"/>
    </row>
    <row r="21" spans="1:15">
      <c r="A21" s="49">
        <v>16</v>
      </c>
      <c r="B21" s="50" t="s">
        <v>250</v>
      </c>
      <c r="C21" s="51"/>
      <c r="D21" s="52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66"/>
    </row>
    <row r="22" spans="1:15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66"/>
    </row>
    <row r="23" spans="1:15">
      <c r="A23" s="49">
        <v>18</v>
      </c>
      <c r="B23" s="50" t="s">
        <v>251</v>
      </c>
      <c r="C23" s="51"/>
      <c r="D23" s="53">
        <v>828.22</v>
      </c>
      <c r="E23" s="53"/>
      <c r="F23" s="53"/>
      <c r="G23" s="54"/>
      <c r="H23" s="55"/>
      <c r="I23" s="67"/>
      <c r="J23" s="55"/>
      <c r="K23" s="55"/>
      <c r="L23" s="55"/>
      <c r="M23" s="55"/>
      <c r="N23" s="55"/>
      <c r="O23" s="68"/>
    </row>
    <row r="24" ht="31.5" customHeight="1" spans="1:15">
      <c r="A24" s="56" t="s">
        <v>252</v>
      </c>
      <c r="B24" s="57"/>
      <c r="C24" s="58"/>
      <c r="D24" s="59">
        <f>SUM(D6:D23)</f>
        <v>828.22</v>
      </c>
      <c r="E24" s="59">
        <f>SUM(E6:E23)</f>
        <v>0</v>
      </c>
      <c r="F24" s="59">
        <f>SUM(F6:F23)</f>
        <v>0</v>
      </c>
      <c r="G24" s="59">
        <f>SUM(G6:G23)</f>
        <v>0</v>
      </c>
      <c r="H24" s="59">
        <f t="shared" ref="H24:N24" si="0">SUM(H6:H23)</f>
        <v>0</v>
      </c>
      <c r="I24" s="59">
        <f t="shared" si="0"/>
        <v>0</v>
      </c>
      <c r="J24" s="59">
        <f t="shared" si="0"/>
        <v>0</v>
      </c>
      <c r="K24" s="59">
        <f t="shared" si="0"/>
        <v>0</v>
      </c>
      <c r="L24" s="59">
        <f t="shared" si="0"/>
        <v>0</v>
      </c>
      <c r="M24" s="59">
        <f t="shared" si="0"/>
        <v>0</v>
      </c>
      <c r="N24" s="59">
        <f t="shared" si="0"/>
        <v>0</v>
      </c>
      <c r="O24" s="68"/>
    </row>
    <row r="25" spans="3:14">
      <c r="C25" s="33" t="s">
        <v>253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3:4">
      <c r="C26" s="33" t="s">
        <v>207</v>
      </c>
      <c r="D26" s="34">
        <f>D24*0.97</f>
        <v>803.3734</v>
      </c>
    </row>
    <row r="27" spans="3:14">
      <c r="C27" s="33" t="s">
        <v>208</v>
      </c>
      <c r="D27" s="61">
        <f t="shared" ref="D27:D29" si="1">D26*0.97</f>
        <v>779.272198</v>
      </c>
      <c r="E27" s="61">
        <f t="shared" ref="E27:N27" si="2">E24*0.95</f>
        <v>0</v>
      </c>
      <c r="F27" s="61">
        <f t="shared" si="2"/>
        <v>0</v>
      </c>
      <c r="G27" s="61">
        <f t="shared" si="2"/>
        <v>0</v>
      </c>
      <c r="H27" s="61">
        <f t="shared" si="2"/>
        <v>0</v>
      </c>
      <c r="I27" s="61">
        <f t="shared" si="2"/>
        <v>0</v>
      </c>
      <c r="J27" s="61">
        <f t="shared" si="2"/>
        <v>0</v>
      </c>
      <c r="K27" s="61">
        <f t="shared" si="2"/>
        <v>0</v>
      </c>
      <c r="L27" s="61">
        <f t="shared" si="2"/>
        <v>0</v>
      </c>
      <c r="M27" s="61">
        <f t="shared" si="2"/>
        <v>0</v>
      </c>
      <c r="N27" s="61">
        <f t="shared" si="2"/>
        <v>0</v>
      </c>
    </row>
    <row r="28" spans="3:14">
      <c r="C28" s="33" t="s">
        <v>209</v>
      </c>
      <c r="D28" s="61">
        <f t="shared" si="1"/>
        <v>755.89403206</v>
      </c>
      <c r="E28" s="61">
        <f t="shared" ref="E28:N28" si="3">E27*0.95</f>
        <v>0</v>
      </c>
      <c r="F28" s="61">
        <f t="shared" si="3"/>
        <v>0</v>
      </c>
      <c r="G28" s="61">
        <f t="shared" si="3"/>
        <v>0</v>
      </c>
      <c r="H28" s="61">
        <f t="shared" si="3"/>
        <v>0</v>
      </c>
      <c r="I28" s="61">
        <f t="shared" si="3"/>
        <v>0</v>
      </c>
      <c r="J28" s="61">
        <f t="shared" si="3"/>
        <v>0</v>
      </c>
      <c r="K28" s="61">
        <f t="shared" si="3"/>
        <v>0</v>
      </c>
      <c r="L28" s="61">
        <f t="shared" si="3"/>
        <v>0</v>
      </c>
      <c r="M28" s="61">
        <f t="shared" si="3"/>
        <v>0</v>
      </c>
      <c r="N28" s="61">
        <f t="shared" si="3"/>
        <v>0</v>
      </c>
    </row>
    <row r="29" spans="3:4">
      <c r="C29" s="33" t="s">
        <v>210</v>
      </c>
      <c r="D29" s="61">
        <f t="shared" ref="D29:D31" si="4">D28*0.97</f>
        <v>733.2172110982</v>
      </c>
    </row>
    <row r="30" spans="3:4">
      <c r="C30" s="33" t="s">
        <v>211</v>
      </c>
      <c r="D30" s="61">
        <f t="shared" si="4"/>
        <v>711.220694765254</v>
      </c>
    </row>
    <row r="31" spans="3:4">
      <c r="C31" s="33" t="s">
        <v>226</v>
      </c>
      <c r="D31" s="61">
        <f t="shared" si="4"/>
        <v>689.884073922296</v>
      </c>
    </row>
  </sheetData>
  <mergeCells count="27">
    <mergeCell ref="A1:B1"/>
    <mergeCell ref="A2:D2"/>
    <mergeCell ref="E2:O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O3:O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254</v>
      </c>
      <c r="C1" s="25" t="s">
        <v>255</v>
      </c>
      <c r="D1" s="25" t="s">
        <v>256</v>
      </c>
    </row>
    <row r="2" ht="19.5" customHeight="1" spans="1:4">
      <c r="A2" s="25">
        <v>1</v>
      </c>
      <c r="B2" s="26" t="s">
        <v>257</v>
      </c>
      <c r="C2" s="27" t="s">
        <v>258</v>
      </c>
      <c r="D2" s="25"/>
    </row>
    <row r="3" ht="36" customHeight="1" spans="1:4">
      <c r="A3" s="25">
        <v>2</v>
      </c>
      <c r="B3" s="26" t="s">
        <v>259</v>
      </c>
      <c r="C3" s="28" t="s">
        <v>260</v>
      </c>
      <c r="D3" s="25" t="s">
        <v>261</v>
      </c>
    </row>
    <row r="4" ht="19.5" customHeight="1" spans="1:4">
      <c r="A4" s="25">
        <v>3</v>
      </c>
      <c r="B4" s="26" t="s">
        <v>262</v>
      </c>
      <c r="C4" s="27" t="s">
        <v>263</v>
      </c>
      <c r="D4" s="25"/>
    </row>
    <row r="5" ht="42.75" customHeight="1" spans="1:4">
      <c r="A5" s="25">
        <v>4</v>
      </c>
      <c r="B5" s="26" t="s">
        <v>264</v>
      </c>
      <c r="C5" s="27"/>
      <c r="D5" s="25"/>
    </row>
    <row r="6" ht="39" customHeight="1" spans="1:4">
      <c r="A6" s="25">
        <v>5</v>
      </c>
      <c r="B6" s="26" t="s">
        <v>265</v>
      </c>
      <c r="C6" s="27"/>
      <c r="D6" s="25"/>
    </row>
    <row r="7" ht="27.75" customHeight="1" spans="1:3">
      <c r="A7" s="25">
        <v>6</v>
      </c>
      <c r="B7" s="25" t="s">
        <v>266</v>
      </c>
      <c r="C7" s="28" t="s">
        <v>267</v>
      </c>
    </row>
    <row r="8" ht="36" customHeight="1" spans="1:4">
      <c r="A8" s="25">
        <v>7</v>
      </c>
      <c r="B8" s="26" t="s">
        <v>268</v>
      </c>
      <c r="C8" s="29" t="s">
        <v>269</v>
      </c>
      <c r="D8" s="25"/>
    </row>
    <row r="9" ht="34.5" customHeight="1" spans="1:4">
      <c r="A9" s="25">
        <v>8</v>
      </c>
      <c r="B9" s="25" t="s">
        <v>270</v>
      </c>
      <c r="C9" s="30">
        <v>0.003</v>
      </c>
      <c r="D9" s="25"/>
    </row>
    <row r="10" ht="34.5" customHeight="1" spans="1:4">
      <c r="A10" s="25">
        <v>9</v>
      </c>
      <c r="B10" s="25" t="s">
        <v>271</v>
      </c>
      <c r="C10" s="29" t="s">
        <v>272</v>
      </c>
      <c r="D10" s="25"/>
    </row>
    <row r="11" ht="34.5" customHeight="1" spans="1:4">
      <c r="A11" s="25">
        <v>10</v>
      </c>
      <c r="B11" s="25" t="s">
        <v>273</v>
      </c>
      <c r="C11" s="29"/>
      <c r="D11" s="25" t="s">
        <v>274</v>
      </c>
    </row>
    <row r="12" ht="34.5" customHeight="1" spans="1:4">
      <c r="A12" s="25">
        <v>11</v>
      </c>
      <c r="B12" s="25" t="s">
        <v>275</v>
      </c>
      <c r="C12" s="29"/>
      <c r="D12" s="25"/>
    </row>
    <row r="13" ht="24" customHeight="1" spans="1:4">
      <c r="A13" s="25">
        <v>12</v>
      </c>
      <c r="B13" s="26" t="s">
        <v>276</v>
      </c>
      <c r="C13" s="29" t="s">
        <v>277</v>
      </c>
      <c r="D13" s="25"/>
    </row>
    <row r="14" ht="24" customHeight="1" spans="1:4">
      <c r="A14" s="25">
        <v>13</v>
      </c>
      <c r="B14" s="26" t="s">
        <v>278</v>
      </c>
      <c r="C14" s="29" t="s">
        <v>279</v>
      </c>
      <c r="D14" s="25"/>
    </row>
    <row r="15" ht="24" customHeight="1" spans="1:4">
      <c r="A15" s="25">
        <v>14</v>
      </c>
      <c r="B15" s="26" t="s">
        <v>280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281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40"/>
  <sheetViews>
    <sheetView zoomScale="85" zoomScaleNormal="85" workbookViewId="0">
      <selection activeCell="I3" sqref="I3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282</v>
      </c>
      <c r="H1" s="4"/>
      <c r="I1" s="21" t="s">
        <v>159</v>
      </c>
    </row>
    <row r="2" ht="39" customHeight="1" spans="1:9">
      <c r="A2" s="5" t="s">
        <v>283</v>
      </c>
      <c r="B2" s="5"/>
      <c r="C2" s="6" t="s">
        <v>284</v>
      </c>
      <c r="D2" s="7"/>
      <c r="E2" s="7"/>
      <c r="F2" s="7"/>
      <c r="G2" s="7"/>
      <c r="H2" s="8"/>
      <c r="I2" s="3" t="s">
        <v>285</v>
      </c>
    </row>
    <row r="3" ht="34.5" customHeight="1" spans="1:9">
      <c r="A3" s="5"/>
      <c r="B3" s="5"/>
      <c r="C3" s="9" t="s">
        <v>286</v>
      </c>
      <c r="D3" s="9" t="s">
        <v>287</v>
      </c>
      <c r="E3" s="9" t="s">
        <v>288</v>
      </c>
      <c r="F3" s="10" t="s">
        <v>289</v>
      </c>
      <c r="G3" s="10" t="s">
        <v>290</v>
      </c>
      <c r="H3" s="10" t="s">
        <v>291</v>
      </c>
      <c r="I3" s="22">
        <f>销量!C8</f>
        <v>1160</v>
      </c>
    </row>
    <row r="4" ht="24" customHeight="1" spans="1:9">
      <c r="A4" s="11" t="s">
        <v>292</v>
      </c>
      <c r="B4" s="11"/>
      <c r="C4" s="12"/>
      <c r="D4" s="13"/>
      <c r="E4" s="14">
        <f>I3*I4</f>
        <v>49.996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293</v>
      </c>
      <c r="B5" s="11" t="s">
        <v>294</v>
      </c>
      <c r="C5" s="12"/>
      <c r="D5" s="13"/>
      <c r="E5" s="14">
        <f>$I$3*I5</f>
        <v>47.56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295</v>
      </c>
      <c r="C6" s="12"/>
      <c r="D6" s="13"/>
      <c r="E6" s="14">
        <f>$I$3*I6</f>
        <v>25.172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296</v>
      </c>
      <c r="B7" s="8"/>
      <c r="C7" s="16"/>
      <c r="D7" s="17"/>
      <c r="E7" s="14">
        <f t="shared" ref="E7:E11" si="0">$I$3*I7</f>
        <v>122.728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91</v>
      </c>
      <c r="B8" s="11"/>
      <c r="C8" s="12"/>
      <c r="D8" s="13"/>
      <c r="E8" s="14">
        <f t="shared" si="0"/>
        <v>39.44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297</v>
      </c>
      <c r="B9" s="11" t="s">
        <v>294</v>
      </c>
      <c r="C9" s="12"/>
      <c r="D9" s="13"/>
      <c r="E9" s="14">
        <f t="shared" si="0"/>
        <v>8.12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295</v>
      </c>
      <c r="C10" s="12"/>
      <c r="D10" s="13"/>
      <c r="E10" s="14">
        <f t="shared" si="0"/>
        <v>51.04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94</v>
      </c>
      <c r="B11" s="11"/>
      <c r="C11" s="12"/>
      <c r="D11" s="13"/>
      <c r="E11" s="14">
        <f t="shared" si="0"/>
        <v>34.8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282</v>
      </c>
      <c r="H13" s="4"/>
      <c r="I13" s="23" t="s">
        <v>298</v>
      </c>
    </row>
    <row r="14" ht="39" customHeight="1" spans="1:9">
      <c r="A14" s="5" t="s">
        <v>283</v>
      </c>
      <c r="B14" s="5"/>
      <c r="C14" s="6" t="s">
        <v>284</v>
      </c>
      <c r="D14" s="7"/>
      <c r="E14" s="7"/>
      <c r="F14" s="7"/>
      <c r="G14" s="7"/>
      <c r="H14" s="8"/>
      <c r="I14" s="3" t="s">
        <v>285</v>
      </c>
    </row>
    <row r="15" ht="34.5" customHeight="1" spans="1:9">
      <c r="A15" s="5"/>
      <c r="B15" s="5"/>
      <c r="C15" s="9" t="s">
        <v>286</v>
      </c>
      <c r="D15" s="9" t="s">
        <v>287</v>
      </c>
      <c r="E15" s="9" t="s">
        <v>288</v>
      </c>
      <c r="F15" s="10" t="s">
        <v>289</v>
      </c>
      <c r="G15" s="10" t="s">
        <v>290</v>
      </c>
      <c r="H15" s="10" t="s">
        <v>291</v>
      </c>
      <c r="I15" s="22">
        <f>销量!D8</f>
        <v>0</v>
      </c>
    </row>
    <row r="16" ht="24" customHeight="1" spans="1:9">
      <c r="A16" s="11" t="s">
        <v>292</v>
      </c>
      <c r="B16" s="11"/>
      <c r="C16" s="12"/>
      <c r="D16" s="13"/>
      <c r="E16" s="14">
        <f>I15*I16</f>
        <v>0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293</v>
      </c>
      <c r="B17" s="11" t="s">
        <v>294</v>
      </c>
      <c r="C17" s="12"/>
      <c r="D17" s="13"/>
      <c r="E17" s="14">
        <f>$I$15*I17</f>
        <v>0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295</v>
      </c>
      <c r="C18" s="12"/>
      <c r="D18" s="13"/>
      <c r="E18" s="14">
        <f t="shared" ref="E18:E23" si="1">$I$15*I18</f>
        <v>0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296</v>
      </c>
      <c r="B19" s="8"/>
      <c r="C19" s="16"/>
      <c r="D19" s="17"/>
      <c r="E19" s="14">
        <f t="shared" si="1"/>
        <v>0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91</v>
      </c>
      <c r="B20" s="11"/>
      <c r="C20" s="12"/>
      <c r="D20" s="13"/>
      <c r="E20" s="14">
        <f t="shared" si="1"/>
        <v>0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297</v>
      </c>
      <c r="B21" s="11" t="s">
        <v>294</v>
      </c>
      <c r="C21" s="12"/>
      <c r="D21" s="13"/>
      <c r="E21" s="14">
        <f t="shared" si="1"/>
        <v>0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295</v>
      </c>
      <c r="C22" s="12"/>
      <c r="D22" s="13"/>
      <c r="E22" s="14">
        <f t="shared" si="1"/>
        <v>0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94</v>
      </c>
      <c r="B23" s="11"/>
      <c r="C23" s="12"/>
      <c r="D23" s="13"/>
      <c r="E23" s="14">
        <f t="shared" si="1"/>
        <v>0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282</v>
      </c>
      <c r="H26" s="4"/>
      <c r="I26" s="23" t="s">
        <v>299</v>
      </c>
    </row>
    <row r="27" ht="39" customHeight="1" spans="1:9">
      <c r="A27" s="5" t="s">
        <v>283</v>
      </c>
      <c r="B27" s="5"/>
      <c r="C27" s="6" t="s">
        <v>284</v>
      </c>
      <c r="D27" s="7"/>
      <c r="E27" s="7"/>
      <c r="F27" s="7"/>
      <c r="G27" s="7"/>
      <c r="H27" s="8"/>
      <c r="I27" s="3" t="s">
        <v>285</v>
      </c>
    </row>
    <row r="28" ht="34.5" customHeight="1" spans="1:9">
      <c r="A28" s="5"/>
      <c r="B28" s="5"/>
      <c r="C28" s="9" t="s">
        <v>286</v>
      </c>
      <c r="D28" s="9" t="s">
        <v>287</v>
      </c>
      <c r="E28" s="9" t="s">
        <v>288</v>
      </c>
      <c r="F28" s="10" t="s">
        <v>289</v>
      </c>
      <c r="G28" s="10" t="s">
        <v>290</v>
      </c>
      <c r="H28" s="10" t="s">
        <v>291</v>
      </c>
      <c r="I28" s="22">
        <f>销量!E8</f>
        <v>0</v>
      </c>
    </row>
    <row r="29" ht="24" customHeight="1" spans="1:9">
      <c r="A29" s="11" t="s">
        <v>292</v>
      </c>
      <c r="B29" s="11"/>
      <c r="C29" s="12"/>
      <c r="D29" s="13"/>
      <c r="E29" s="14">
        <f>I28*I29</f>
        <v>0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293</v>
      </c>
      <c r="B30" s="11" t="s">
        <v>294</v>
      </c>
      <c r="C30" s="12"/>
      <c r="D30" s="13"/>
      <c r="E30" s="14">
        <f t="shared" ref="E30:E36" si="2">$I$28*I30</f>
        <v>0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295</v>
      </c>
      <c r="C31" s="12"/>
      <c r="D31" s="13"/>
      <c r="E31" s="14">
        <f t="shared" si="2"/>
        <v>0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296</v>
      </c>
      <c r="B32" s="8"/>
      <c r="C32" s="16"/>
      <c r="D32" s="17"/>
      <c r="E32" s="14">
        <f t="shared" si="2"/>
        <v>0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91</v>
      </c>
      <c r="B33" s="11"/>
      <c r="C33" s="12"/>
      <c r="D33" s="13"/>
      <c r="E33" s="14">
        <f t="shared" si="2"/>
        <v>0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297</v>
      </c>
      <c r="B34" s="11" t="s">
        <v>294</v>
      </c>
      <c r="C34" s="12"/>
      <c r="D34" s="13"/>
      <c r="E34" s="14">
        <f t="shared" si="2"/>
        <v>0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295</v>
      </c>
      <c r="C35" s="12"/>
      <c r="D35" s="13"/>
      <c r="E35" s="14">
        <f t="shared" si="2"/>
        <v>0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94</v>
      </c>
      <c r="B36" s="11"/>
      <c r="C36" s="12"/>
      <c r="D36" s="13"/>
      <c r="E36" s="14">
        <f t="shared" si="2"/>
        <v>0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282</v>
      </c>
      <c r="H39" s="4"/>
      <c r="I39" s="23" t="s">
        <v>300</v>
      </c>
    </row>
    <row r="40" ht="39" customHeight="1" spans="1:9">
      <c r="A40" s="5" t="s">
        <v>283</v>
      </c>
      <c r="B40" s="5"/>
      <c r="C40" s="6" t="s">
        <v>284</v>
      </c>
      <c r="D40" s="7"/>
      <c r="E40" s="7"/>
      <c r="F40" s="7"/>
      <c r="G40" s="7"/>
      <c r="H40" s="8"/>
      <c r="I40" s="3" t="s">
        <v>285</v>
      </c>
    </row>
    <row r="41" ht="34.5" customHeight="1" spans="1:9">
      <c r="A41" s="5"/>
      <c r="B41" s="5"/>
      <c r="C41" s="9" t="s">
        <v>286</v>
      </c>
      <c r="D41" s="9" t="s">
        <v>287</v>
      </c>
      <c r="E41" s="9" t="s">
        <v>288</v>
      </c>
      <c r="F41" s="10" t="s">
        <v>289</v>
      </c>
      <c r="G41" s="10" t="s">
        <v>290</v>
      </c>
      <c r="H41" s="10" t="s">
        <v>291</v>
      </c>
      <c r="I41" s="22">
        <f>销量!F8</f>
        <v>0</v>
      </c>
    </row>
    <row r="42" ht="24" customHeight="1" spans="1:9">
      <c r="A42" s="11" t="s">
        <v>292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293</v>
      </c>
      <c r="B43" s="11" t="s">
        <v>294</v>
      </c>
      <c r="C43" s="12"/>
      <c r="D43" s="13"/>
      <c r="E43" s="14">
        <f>$I$28*I43</f>
        <v>0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295</v>
      </c>
      <c r="C44" s="12"/>
      <c r="D44" s="13"/>
      <c r="E44" s="14">
        <f t="shared" ref="E44:E49" si="3">$I$28*I44</f>
        <v>0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296</v>
      </c>
      <c r="B45" s="8"/>
      <c r="C45" s="16"/>
      <c r="D45" s="17"/>
      <c r="E45" s="14">
        <f t="shared" si="3"/>
        <v>0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91</v>
      </c>
      <c r="B46" s="11"/>
      <c r="C46" s="12"/>
      <c r="D46" s="13"/>
      <c r="E46" s="14">
        <f t="shared" si="3"/>
        <v>0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297</v>
      </c>
      <c r="B47" s="11" t="s">
        <v>294</v>
      </c>
      <c r="C47" s="12"/>
      <c r="D47" s="13"/>
      <c r="E47" s="14">
        <f t="shared" si="3"/>
        <v>0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295</v>
      </c>
      <c r="C48" s="12"/>
      <c r="D48" s="13"/>
      <c r="E48" s="14">
        <f t="shared" si="3"/>
        <v>0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94</v>
      </c>
      <c r="B49" s="11"/>
      <c r="C49" s="12"/>
      <c r="D49" s="13"/>
      <c r="E49" s="14">
        <f t="shared" si="3"/>
        <v>0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282</v>
      </c>
      <c r="H52" s="4"/>
      <c r="I52" s="23" t="s">
        <v>301</v>
      </c>
    </row>
    <row r="53" ht="39" customHeight="1" spans="1:9">
      <c r="A53" s="5" t="s">
        <v>283</v>
      </c>
      <c r="B53" s="5"/>
      <c r="C53" s="6" t="s">
        <v>284</v>
      </c>
      <c r="D53" s="7"/>
      <c r="E53" s="7"/>
      <c r="F53" s="7"/>
      <c r="G53" s="7"/>
      <c r="H53" s="8"/>
      <c r="I53" s="3" t="s">
        <v>285</v>
      </c>
    </row>
    <row r="54" ht="34.5" customHeight="1" spans="1:9">
      <c r="A54" s="5"/>
      <c r="B54" s="5"/>
      <c r="C54" s="9" t="s">
        <v>286</v>
      </c>
      <c r="D54" s="9" t="s">
        <v>287</v>
      </c>
      <c r="E54" s="9" t="s">
        <v>288</v>
      </c>
      <c r="F54" s="10" t="s">
        <v>289</v>
      </c>
      <c r="G54" s="10" t="s">
        <v>290</v>
      </c>
      <c r="H54" s="10" t="s">
        <v>291</v>
      </c>
      <c r="I54" s="22" t="e">
        <f>销量!#REF!</f>
        <v>#REF!</v>
      </c>
    </row>
    <row r="55" ht="24" customHeight="1" spans="1:9">
      <c r="A55" s="11" t="s">
        <v>292</v>
      </c>
      <c r="B55" s="11"/>
      <c r="C55" s="12"/>
      <c r="D55" s="13"/>
      <c r="E55" s="14" t="e">
        <f>I54*I55</f>
        <v>#REF!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293</v>
      </c>
      <c r="B56" s="11" t="s">
        <v>294</v>
      </c>
      <c r="C56" s="12"/>
      <c r="D56" s="13"/>
      <c r="E56" s="14" t="e">
        <f>$I$54*I56</f>
        <v>#REF!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295</v>
      </c>
      <c r="C57" s="12"/>
      <c r="D57" s="13"/>
      <c r="E57" s="14" t="e">
        <f t="shared" ref="E57:E62" si="4">$I$54*I57</f>
        <v>#REF!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296</v>
      </c>
      <c r="B58" s="8"/>
      <c r="C58" s="16"/>
      <c r="D58" s="17"/>
      <c r="E58" s="14" t="e">
        <f t="shared" si="4"/>
        <v>#REF!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91</v>
      </c>
      <c r="B59" s="11"/>
      <c r="C59" s="12"/>
      <c r="D59" s="13"/>
      <c r="E59" s="14" t="e">
        <f t="shared" si="4"/>
        <v>#REF!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297</v>
      </c>
      <c r="B60" s="11" t="s">
        <v>294</v>
      </c>
      <c r="C60" s="12"/>
      <c r="D60" s="13"/>
      <c r="E60" s="14" t="e">
        <f t="shared" si="4"/>
        <v>#REF!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295</v>
      </c>
      <c r="C61" s="12"/>
      <c r="D61" s="13"/>
      <c r="E61" s="14" t="e">
        <f t="shared" si="4"/>
        <v>#REF!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94</v>
      </c>
      <c r="B62" s="11"/>
      <c r="C62" s="12"/>
      <c r="D62" s="13"/>
      <c r="E62" s="14" t="e">
        <f t="shared" si="4"/>
        <v>#REF!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282</v>
      </c>
      <c r="H65" s="4"/>
      <c r="I65" s="23" t="s">
        <v>302</v>
      </c>
    </row>
    <row r="66" ht="39" customHeight="1" spans="1:9">
      <c r="A66" s="5" t="s">
        <v>283</v>
      </c>
      <c r="B66" s="5"/>
      <c r="C66" s="6" t="s">
        <v>284</v>
      </c>
      <c r="D66" s="7"/>
      <c r="E66" s="7"/>
      <c r="F66" s="7"/>
      <c r="G66" s="7"/>
      <c r="H66" s="8"/>
      <c r="I66" s="3" t="s">
        <v>285</v>
      </c>
    </row>
    <row r="67" ht="34.5" customHeight="1" spans="1:9">
      <c r="A67" s="5"/>
      <c r="B67" s="5"/>
      <c r="C67" s="9" t="s">
        <v>286</v>
      </c>
      <c r="D67" s="9" t="s">
        <v>287</v>
      </c>
      <c r="E67" s="9" t="s">
        <v>288</v>
      </c>
      <c r="F67" s="10" t="s">
        <v>289</v>
      </c>
      <c r="G67" s="10" t="s">
        <v>290</v>
      </c>
      <c r="H67" s="10" t="s">
        <v>291</v>
      </c>
      <c r="I67" s="22" t="e">
        <f>销量!#REF!</f>
        <v>#REF!</v>
      </c>
    </row>
    <row r="68" ht="24" customHeight="1" spans="1:9">
      <c r="A68" s="11" t="s">
        <v>292</v>
      </c>
      <c r="B68" s="11"/>
      <c r="C68" s="12"/>
      <c r="D68" s="13"/>
      <c r="E68" s="14" t="e">
        <f>I67*I68</f>
        <v>#REF!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293</v>
      </c>
      <c r="B69" s="11" t="s">
        <v>294</v>
      </c>
      <c r="C69" s="12"/>
      <c r="D69" s="13"/>
      <c r="E69" s="14" t="e">
        <f t="shared" ref="E69:E75" si="5">$I$67*I69</f>
        <v>#REF!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295</v>
      </c>
      <c r="C70" s="12"/>
      <c r="D70" s="13"/>
      <c r="E70" s="14" t="e">
        <f t="shared" si="5"/>
        <v>#REF!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296</v>
      </c>
      <c r="B71" s="8"/>
      <c r="C71" s="16"/>
      <c r="D71" s="17"/>
      <c r="E71" s="14" t="e">
        <f t="shared" si="5"/>
        <v>#REF!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91</v>
      </c>
      <c r="B72" s="11"/>
      <c r="C72" s="12"/>
      <c r="D72" s="13"/>
      <c r="E72" s="14" t="e">
        <f t="shared" si="5"/>
        <v>#REF!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297</v>
      </c>
      <c r="B73" s="11" t="s">
        <v>294</v>
      </c>
      <c r="C73" s="12"/>
      <c r="D73" s="13"/>
      <c r="E73" s="14" t="e">
        <f t="shared" si="5"/>
        <v>#REF!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295</v>
      </c>
      <c r="C74" s="12"/>
      <c r="D74" s="13"/>
      <c r="E74" s="14" t="e">
        <f t="shared" si="5"/>
        <v>#REF!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94</v>
      </c>
      <c r="B75" s="11"/>
      <c r="C75" s="12"/>
      <c r="D75" s="13"/>
      <c r="E75" s="14" t="e">
        <f t="shared" si="5"/>
        <v>#REF!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282</v>
      </c>
      <c r="H78" s="4"/>
      <c r="I78" s="23" t="s">
        <v>303</v>
      </c>
    </row>
    <row r="79" ht="39" customHeight="1" spans="1:9">
      <c r="A79" s="5" t="s">
        <v>283</v>
      </c>
      <c r="B79" s="5"/>
      <c r="C79" s="6" t="s">
        <v>284</v>
      </c>
      <c r="D79" s="7"/>
      <c r="E79" s="7"/>
      <c r="F79" s="7"/>
      <c r="G79" s="7"/>
      <c r="H79" s="8"/>
      <c r="I79" s="3" t="s">
        <v>285</v>
      </c>
    </row>
    <row r="80" ht="34.5" customHeight="1" spans="1:9">
      <c r="A80" s="5"/>
      <c r="B80" s="5"/>
      <c r="C80" s="9" t="s">
        <v>286</v>
      </c>
      <c r="D80" s="9" t="s">
        <v>287</v>
      </c>
      <c r="E80" s="9" t="s">
        <v>288</v>
      </c>
      <c r="F80" s="10" t="s">
        <v>289</v>
      </c>
      <c r="G80" s="10" t="s">
        <v>290</v>
      </c>
      <c r="H80" s="10" t="s">
        <v>291</v>
      </c>
      <c r="I80" s="22" t="e">
        <f>销量!#REF!</f>
        <v>#REF!</v>
      </c>
    </row>
    <row r="81" ht="24" customHeight="1" spans="1:9">
      <c r="A81" s="11" t="s">
        <v>292</v>
      </c>
      <c r="B81" s="11"/>
      <c r="C81" s="12"/>
      <c r="D81" s="13"/>
      <c r="E81" s="14" t="e">
        <f>I80*I81</f>
        <v>#REF!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293</v>
      </c>
      <c r="B82" s="11" t="s">
        <v>294</v>
      </c>
      <c r="C82" s="12"/>
      <c r="D82" s="13"/>
      <c r="E82" s="14" t="e">
        <f t="shared" ref="E82:E88" si="6">$I$80*I82</f>
        <v>#REF!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295</v>
      </c>
      <c r="C83" s="12"/>
      <c r="D83" s="13"/>
      <c r="E83" s="14" t="e">
        <f t="shared" si="6"/>
        <v>#REF!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296</v>
      </c>
      <c r="B84" s="8"/>
      <c r="C84" s="16"/>
      <c r="D84" s="17"/>
      <c r="E84" s="14" t="e">
        <f t="shared" si="6"/>
        <v>#REF!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91</v>
      </c>
      <c r="B85" s="11"/>
      <c r="C85" s="12"/>
      <c r="D85" s="13"/>
      <c r="E85" s="14" t="e">
        <f t="shared" si="6"/>
        <v>#REF!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297</v>
      </c>
      <c r="B86" s="11" t="s">
        <v>294</v>
      </c>
      <c r="C86" s="12"/>
      <c r="D86" s="13"/>
      <c r="E86" s="14" t="e">
        <f t="shared" si="6"/>
        <v>#REF!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295</v>
      </c>
      <c r="C87" s="12"/>
      <c r="D87" s="13"/>
      <c r="E87" s="14" t="e">
        <f t="shared" si="6"/>
        <v>#REF!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94</v>
      </c>
      <c r="B88" s="11"/>
      <c r="C88" s="12"/>
      <c r="D88" s="13"/>
      <c r="E88" s="14" t="e">
        <f t="shared" si="6"/>
        <v>#REF!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282</v>
      </c>
      <c r="H91" s="4"/>
      <c r="I91" s="23" t="s">
        <v>304</v>
      </c>
    </row>
    <row r="92" ht="39" customHeight="1" spans="1:9">
      <c r="A92" s="5" t="s">
        <v>283</v>
      </c>
      <c r="B92" s="5"/>
      <c r="C92" s="6" t="s">
        <v>284</v>
      </c>
      <c r="D92" s="7"/>
      <c r="E92" s="7"/>
      <c r="F92" s="7"/>
      <c r="G92" s="7"/>
      <c r="H92" s="8"/>
      <c r="I92" s="3" t="s">
        <v>285</v>
      </c>
    </row>
    <row r="93" ht="34.5" customHeight="1" spans="1:9">
      <c r="A93" s="5"/>
      <c r="B93" s="5"/>
      <c r="C93" s="9" t="s">
        <v>286</v>
      </c>
      <c r="D93" s="9" t="s">
        <v>287</v>
      </c>
      <c r="E93" s="9" t="s">
        <v>288</v>
      </c>
      <c r="F93" s="10" t="s">
        <v>289</v>
      </c>
      <c r="G93" s="10" t="s">
        <v>290</v>
      </c>
      <c r="H93" s="10" t="s">
        <v>291</v>
      </c>
      <c r="I93" s="22" t="e">
        <f>销量!#REF!</f>
        <v>#REF!</v>
      </c>
    </row>
    <row r="94" ht="24" customHeight="1" spans="1:9">
      <c r="A94" s="11" t="s">
        <v>292</v>
      </c>
      <c r="B94" s="11"/>
      <c r="C94" s="12"/>
      <c r="D94" s="13"/>
      <c r="E94" s="14" t="e">
        <f>I93*I94</f>
        <v>#REF!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293</v>
      </c>
      <c r="B95" s="11" t="s">
        <v>294</v>
      </c>
      <c r="C95" s="12"/>
      <c r="D95" s="13"/>
      <c r="E95" s="14" t="e">
        <f>$I$93*I95</f>
        <v>#REF!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295</v>
      </c>
      <c r="C96" s="12"/>
      <c r="D96" s="13"/>
      <c r="E96" s="14" t="e">
        <f t="shared" ref="E96:E101" si="7">$I$93*I96</f>
        <v>#REF!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296</v>
      </c>
      <c r="B97" s="8"/>
      <c r="C97" s="16"/>
      <c r="D97" s="17"/>
      <c r="E97" s="14" t="e">
        <f t="shared" si="7"/>
        <v>#REF!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91</v>
      </c>
      <c r="B98" s="11"/>
      <c r="C98" s="12"/>
      <c r="D98" s="13"/>
      <c r="E98" s="14" t="e">
        <f t="shared" si="7"/>
        <v>#REF!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297</v>
      </c>
      <c r="B99" s="11" t="s">
        <v>294</v>
      </c>
      <c r="C99" s="12"/>
      <c r="D99" s="13"/>
      <c r="E99" s="14" t="e">
        <f t="shared" si="7"/>
        <v>#REF!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295</v>
      </c>
      <c r="C100" s="12"/>
      <c r="D100" s="13"/>
      <c r="E100" s="14" t="e">
        <f t="shared" si="7"/>
        <v>#REF!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94</v>
      </c>
      <c r="B101" s="11"/>
      <c r="C101" s="12"/>
      <c r="D101" s="13"/>
      <c r="E101" s="14" t="e">
        <f t="shared" si="7"/>
        <v>#REF!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282</v>
      </c>
      <c r="H104" s="4"/>
      <c r="I104" s="23" t="s">
        <v>305</v>
      </c>
    </row>
    <row r="105" ht="39" customHeight="1" spans="1:9">
      <c r="A105" s="5" t="s">
        <v>283</v>
      </c>
      <c r="B105" s="5"/>
      <c r="C105" s="6" t="s">
        <v>284</v>
      </c>
      <c r="D105" s="7"/>
      <c r="E105" s="7"/>
      <c r="F105" s="7"/>
      <c r="G105" s="7"/>
      <c r="H105" s="8"/>
      <c r="I105" s="3" t="s">
        <v>285</v>
      </c>
    </row>
    <row r="106" ht="34.5" customHeight="1" spans="1:9">
      <c r="A106" s="5"/>
      <c r="B106" s="5"/>
      <c r="C106" s="9" t="s">
        <v>286</v>
      </c>
      <c r="D106" s="9" t="s">
        <v>287</v>
      </c>
      <c r="E106" s="9" t="s">
        <v>288</v>
      </c>
      <c r="F106" s="10" t="s">
        <v>289</v>
      </c>
      <c r="G106" s="10" t="s">
        <v>290</v>
      </c>
      <c r="H106" s="10" t="s">
        <v>291</v>
      </c>
      <c r="I106" s="22" t="e">
        <f>销量!#REF!</f>
        <v>#REF!</v>
      </c>
    </row>
    <row r="107" ht="24" customHeight="1" spans="1:9">
      <c r="A107" s="11" t="s">
        <v>292</v>
      </c>
      <c r="B107" s="11"/>
      <c r="C107" s="12"/>
      <c r="D107" s="13"/>
      <c r="E107" s="14" t="e">
        <f>I106*I107</f>
        <v>#REF!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293</v>
      </c>
      <c r="B108" s="11" t="s">
        <v>294</v>
      </c>
      <c r="C108" s="12"/>
      <c r="D108" s="13"/>
      <c r="E108" s="14" t="e">
        <f t="shared" ref="E108:E114" si="8">$I$106*I108</f>
        <v>#REF!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295</v>
      </c>
      <c r="C109" s="12"/>
      <c r="D109" s="13"/>
      <c r="E109" s="14" t="e">
        <f t="shared" si="8"/>
        <v>#REF!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296</v>
      </c>
      <c r="B110" s="8"/>
      <c r="C110" s="16"/>
      <c r="D110" s="17"/>
      <c r="E110" s="14" t="e">
        <f t="shared" si="8"/>
        <v>#REF!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91</v>
      </c>
      <c r="B111" s="11"/>
      <c r="C111" s="12"/>
      <c r="D111" s="13"/>
      <c r="E111" s="14" t="e">
        <f t="shared" si="8"/>
        <v>#REF!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297</v>
      </c>
      <c r="B112" s="11" t="s">
        <v>294</v>
      </c>
      <c r="C112" s="12"/>
      <c r="D112" s="13"/>
      <c r="E112" s="14" t="e">
        <f t="shared" si="8"/>
        <v>#REF!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295</v>
      </c>
      <c r="C113" s="12"/>
      <c r="D113" s="13"/>
      <c r="E113" s="14" t="e">
        <f t="shared" si="8"/>
        <v>#REF!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94</v>
      </c>
      <c r="B114" s="11"/>
      <c r="C114" s="12"/>
      <c r="D114" s="13"/>
      <c r="E114" s="14" t="e">
        <f t="shared" si="8"/>
        <v>#REF!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282</v>
      </c>
      <c r="H117" s="4"/>
      <c r="I117" s="23" t="s">
        <v>306</v>
      </c>
    </row>
    <row r="118" ht="39" customHeight="1" spans="1:9">
      <c r="A118" s="5" t="s">
        <v>283</v>
      </c>
      <c r="B118" s="5"/>
      <c r="C118" s="6" t="s">
        <v>284</v>
      </c>
      <c r="D118" s="7"/>
      <c r="E118" s="7"/>
      <c r="F118" s="7"/>
      <c r="G118" s="7"/>
      <c r="H118" s="8"/>
      <c r="I118" s="3" t="s">
        <v>285</v>
      </c>
    </row>
    <row r="119" ht="34.5" customHeight="1" spans="1:9">
      <c r="A119" s="5"/>
      <c r="B119" s="5"/>
      <c r="C119" s="9" t="s">
        <v>286</v>
      </c>
      <c r="D119" s="9" t="s">
        <v>287</v>
      </c>
      <c r="E119" s="9" t="s">
        <v>288</v>
      </c>
      <c r="F119" s="10" t="s">
        <v>289</v>
      </c>
      <c r="G119" s="10" t="s">
        <v>290</v>
      </c>
      <c r="H119" s="10" t="s">
        <v>291</v>
      </c>
      <c r="I119" s="22" t="e">
        <f>销量!#REF!</f>
        <v>#REF!</v>
      </c>
    </row>
    <row r="120" ht="24" customHeight="1" spans="1:9">
      <c r="A120" s="11" t="s">
        <v>292</v>
      </c>
      <c r="B120" s="11"/>
      <c r="C120" s="12"/>
      <c r="D120" s="13"/>
      <c r="E120" s="14" t="e">
        <f>I119*I120</f>
        <v>#REF!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293</v>
      </c>
      <c r="B121" s="11" t="s">
        <v>294</v>
      </c>
      <c r="C121" s="12"/>
      <c r="D121" s="13"/>
      <c r="E121" s="14" t="e">
        <f>$I$119*I121</f>
        <v>#REF!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295</v>
      </c>
      <c r="C122" s="12"/>
      <c r="D122" s="13"/>
      <c r="E122" s="14" t="e">
        <f t="shared" ref="E122:E127" si="9">$I$119*I122</f>
        <v>#REF!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296</v>
      </c>
      <c r="B123" s="8"/>
      <c r="C123" s="16"/>
      <c r="D123" s="17"/>
      <c r="E123" s="14" t="e">
        <f t="shared" si="9"/>
        <v>#REF!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91</v>
      </c>
      <c r="B124" s="11"/>
      <c r="C124" s="12"/>
      <c r="D124" s="13"/>
      <c r="E124" s="14" t="e">
        <f t="shared" si="9"/>
        <v>#REF!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297</v>
      </c>
      <c r="B125" s="11" t="s">
        <v>294</v>
      </c>
      <c r="C125" s="12"/>
      <c r="D125" s="13"/>
      <c r="E125" s="14" t="e">
        <f t="shared" si="9"/>
        <v>#REF!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295</v>
      </c>
      <c r="C126" s="12"/>
      <c r="D126" s="13"/>
      <c r="E126" s="14" t="e">
        <f t="shared" si="9"/>
        <v>#REF!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94</v>
      </c>
      <c r="B127" s="11"/>
      <c r="C127" s="12"/>
      <c r="D127" s="13"/>
      <c r="E127" s="14" t="e">
        <f t="shared" si="9"/>
        <v>#REF!</v>
      </c>
      <c r="F127" s="14"/>
      <c r="G127" s="14"/>
      <c r="H127" s="15">
        <v>0.011</v>
      </c>
      <c r="I127" s="3">
        <v>0.03</v>
      </c>
    </row>
    <row r="130" s="1" customFormat="1" ht="18.75" customHeight="1" spans="7:9">
      <c r="G130" s="4" t="s">
        <v>282</v>
      </c>
      <c r="H130" s="4"/>
      <c r="I130" s="23" t="s">
        <v>307</v>
      </c>
    </row>
    <row r="131" ht="39" customHeight="1" spans="1:9">
      <c r="A131" s="5" t="s">
        <v>283</v>
      </c>
      <c r="B131" s="5"/>
      <c r="C131" s="6" t="s">
        <v>284</v>
      </c>
      <c r="D131" s="7"/>
      <c r="E131" s="7"/>
      <c r="F131" s="7"/>
      <c r="G131" s="7"/>
      <c r="H131" s="8"/>
      <c r="I131" s="3" t="s">
        <v>285</v>
      </c>
    </row>
    <row r="132" ht="34.5" customHeight="1" spans="1:9">
      <c r="A132" s="5"/>
      <c r="B132" s="5"/>
      <c r="C132" s="9" t="s">
        <v>286</v>
      </c>
      <c r="D132" s="9" t="s">
        <v>287</v>
      </c>
      <c r="E132" s="9" t="s">
        <v>288</v>
      </c>
      <c r="F132" s="10" t="s">
        <v>289</v>
      </c>
      <c r="G132" s="10" t="s">
        <v>290</v>
      </c>
      <c r="H132" s="10" t="s">
        <v>291</v>
      </c>
      <c r="I132" s="22" t="e">
        <f>销量!#REF!</f>
        <v>#REF!</v>
      </c>
    </row>
    <row r="133" ht="24" customHeight="1" spans="1:9">
      <c r="A133" s="11" t="s">
        <v>292</v>
      </c>
      <c r="B133" s="11"/>
      <c r="C133" s="12"/>
      <c r="D133" s="13"/>
      <c r="E133" s="14" t="e">
        <f>I132*I133</f>
        <v>#REF!</v>
      </c>
      <c r="F133" s="14"/>
      <c r="G133" s="14"/>
      <c r="H133" s="15">
        <v>0.0448</v>
      </c>
      <c r="I133" s="3">
        <v>0.0431</v>
      </c>
    </row>
    <row r="134" ht="24" customHeight="1" spans="1:9">
      <c r="A134" s="11" t="s">
        <v>293</v>
      </c>
      <c r="B134" s="11" t="s">
        <v>294</v>
      </c>
      <c r="C134" s="12"/>
      <c r="D134" s="13"/>
      <c r="E134" s="14" t="e">
        <f>$I$132*I134</f>
        <v>#REF!</v>
      </c>
      <c r="F134" s="14"/>
      <c r="G134" s="14"/>
      <c r="H134" s="15">
        <v>0.0404</v>
      </c>
      <c r="I134" s="3">
        <v>0.041</v>
      </c>
    </row>
    <row r="135" ht="24" customHeight="1" spans="1:9">
      <c r="A135" s="11"/>
      <c r="B135" s="11" t="s">
        <v>295</v>
      </c>
      <c r="C135" s="12"/>
      <c r="D135" s="13"/>
      <c r="E135" s="14" t="e">
        <f t="shared" ref="E135:E140" si="10">$I$132*I135</f>
        <v>#REF!</v>
      </c>
      <c r="F135" s="14"/>
      <c r="G135" s="14"/>
      <c r="H135" s="15">
        <v>0.0166</v>
      </c>
      <c r="I135" s="3">
        <v>0.0217</v>
      </c>
    </row>
    <row r="136" ht="24" customHeight="1" spans="1:9">
      <c r="A136" s="6" t="s">
        <v>296</v>
      </c>
      <c r="B136" s="8"/>
      <c r="C136" s="16"/>
      <c r="D136" s="17"/>
      <c r="E136" s="14" t="e">
        <f t="shared" si="10"/>
        <v>#REF!</v>
      </c>
      <c r="F136" s="14"/>
      <c r="G136" s="14"/>
      <c r="H136" s="18">
        <f>SUM(H133:H135)</f>
        <v>0.1018</v>
      </c>
      <c r="I136" s="3">
        <f>SUM(I133:I135)</f>
        <v>0.1058</v>
      </c>
    </row>
    <row r="137" ht="24" customHeight="1" spans="1:9">
      <c r="A137" s="11" t="s">
        <v>91</v>
      </c>
      <c r="B137" s="11"/>
      <c r="C137" s="12"/>
      <c r="D137" s="13"/>
      <c r="E137" s="14" t="e">
        <f t="shared" si="10"/>
        <v>#REF!</v>
      </c>
      <c r="F137" s="14"/>
      <c r="G137" s="14"/>
      <c r="H137" s="15">
        <f>1.97%+0.75%</f>
        <v>0.0272</v>
      </c>
      <c r="I137" s="3">
        <v>0.034</v>
      </c>
    </row>
    <row r="138" ht="24" customHeight="1" spans="1:9">
      <c r="A138" s="19" t="s">
        <v>297</v>
      </c>
      <c r="B138" s="11" t="s">
        <v>294</v>
      </c>
      <c r="C138" s="12"/>
      <c r="D138" s="13"/>
      <c r="E138" s="14" t="e">
        <f t="shared" si="10"/>
        <v>#REF!</v>
      </c>
      <c r="F138" s="14"/>
      <c r="G138" s="14"/>
      <c r="H138" s="15">
        <v>0.0053</v>
      </c>
      <c r="I138" s="3">
        <v>0.007</v>
      </c>
    </row>
    <row r="139" ht="24" customHeight="1" spans="1:9">
      <c r="A139" s="20"/>
      <c r="B139" s="11" t="s">
        <v>295</v>
      </c>
      <c r="C139" s="12"/>
      <c r="D139" s="13"/>
      <c r="E139" s="14" t="e">
        <f t="shared" si="10"/>
        <v>#REF!</v>
      </c>
      <c r="F139" s="14"/>
      <c r="G139" s="14"/>
      <c r="H139" s="15">
        <v>0.0341</v>
      </c>
      <c r="I139" s="3">
        <f>2.8%+1.6%</f>
        <v>0.044</v>
      </c>
    </row>
    <row r="140" ht="24" customHeight="1" spans="1:9">
      <c r="A140" s="11" t="s">
        <v>94</v>
      </c>
      <c r="B140" s="11"/>
      <c r="C140" s="12"/>
      <c r="D140" s="13"/>
      <c r="E140" s="14" t="e">
        <f t="shared" si="10"/>
        <v>#REF!</v>
      </c>
      <c r="F140" s="14"/>
      <c r="G140" s="14"/>
      <c r="H140" s="15">
        <v>0.011</v>
      </c>
      <c r="I140" s="3">
        <v>0.03</v>
      </c>
    </row>
  </sheetData>
  <mergeCells count="99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G130:H130"/>
    <mergeCell ref="C131:H131"/>
    <mergeCell ref="A133:B133"/>
    <mergeCell ref="A136:B136"/>
    <mergeCell ref="A137:B137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134:A135"/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0" customWidth="1"/>
    <col min="2" max="2" width="28.5" style="200" customWidth="1"/>
    <col min="3" max="4" width="9.12727272727273" style="200"/>
    <col min="5" max="5" width="13.8727272727273" style="200" customWidth="1"/>
    <col min="6" max="12" width="16.1272727272727" style="200" customWidth="1"/>
    <col min="13" max="13" width="10.6272727272727" style="200" customWidth="1"/>
    <col min="14" max="254" width="9.12727272727273" style="200"/>
    <col min="255" max="255" width="8" style="200" customWidth="1"/>
    <col min="256" max="256" width="28.5" style="200" customWidth="1"/>
    <col min="257" max="268" width="9.12727272727273" style="200"/>
    <col min="269" max="269" width="10.6272727272727" style="200" customWidth="1"/>
    <col min="270" max="510" width="9.12727272727273" style="200"/>
    <col min="511" max="511" width="8" style="200" customWidth="1"/>
    <col min="512" max="512" width="28.5" style="200" customWidth="1"/>
    <col min="513" max="524" width="9.12727272727273" style="200"/>
    <col min="525" max="525" width="10.6272727272727" style="200" customWidth="1"/>
    <col min="526" max="766" width="9.12727272727273" style="200"/>
    <col min="767" max="767" width="8" style="200" customWidth="1"/>
    <col min="768" max="768" width="28.5" style="200" customWidth="1"/>
    <col min="769" max="780" width="9.12727272727273" style="200"/>
    <col min="781" max="781" width="10.6272727272727" style="200" customWidth="1"/>
    <col min="782" max="1022" width="9.12727272727273" style="200"/>
    <col min="1023" max="1023" width="8" style="200" customWidth="1"/>
    <col min="1024" max="1024" width="28.5" style="200" customWidth="1"/>
    <col min="1025" max="1036" width="9.12727272727273" style="200"/>
    <col min="1037" max="1037" width="10.6272727272727" style="200" customWidth="1"/>
    <col min="1038" max="1278" width="9.12727272727273" style="200"/>
    <col min="1279" max="1279" width="8" style="200" customWidth="1"/>
    <col min="1280" max="1280" width="28.5" style="200" customWidth="1"/>
    <col min="1281" max="1292" width="9.12727272727273" style="200"/>
    <col min="1293" max="1293" width="10.6272727272727" style="200" customWidth="1"/>
    <col min="1294" max="1534" width="9.12727272727273" style="200"/>
    <col min="1535" max="1535" width="8" style="200" customWidth="1"/>
    <col min="1536" max="1536" width="28.5" style="200" customWidth="1"/>
    <col min="1537" max="1548" width="9.12727272727273" style="200"/>
    <col min="1549" max="1549" width="10.6272727272727" style="200" customWidth="1"/>
    <col min="1550" max="1790" width="9.12727272727273" style="200"/>
    <col min="1791" max="1791" width="8" style="200" customWidth="1"/>
    <col min="1792" max="1792" width="28.5" style="200" customWidth="1"/>
    <col min="1793" max="1804" width="9.12727272727273" style="200"/>
    <col min="1805" max="1805" width="10.6272727272727" style="200" customWidth="1"/>
    <col min="1806" max="2046" width="9.12727272727273" style="200"/>
    <col min="2047" max="2047" width="8" style="200" customWidth="1"/>
    <col min="2048" max="2048" width="28.5" style="200" customWidth="1"/>
    <col min="2049" max="2060" width="9.12727272727273" style="200"/>
    <col min="2061" max="2061" width="10.6272727272727" style="200" customWidth="1"/>
    <col min="2062" max="2302" width="9.12727272727273" style="200"/>
    <col min="2303" max="2303" width="8" style="200" customWidth="1"/>
    <col min="2304" max="2304" width="28.5" style="200" customWidth="1"/>
    <col min="2305" max="2316" width="9.12727272727273" style="200"/>
    <col min="2317" max="2317" width="10.6272727272727" style="200" customWidth="1"/>
    <col min="2318" max="2558" width="9.12727272727273" style="200"/>
    <col min="2559" max="2559" width="8" style="200" customWidth="1"/>
    <col min="2560" max="2560" width="28.5" style="200" customWidth="1"/>
    <col min="2561" max="2572" width="9.12727272727273" style="200"/>
    <col min="2573" max="2573" width="10.6272727272727" style="200" customWidth="1"/>
    <col min="2574" max="2814" width="9.12727272727273" style="200"/>
    <col min="2815" max="2815" width="8" style="200" customWidth="1"/>
    <col min="2816" max="2816" width="28.5" style="200" customWidth="1"/>
    <col min="2817" max="2828" width="9.12727272727273" style="200"/>
    <col min="2829" max="2829" width="10.6272727272727" style="200" customWidth="1"/>
    <col min="2830" max="3070" width="9.12727272727273" style="200"/>
    <col min="3071" max="3071" width="8" style="200" customWidth="1"/>
    <col min="3072" max="3072" width="28.5" style="200" customWidth="1"/>
    <col min="3073" max="3084" width="9.12727272727273" style="200"/>
    <col min="3085" max="3085" width="10.6272727272727" style="200" customWidth="1"/>
    <col min="3086" max="3326" width="9.12727272727273" style="200"/>
    <col min="3327" max="3327" width="8" style="200" customWidth="1"/>
    <col min="3328" max="3328" width="28.5" style="200" customWidth="1"/>
    <col min="3329" max="3340" width="9.12727272727273" style="200"/>
    <col min="3341" max="3341" width="10.6272727272727" style="200" customWidth="1"/>
    <col min="3342" max="3582" width="9.12727272727273" style="200"/>
    <col min="3583" max="3583" width="8" style="200" customWidth="1"/>
    <col min="3584" max="3584" width="28.5" style="200" customWidth="1"/>
    <col min="3585" max="3596" width="9.12727272727273" style="200"/>
    <col min="3597" max="3597" width="10.6272727272727" style="200" customWidth="1"/>
    <col min="3598" max="3838" width="9.12727272727273" style="200"/>
    <col min="3839" max="3839" width="8" style="200" customWidth="1"/>
    <col min="3840" max="3840" width="28.5" style="200" customWidth="1"/>
    <col min="3841" max="3852" width="9.12727272727273" style="200"/>
    <col min="3853" max="3853" width="10.6272727272727" style="200" customWidth="1"/>
    <col min="3854" max="4094" width="9.12727272727273" style="200"/>
    <col min="4095" max="4095" width="8" style="200" customWidth="1"/>
    <col min="4096" max="4096" width="28.5" style="200" customWidth="1"/>
    <col min="4097" max="4108" width="9.12727272727273" style="200"/>
    <col min="4109" max="4109" width="10.6272727272727" style="200" customWidth="1"/>
    <col min="4110" max="4350" width="9.12727272727273" style="200"/>
    <col min="4351" max="4351" width="8" style="200" customWidth="1"/>
    <col min="4352" max="4352" width="28.5" style="200" customWidth="1"/>
    <col min="4353" max="4364" width="9.12727272727273" style="200"/>
    <col min="4365" max="4365" width="10.6272727272727" style="200" customWidth="1"/>
    <col min="4366" max="4606" width="9.12727272727273" style="200"/>
    <col min="4607" max="4607" width="8" style="200" customWidth="1"/>
    <col min="4608" max="4608" width="28.5" style="200" customWidth="1"/>
    <col min="4609" max="4620" width="9.12727272727273" style="200"/>
    <col min="4621" max="4621" width="10.6272727272727" style="200" customWidth="1"/>
    <col min="4622" max="4862" width="9.12727272727273" style="200"/>
    <col min="4863" max="4863" width="8" style="200" customWidth="1"/>
    <col min="4864" max="4864" width="28.5" style="200" customWidth="1"/>
    <col min="4865" max="4876" width="9.12727272727273" style="200"/>
    <col min="4877" max="4877" width="10.6272727272727" style="200" customWidth="1"/>
    <col min="4878" max="5118" width="9.12727272727273" style="200"/>
    <col min="5119" max="5119" width="8" style="200" customWidth="1"/>
    <col min="5120" max="5120" width="28.5" style="200" customWidth="1"/>
    <col min="5121" max="5132" width="9.12727272727273" style="200"/>
    <col min="5133" max="5133" width="10.6272727272727" style="200" customWidth="1"/>
    <col min="5134" max="5374" width="9.12727272727273" style="200"/>
    <col min="5375" max="5375" width="8" style="200" customWidth="1"/>
    <col min="5376" max="5376" width="28.5" style="200" customWidth="1"/>
    <col min="5377" max="5388" width="9.12727272727273" style="200"/>
    <col min="5389" max="5389" width="10.6272727272727" style="200" customWidth="1"/>
    <col min="5390" max="5630" width="9.12727272727273" style="200"/>
    <col min="5631" max="5631" width="8" style="200" customWidth="1"/>
    <col min="5632" max="5632" width="28.5" style="200" customWidth="1"/>
    <col min="5633" max="5644" width="9.12727272727273" style="200"/>
    <col min="5645" max="5645" width="10.6272727272727" style="200" customWidth="1"/>
    <col min="5646" max="5886" width="9.12727272727273" style="200"/>
    <col min="5887" max="5887" width="8" style="200" customWidth="1"/>
    <col min="5888" max="5888" width="28.5" style="200" customWidth="1"/>
    <col min="5889" max="5900" width="9.12727272727273" style="200"/>
    <col min="5901" max="5901" width="10.6272727272727" style="200" customWidth="1"/>
    <col min="5902" max="6142" width="9.12727272727273" style="200"/>
    <col min="6143" max="6143" width="8" style="200" customWidth="1"/>
    <col min="6144" max="6144" width="28.5" style="200" customWidth="1"/>
    <col min="6145" max="6156" width="9.12727272727273" style="200"/>
    <col min="6157" max="6157" width="10.6272727272727" style="200" customWidth="1"/>
    <col min="6158" max="6398" width="9.12727272727273" style="200"/>
    <col min="6399" max="6399" width="8" style="200" customWidth="1"/>
    <col min="6400" max="6400" width="28.5" style="200" customWidth="1"/>
    <col min="6401" max="6412" width="9.12727272727273" style="200"/>
    <col min="6413" max="6413" width="10.6272727272727" style="200" customWidth="1"/>
    <col min="6414" max="6654" width="9.12727272727273" style="200"/>
    <col min="6655" max="6655" width="8" style="200" customWidth="1"/>
    <col min="6656" max="6656" width="28.5" style="200" customWidth="1"/>
    <col min="6657" max="6668" width="9.12727272727273" style="200"/>
    <col min="6669" max="6669" width="10.6272727272727" style="200" customWidth="1"/>
    <col min="6670" max="6910" width="9.12727272727273" style="200"/>
    <col min="6911" max="6911" width="8" style="200" customWidth="1"/>
    <col min="6912" max="6912" width="28.5" style="200" customWidth="1"/>
    <col min="6913" max="6924" width="9.12727272727273" style="200"/>
    <col min="6925" max="6925" width="10.6272727272727" style="200" customWidth="1"/>
    <col min="6926" max="7166" width="9.12727272727273" style="200"/>
    <col min="7167" max="7167" width="8" style="200" customWidth="1"/>
    <col min="7168" max="7168" width="28.5" style="200" customWidth="1"/>
    <col min="7169" max="7180" width="9.12727272727273" style="200"/>
    <col min="7181" max="7181" width="10.6272727272727" style="200" customWidth="1"/>
    <col min="7182" max="7422" width="9.12727272727273" style="200"/>
    <col min="7423" max="7423" width="8" style="200" customWidth="1"/>
    <col min="7424" max="7424" width="28.5" style="200" customWidth="1"/>
    <col min="7425" max="7436" width="9.12727272727273" style="200"/>
    <col min="7437" max="7437" width="10.6272727272727" style="200" customWidth="1"/>
    <col min="7438" max="7678" width="9.12727272727273" style="200"/>
    <col min="7679" max="7679" width="8" style="200" customWidth="1"/>
    <col min="7680" max="7680" width="28.5" style="200" customWidth="1"/>
    <col min="7681" max="7692" width="9.12727272727273" style="200"/>
    <col min="7693" max="7693" width="10.6272727272727" style="200" customWidth="1"/>
    <col min="7694" max="7934" width="9.12727272727273" style="200"/>
    <col min="7935" max="7935" width="8" style="200" customWidth="1"/>
    <col min="7936" max="7936" width="28.5" style="200" customWidth="1"/>
    <col min="7937" max="7948" width="9.12727272727273" style="200"/>
    <col min="7949" max="7949" width="10.6272727272727" style="200" customWidth="1"/>
    <col min="7950" max="8190" width="9.12727272727273" style="200"/>
    <col min="8191" max="8191" width="8" style="200" customWidth="1"/>
    <col min="8192" max="8192" width="28.5" style="200" customWidth="1"/>
    <col min="8193" max="8204" width="9.12727272727273" style="200"/>
    <col min="8205" max="8205" width="10.6272727272727" style="200" customWidth="1"/>
    <col min="8206" max="8446" width="9.12727272727273" style="200"/>
    <col min="8447" max="8447" width="8" style="200" customWidth="1"/>
    <col min="8448" max="8448" width="28.5" style="200" customWidth="1"/>
    <col min="8449" max="8460" width="9.12727272727273" style="200"/>
    <col min="8461" max="8461" width="10.6272727272727" style="200" customWidth="1"/>
    <col min="8462" max="8702" width="9.12727272727273" style="200"/>
    <col min="8703" max="8703" width="8" style="200" customWidth="1"/>
    <col min="8704" max="8704" width="28.5" style="200" customWidth="1"/>
    <col min="8705" max="8716" width="9.12727272727273" style="200"/>
    <col min="8717" max="8717" width="10.6272727272727" style="200" customWidth="1"/>
    <col min="8718" max="8958" width="9.12727272727273" style="200"/>
    <col min="8959" max="8959" width="8" style="200" customWidth="1"/>
    <col min="8960" max="8960" width="28.5" style="200" customWidth="1"/>
    <col min="8961" max="8972" width="9.12727272727273" style="200"/>
    <col min="8973" max="8973" width="10.6272727272727" style="200" customWidth="1"/>
    <col min="8974" max="9214" width="9.12727272727273" style="200"/>
    <col min="9215" max="9215" width="8" style="200" customWidth="1"/>
    <col min="9216" max="9216" width="28.5" style="200" customWidth="1"/>
    <col min="9217" max="9228" width="9.12727272727273" style="200"/>
    <col min="9229" max="9229" width="10.6272727272727" style="200" customWidth="1"/>
    <col min="9230" max="9470" width="9.12727272727273" style="200"/>
    <col min="9471" max="9471" width="8" style="200" customWidth="1"/>
    <col min="9472" max="9472" width="28.5" style="200" customWidth="1"/>
    <col min="9473" max="9484" width="9.12727272727273" style="200"/>
    <col min="9485" max="9485" width="10.6272727272727" style="200" customWidth="1"/>
    <col min="9486" max="9726" width="9.12727272727273" style="200"/>
    <col min="9727" max="9727" width="8" style="200" customWidth="1"/>
    <col min="9728" max="9728" width="28.5" style="200" customWidth="1"/>
    <col min="9729" max="9740" width="9.12727272727273" style="200"/>
    <col min="9741" max="9741" width="10.6272727272727" style="200" customWidth="1"/>
    <col min="9742" max="9982" width="9.12727272727273" style="200"/>
    <col min="9983" max="9983" width="8" style="200" customWidth="1"/>
    <col min="9984" max="9984" width="28.5" style="200" customWidth="1"/>
    <col min="9985" max="9996" width="9.12727272727273" style="200"/>
    <col min="9997" max="9997" width="10.6272727272727" style="200" customWidth="1"/>
    <col min="9998" max="10238" width="9.12727272727273" style="200"/>
    <col min="10239" max="10239" width="8" style="200" customWidth="1"/>
    <col min="10240" max="10240" width="28.5" style="200" customWidth="1"/>
    <col min="10241" max="10252" width="9.12727272727273" style="200"/>
    <col min="10253" max="10253" width="10.6272727272727" style="200" customWidth="1"/>
    <col min="10254" max="10494" width="9.12727272727273" style="200"/>
    <col min="10495" max="10495" width="8" style="200" customWidth="1"/>
    <col min="10496" max="10496" width="28.5" style="200" customWidth="1"/>
    <col min="10497" max="10508" width="9.12727272727273" style="200"/>
    <col min="10509" max="10509" width="10.6272727272727" style="200" customWidth="1"/>
    <col min="10510" max="10750" width="9.12727272727273" style="200"/>
    <col min="10751" max="10751" width="8" style="200" customWidth="1"/>
    <col min="10752" max="10752" width="28.5" style="200" customWidth="1"/>
    <col min="10753" max="10764" width="9.12727272727273" style="200"/>
    <col min="10765" max="10765" width="10.6272727272727" style="200" customWidth="1"/>
    <col min="10766" max="11006" width="9.12727272727273" style="200"/>
    <col min="11007" max="11007" width="8" style="200" customWidth="1"/>
    <col min="11008" max="11008" width="28.5" style="200" customWidth="1"/>
    <col min="11009" max="11020" width="9.12727272727273" style="200"/>
    <col min="11021" max="11021" width="10.6272727272727" style="200" customWidth="1"/>
    <col min="11022" max="11262" width="9.12727272727273" style="200"/>
    <col min="11263" max="11263" width="8" style="200" customWidth="1"/>
    <col min="11264" max="11264" width="28.5" style="200" customWidth="1"/>
    <col min="11265" max="11276" width="9.12727272727273" style="200"/>
    <col min="11277" max="11277" width="10.6272727272727" style="200" customWidth="1"/>
    <col min="11278" max="11518" width="9.12727272727273" style="200"/>
    <col min="11519" max="11519" width="8" style="200" customWidth="1"/>
    <col min="11520" max="11520" width="28.5" style="200" customWidth="1"/>
    <col min="11521" max="11532" width="9.12727272727273" style="200"/>
    <col min="11533" max="11533" width="10.6272727272727" style="200" customWidth="1"/>
    <col min="11534" max="11774" width="9.12727272727273" style="200"/>
    <col min="11775" max="11775" width="8" style="200" customWidth="1"/>
    <col min="11776" max="11776" width="28.5" style="200" customWidth="1"/>
    <col min="11777" max="11788" width="9.12727272727273" style="200"/>
    <col min="11789" max="11789" width="10.6272727272727" style="200" customWidth="1"/>
    <col min="11790" max="12030" width="9.12727272727273" style="200"/>
    <col min="12031" max="12031" width="8" style="200" customWidth="1"/>
    <col min="12032" max="12032" width="28.5" style="200" customWidth="1"/>
    <col min="12033" max="12044" width="9.12727272727273" style="200"/>
    <col min="12045" max="12045" width="10.6272727272727" style="200" customWidth="1"/>
    <col min="12046" max="12286" width="9.12727272727273" style="200"/>
    <col min="12287" max="12287" width="8" style="200" customWidth="1"/>
    <col min="12288" max="12288" width="28.5" style="200" customWidth="1"/>
    <col min="12289" max="12300" width="9.12727272727273" style="200"/>
    <col min="12301" max="12301" width="10.6272727272727" style="200" customWidth="1"/>
    <col min="12302" max="12542" width="9.12727272727273" style="200"/>
    <col min="12543" max="12543" width="8" style="200" customWidth="1"/>
    <col min="12544" max="12544" width="28.5" style="200" customWidth="1"/>
    <col min="12545" max="12556" width="9.12727272727273" style="200"/>
    <col min="12557" max="12557" width="10.6272727272727" style="200" customWidth="1"/>
    <col min="12558" max="12798" width="9.12727272727273" style="200"/>
    <col min="12799" max="12799" width="8" style="200" customWidth="1"/>
    <col min="12800" max="12800" width="28.5" style="200" customWidth="1"/>
    <col min="12801" max="12812" width="9.12727272727273" style="200"/>
    <col min="12813" max="12813" width="10.6272727272727" style="200" customWidth="1"/>
    <col min="12814" max="13054" width="9.12727272727273" style="200"/>
    <col min="13055" max="13055" width="8" style="200" customWidth="1"/>
    <col min="13056" max="13056" width="28.5" style="200" customWidth="1"/>
    <col min="13057" max="13068" width="9.12727272727273" style="200"/>
    <col min="13069" max="13069" width="10.6272727272727" style="200" customWidth="1"/>
    <col min="13070" max="13310" width="9.12727272727273" style="200"/>
    <col min="13311" max="13311" width="8" style="200" customWidth="1"/>
    <col min="13312" max="13312" width="28.5" style="200" customWidth="1"/>
    <col min="13313" max="13324" width="9.12727272727273" style="200"/>
    <col min="13325" max="13325" width="10.6272727272727" style="200" customWidth="1"/>
    <col min="13326" max="13566" width="9.12727272727273" style="200"/>
    <col min="13567" max="13567" width="8" style="200" customWidth="1"/>
    <col min="13568" max="13568" width="28.5" style="200" customWidth="1"/>
    <col min="13569" max="13580" width="9.12727272727273" style="200"/>
    <col min="13581" max="13581" width="10.6272727272727" style="200" customWidth="1"/>
    <col min="13582" max="13822" width="9.12727272727273" style="200"/>
    <col min="13823" max="13823" width="8" style="200" customWidth="1"/>
    <col min="13824" max="13824" width="28.5" style="200" customWidth="1"/>
    <col min="13825" max="13836" width="9.12727272727273" style="200"/>
    <col min="13837" max="13837" width="10.6272727272727" style="200" customWidth="1"/>
    <col min="13838" max="14078" width="9.12727272727273" style="200"/>
    <col min="14079" max="14079" width="8" style="200" customWidth="1"/>
    <col min="14080" max="14080" width="28.5" style="200" customWidth="1"/>
    <col min="14081" max="14092" width="9.12727272727273" style="200"/>
    <col min="14093" max="14093" width="10.6272727272727" style="200" customWidth="1"/>
    <col min="14094" max="14334" width="9.12727272727273" style="200"/>
    <col min="14335" max="14335" width="8" style="200" customWidth="1"/>
    <col min="14336" max="14336" width="28.5" style="200" customWidth="1"/>
    <col min="14337" max="14348" width="9.12727272727273" style="200"/>
    <col min="14349" max="14349" width="10.6272727272727" style="200" customWidth="1"/>
    <col min="14350" max="14590" width="9.12727272727273" style="200"/>
    <col min="14591" max="14591" width="8" style="200" customWidth="1"/>
    <col min="14592" max="14592" width="28.5" style="200" customWidth="1"/>
    <col min="14593" max="14604" width="9.12727272727273" style="200"/>
    <col min="14605" max="14605" width="10.6272727272727" style="200" customWidth="1"/>
    <col min="14606" max="14846" width="9.12727272727273" style="200"/>
    <col min="14847" max="14847" width="8" style="200" customWidth="1"/>
    <col min="14848" max="14848" width="28.5" style="200" customWidth="1"/>
    <col min="14849" max="14860" width="9.12727272727273" style="200"/>
    <col min="14861" max="14861" width="10.6272727272727" style="200" customWidth="1"/>
    <col min="14862" max="15102" width="9.12727272727273" style="200"/>
    <col min="15103" max="15103" width="8" style="200" customWidth="1"/>
    <col min="15104" max="15104" width="28.5" style="200" customWidth="1"/>
    <col min="15105" max="15116" width="9.12727272727273" style="200"/>
    <col min="15117" max="15117" width="10.6272727272727" style="200" customWidth="1"/>
    <col min="15118" max="15358" width="9.12727272727273" style="200"/>
    <col min="15359" max="15359" width="8" style="200" customWidth="1"/>
    <col min="15360" max="15360" width="28.5" style="200" customWidth="1"/>
    <col min="15361" max="15372" width="9.12727272727273" style="200"/>
    <col min="15373" max="15373" width="10.6272727272727" style="200" customWidth="1"/>
    <col min="15374" max="15614" width="9.12727272727273" style="200"/>
    <col min="15615" max="15615" width="8" style="200" customWidth="1"/>
    <col min="15616" max="15616" width="28.5" style="200" customWidth="1"/>
    <col min="15617" max="15628" width="9.12727272727273" style="200"/>
    <col min="15629" max="15629" width="10.6272727272727" style="200" customWidth="1"/>
    <col min="15630" max="15870" width="9.12727272727273" style="200"/>
    <col min="15871" max="15871" width="8" style="200" customWidth="1"/>
    <col min="15872" max="15872" width="28.5" style="200" customWidth="1"/>
    <col min="15873" max="15884" width="9.12727272727273" style="200"/>
    <col min="15885" max="15885" width="10.6272727272727" style="200" customWidth="1"/>
    <col min="15886" max="16126" width="9.12727272727273" style="200"/>
    <col min="16127" max="16127" width="8" style="200" customWidth="1"/>
    <col min="16128" max="16128" width="28.5" style="200" customWidth="1"/>
    <col min="16129" max="16140" width="9.12727272727273" style="200"/>
    <col min="16141" max="16141" width="10.6272727272727" style="200" customWidth="1"/>
    <col min="16142" max="16384" width="9.12727272727273" style="200"/>
  </cols>
  <sheetData>
    <row r="1" ht="17.5" spans="1:13">
      <c r="A1" s="201" t="s">
        <v>19</v>
      </c>
      <c r="B1" s="202"/>
      <c r="C1" s="203"/>
      <c r="D1" s="203"/>
      <c r="E1" s="202"/>
      <c r="F1" s="203"/>
      <c r="G1" s="203"/>
      <c r="H1" s="202"/>
      <c r="I1" s="203"/>
      <c r="J1" s="203"/>
      <c r="K1" s="203"/>
      <c r="L1" s="203"/>
      <c r="M1" s="203"/>
    </row>
    <row r="2" ht="14" spans="1:2">
      <c r="A2" s="200" t="s">
        <v>20</v>
      </c>
      <c r="B2" s="204"/>
    </row>
    <row r="3" ht="16.9" customHeight="1" spans="1:13">
      <c r="A3" s="205" t="s">
        <v>21</v>
      </c>
      <c r="B3" s="205" t="s">
        <v>22</v>
      </c>
      <c r="C3" s="206" t="s">
        <v>23</v>
      </c>
      <c r="D3" s="206"/>
      <c r="E3" s="206"/>
      <c r="F3" s="207"/>
      <c r="G3" s="208"/>
      <c r="H3" s="209"/>
      <c r="I3" s="209"/>
      <c r="J3" s="209" t="s">
        <v>24</v>
      </c>
      <c r="K3" s="209"/>
      <c r="L3" s="209"/>
      <c r="M3" s="230"/>
    </row>
    <row r="4" ht="16.15" customHeight="1" spans="1:13">
      <c r="A4" s="210"/>
      <c r="B4" s="210" t="s">
        <v>25</v>
      </c>
      <c r="C4" s="206">
        <v>2017</v>
      </c>
      <c r="D4" s="206">
        <f t="shared" ref="D4:L4" si="0">C4+1</f>
        <v>2018</v>
      </c>
      <c r="E4" s="206">
        <f t="shared" si="0"/>
        <v>2019</v>
      </c>
      <c r="F4" s="206">
        <f t="shared" si="0"/>
        <v>2020</v>
      </c>
      <c r="G4" s="206">
        <f t="shared" si="0"/>
        <v>2021</v>
      </c>
      <c r="H4" s="211">
        <f t="shared" si="0"/>
        <v>2022</v>
      </c>
      <c r="I4" s="211">
        <f t="shared" si="0"/>
        <v>2023</v>
      </c>
      <c r="J4" s="211">
        <f t="shared" si="0"/>
        <v>2024</v>
      </c>
      <c r="K4" s="211">
        <f t="shared" si="0"/>
        <v>2025</v>
      </c>
      <c r="L4" s="211">
        <f t="shared" si="0"/>
        <v>2026</v>
      </c>
      <c r="M4" s="231" t="s">
        <v>26</v>
      </c>
    </row>
    <row r="5" ht="15.6" customHeight="1" spans="1:13">
      <c r="A5" s="212">
        <v>1</v>
      </c>
      <c r="B5" s="213" t="s">
        <v>27</v>
      </c>
      <c r="C5" s="214">
        <f>SUM(C6:C9)</f>
        <v>0</v>
      </c>
      <c r="D5" s="214">
        <f t="shared" ref="D5:L5" si="1">SUM(D6:D9)</f>
        <v>0</v>
      </c>
      <c r="E5" s="214" t="e">
        <f t="shared" si="1"/>
        <v>#REF!</v>
      </c>
      <c r="F5" s="214" t="e">
        <f t="shared" si="1"/>
        <v>#REF!</v>
      </c>
      <c r="G5" s="214" t="e">
        <f t="shared" si="1"/>
        <v>#REF!</v>
      </c>
      <c r="H5" s="214" t="e">
        <f t="shared" si="1"/>
        <v>#REF!</v>
      </c>
      <c r="I5" s="214" t="e">
        <f t="shared" si="1"/>
        <v>#REF!</v>
      </c>
      <c r="J5" s="214" t="e">
        <f t="shared" si="1"/>
        <v>#REF!</v>
      </c>
      <c r="K5" s="214" t="e">
        <f t="shared" si="1"/>
        <v>#REF!</v>
      </c>
      <c r="L5" s="214" t="e">
        <f t="shared" si="1"/>
        <v>#REF!</v>
      </c>
      <c r="M5" s="218" t="e">
        <f t="shared" ref="M5:M17" si="2">SUM(C5:L5)</f>
        <v>#REF!</v>
      </c>
    </row>
    <row r="6" ht="15.6" customHeight="1" spans="1:13">
      <c r="A6" s="212">
        <v>1.1</v>
      </c>
      <c r="B6" s="215" t="s">
        <v>28</v>
      </c>
      <c r="C6" s="216"/>
      <c r="D6" s="216"/>
      <c r="E6" s="216" t="e">
        <f>#REF!</f>
        <v>#REF!</v>
      </c>
      <c r="F6" s="216" t="e">
        <f>#REF!</f>
        <v>#REF!</v>
      </c>
      <c r="G6" s="216" t="e">
        <f>#REF!</f>
        <v>#REF!</v>
      </c>
      <c r="H6" s="216" t="e">
        <f>#REF!</f>
        <v>#REF!</v>
      </c>
      <c r="I6" s="216" t="e">
        <f>#REF!</f>
        <v>#REF!</v>
      </c>
      <c r="J6" s="216" t="e">
        <f>#REF!</f>
        <v>#REF!</v>
      </c>
      <c r="K6" s="216" t="e">
        <f>#REF!</f>
        <v>#REF!</v>
      </c>
      <c r="L6" s="216" t="e">
        <f>#REF!</f>
        <v>#REF!</v>
      </c>
      <c r="M6" s="218" t="e">
        <f t="shared" si="2"/>
        <v>#REF!</v>
      </c>
    </row>
    <row r="7" ht="15.6" customHeight="1" spans="1:13">
      <c r="A7" s="212">
        <v>1.2</v>
      </c>
      <c r="B7" s="215" t="s">
        <v>29</v>
      </c>
      <c r="C7" s="216"/>
      <c r="D7" s="216"/>
      <c r="E7" s="216">
        <f>[1]折、摊!G18</f>
        <v>0</v>
      </c>
      <c r="F7" s="216">
        <f>[1]折、摊!H18</f>
        <v>0</v>
      </c>
      <c r="G7" s="216">
        <f>[1]折、摊!I18</f>
        <v>0</v>
      </c>
      <c r="H7" s="216">
        <f>[1]折、摊!J18</f>
        <v>0</v>
      </c>
      <c r="I7" s="216">
        <f>[1]折、摊!K18</f>
        <v>0</v>
      </c>
      <c r="J7" s="216">
        <f>[1]折、摊!L18</f>
        <v>0</v>
      </c>
      <c r="K7" s="216">
        <f>[1]折、摊!M18</f>
        <v>0</v>
      </c>
      <c r="L7" s="216">
        <f>[1]折、摊!N18</f>
        <v>0</v>
      </c>
      <c r="M7" s="218">
        <f t="shared" si="2"/>
        <v>0</v>
      </c>
    </row>
    <row r="8" ht="15.6" customHeight="1" spans="1:13">
      <c r="A8" s="212">
        <v>1.3</v>
      </c>
      <c r="B8" s="215" t="s">
        <v>30</v>
      </c>
      <c r="C8" s="216" t="s">
        <v>31</v>
      </c>
      <c r="D8" s="216" t="s">
        <v>31</v>
      </c>
      <c r="E8" s="216" t="s">
        <v>31</v>
      </c>
      <c r="F8" s="216" t="s">
        <v>31</v>
      </c>
      <c r="G8" s="216" t="s">
        <v>31</v>
      </c>
      <c r="H8" s="216" t="s">
        <v>31</v>
      </c>
      <c r="I8" s="216" t="s">
        <v>31</v>
      </c>
      <c r="J8" s="216" t="s">
        <v>31</v>
      </c>
      <c r="K8" s="216" t="s">
        <v>31</v>
      </c>
      <c r="L8" s="216"/>
      <c r="M8" s="218">
        <f t="shared" si="2"/>
        <v>0</v>
      </c>
    </row>
    <row r="9" s="199" customFormat="1" ht="15.6" customHeight="1" spans="1:13">
      <c r="A9" s="217">
        <v>1.4</v>
      </c>
      <c r="B9" s="218" t="s">
        <v>32</v>
      </c>
      <c r="C9" s="216" t="s">
        <v>31</v>
      </c>
      <c r="D9" s="216" t="s">
        <v>31</v>
      </c>
      <c r="E9" s="216" t="s">
        <v>31</v>
      </c>
      <c r="F9" s="216" t="s">
        <v>31</v>
      </c>
      <c r="G9" s="216" t="s">
        <v>31</v>
      </c>
      <c r="H9" s="216" t="s">
        <v>31</v>
      </c>
      <c r="I9" s="216" t="s">
        <v>31</v>
      </c>
      <c r="J9" s="216" t="s">
        <v>31</v>
      </c>
      <c r="K9" s="216" t="s">
        <v>31</v>
      </c>
      <c r="L9" s="216" t="s">
        <v>31</v>
      </c>
      <c r="M9" s="218">
        <f t="shared" si="2"/>
        <v>0</v>
      </c>
    </row>
    <row r="10" ht="15.6" customHeight="1" spans="1:13">
      <c r="A10" s="217">
        <v>2</v>
      </c>
      <c r="B10" s="213" t="s">
        <v>33</v>
      </c>
      <c r="C10" s="214">
        <f t="shared" ref="C10:L10" si="3">SUM(C11:C16)</f>
        <v>0</v>
      </c>
      <c r="D10" s="214">
        <f t="shared" si="3"/>
        <v>0</v>
      </c>
      <c r="E10" s="214">
        <f t="shared" si="3"/>
        <v>0</v>
      </c>
      <c r="F10" s="214">
        <f t="shared" si="3"/>
        <v>0</v>
      </c>
      <c r="G10" s="214">
        <f t="shared" si="3"/>
        <v>0</v>
      </c>
      <c r="H10" s="214">
        <f t="shared" si="3"/>
        <v>0</v>
      </c>
      <c r="I10" s="214">
        <f t="shared" si="3"/>
        <v>0</v>
      </c>
      <c r="J10" s="214">
        <f t="shared" si="3"/>
        <v>0</v>
      </c>
      <c r="K10" s="214">
        <f t="shared" si="3"/>
        <v>0</v>
      </c>
      <c r="L10" s="214">
        <f t="shared" si="3"/>
        <v>0</v>
      </c>
      <c r="M10" s="218">
        <f t="shared" si="2"/>
        <v>0</v>
      </c>
    </row>
    <row r="11" ht="15" customHeight="1" spans="1:13">
      <c r="A11" s="212">
        <v>2.1</v>
      </c>
      <c r="B11" s="212" t="s">
        <v>34</v>
      </c>
      <c r="C11" s="216">
        <f>([1]计划!C6-[1]计划!C7)</f>
        <v>0</v>
      </c>
      <c r="D11" s="216">
        <f>([1]计划!D6-[1]计划!D7)</f>
        <v>0</v>
      </c>
      <c r="E11" s="216">
        <f>([1]计划!E6-[1]计划!E7)</f>
        <v>0</v>
      </c>
      <c r="F11" s="216">
        <f>([1]计划!F6-[1]计划!F7)</f>
        <v>0</v>
      </c>
      <c r="G11" s="216">
        <f>([1]计划!G6-[1]计划!G7)</f>
        <v>0</v>
      </c>
      <c r="H11" s="216">
        <f>([1]计划!H6-[1]计划!H7)</f>
        <v>0</v>
      </c>
      <c r="I11" s="216">
        <f>([1]计划!I6-[1]计划!I7)</f>
        <v>0</v>
      </c>
      <c r="J11" s="216">
        <f>([1]计划!J6-[1]计划!J7)</f>
        <v>0</v>
      </c>
      <c r="K11" s="216">
        <f>([1]计划!K6-[1]计划!K7)</f>
        <v>0</v>
      </c>
      <c r="L11" s="216">
        <f>([1]计划!L6-[1]计划!L7)</f>
        <v>0</v>
      </c>
      <c r="M11" s="218">
        <f t="shared" si="2"/>
        <v>0</v>
      </c>
    </row>
    <row r="12" s="199" customFormat="1" ht="15" customHeight="1" spans="1:13">
      <c r="A12" s="212">
        <v>2.2</v>
      </c>
      <c r="B12" s="218" t="s">
        <v>35</v>
      </c>
      <c r="C12" s="216">
        <f>[1]计划!C8</f>
        <v>0</v>
      </c>
      <c r="D12" s="216">
        <f>[1]计划!D8</f>
        <v>0</v>
      </c>
      <c r="E12" s="216">
        <f>[1]计划!E8</f>
        <v>0</v>
      </c>
      <c r="F12" s="216">
        <f>[1]计划!F8</f>
        <v>0</v>
      </c>
      <c r="G12" s="216">
        <f>[1]计划!G8</f>
        <v>0</v>
      </c>
      <c r="H12" s="216">
        <f>[1]计划!H8</f>
        <v>0</v>
      </c>
      <c r="I12" s="216">
        <f>[1]计划!I8</f>
        <v>0</v>
      </c>
      <c r="J12" s="216">
        <f>[1]计划!J8</f>
        <v>0</v>
      </c>
      <c r="K12" s="216">
        <f>[1]计划!K8</f>
        <v>0</v>
      </c>
      <c r="L12" s="216">
        <f>[1]计划!L8</f>
        <v>0</v>
      </c>
      <c r="M12" s="218">
        <f t="shared" si="2"/>
        <v>0</v>
      </c>
    </row>
    <row r="13" ht="15" customHeight="1" spans="1:13">
      <c r="A13" s="212">
        <v>2.3</v>
      </c>
      <c r="B13" s="215" t="s">
        <v>36</v>
      </c>
      <c r="C13" s="216">
        <f>[1]总成本!C22</f>
        <v>0</v>
      </c>
      <c r="D13" s="216">
        <f>[1]总成本!D22</f>
        <v>0</v>
      </c>
      <c r="E13" s="216">
        <f>[1]总成本!E22</f>
        <v>0</v>
      </c>
      <c r="F13" s="216">
        <f>[1]总成本!F22</f>
        <v>0</v>
      </c>
      <c r="G13" s="216">
        <f>[1]总成本!G22</f>
        <v>0</v>
      </c>
      <c r="H13" s="216">
        <f>[1]总成本!H22</f>
        <v>0</v>
      </c>
      <c r="I13" s="216">
        <f>[1]总成本!I22</f>
        <v>0</v>
      </c>
      <c r="J13" s="216">
        <f>[1]总成本!J22</f>
        <v>0</v>
      </c>
      <c r="K13" s="216">
        <f>[1]总成本!K22</f>
        <v>0</v>
      </c>
      <c r="L13" s="216">
        <f>[1]总成本!L22</f>
        <v>0</v>
      </c>
      <c r="M13" s="218">
        <f t="shared" si="2"/>
        <v>0</v>
      </c>
    </row>
    <row r="14" ht="15" customHeight="1" spans="1:13">
      <c r="A14" s="212">
        <v>2.4</v>
      </c>
      <c r="B14" s="215" t="s">
        <v>37</v>
      </c>
      <c r="C14" s="216">
        <f>[1]价格!D15</f>
        <v>0</v>
      </c>
      <c r="D14" s="216">
        <f>[1]价格!E15</f>
        <v>0</v>
      </c>
      <c r="E14" s="216">
        <f>[1]价格!F15</f>
        <v>0</v>
      </c>
      <c r="F14" s="216">
        <f>[1]价格!G15</f>
        <v>0</v>
      </c>
      <c r="G14" s="216">
        <f>[1]价格!H15</f>
        <v>0</v>
      </c>
      <c r="H14" s="216">
        <f>[1]价格!I15</f>
        <v>0</v>
      </c>
      <c r="I14" s="216">
        <f>[1]价格!J15</f>
        <v>0</v>
      </c>
      <c r="J14" s="216">
        <f>[1]价格!K15</f>
        <v>0</v>
      </c>
      <c r="K14" s="216">
        <f>[1]价格!L15</f>
        <v>0</v>
      </c>
      <c r="L14" s="216">
        <f>[1]价格!M15</f>
        <v>0</v>
      </c>
      <c r="M14" s="218">
        <f t="shared" si="2"/>
        <v>0</v>
      </c>
    </row>
    <row r="15" ht="15" customHeight="1" spans="1:13">
      <c r="A15" s="212">
        <v>2.5</v>
      </c>
      <c r="B15" s="215" t="s">
        <v>38</v>
      </c>
      <c r="C15" s="216">
        <f>[1]利润!C13</f>
        <v>0</v>
      </c>
      <c r="D15" s="216">
        <f>[1]利润!D13</f>
        <v>0</v>
      </c>
      <c r="E15" s="216">
        <f>[1]利润!E13</f>
        <v>0</v>
      </c>
      <c r="F15" s="216">
        <f>[1]利润!F13</f>
        <v>0</v>
      </c>
      <c r="G15" s="216">
        <f>[1]利润!G13</f>
        <v>0</v>
      </c>
      <c r="H15" s="216">
        <f>[1]利润!H13</f>
        <v>0</v>
      </c>
      <c r="I15" s="216">
        <f>[1]利润!I13</f>
        <v>0</v>
      </c>
      <c r="J15" s="216">
        <f>[1]利润!J13</f>
        <v>0</v>
      </c>
      <c r="K15" s="216">
        <f>[1]利润!K13</f>
        <v>0</v>
      </c>
      <c r="L15" s="216">
        <f>[1]利润!L13</f>
        <v>0</v>
      </c>
      <c r="M15" s="218">
        <f t="shared" si="2"/>
        <v>0</v>
      </c>
    </row>
    <row r="16" ht="15" customHeight="1" spans="1:13">
      <c r="A16" s="212">
        <v>2.6</v>
      </c>
      <c r="B16" s="215" t="s">
        <v>39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8">
        <f t="shared" si="2"/>
        <v>0</v>
      </c>
    </row>
    <row r="17" ht="14" spans="1:13">
      <c r="A17" s="212">
        <v>3</v>
      </c>
      <c r="B17" s="213" t="s">
        <v>40</v>
      </c>
      <c r="C17" s="214">
        <f t="shared" ref="C17:L17" si="4">C5-C10</f>
        <v>0</v>
      </c>
      <c r="D17" s="214">
        <f t="shared" si="4"/>
        <v>0</v>
      </c>
      <c r="E17" s="214" t="e">
        <f t="shared" si="4"/>
        <v>#REF!</v>
      </c>
      <c r="F17" s="214" t="e">
        <f t="shared" si="4"/>
        <v>#REF!</v>
      </c>
      <c r="G17" s="214" t="e">
        <f t="shared" si="4"/>
        <v>#REF!</v>
      </c>
      <c r="H17" s="214" t="e">
        <f t="shared" si="4"/>
        <v>#REF!</v>
      </c>
      <c r="I17" s="214" t="e">
        <f t="shared" si="4"/>
        <v>#REF!</v>
      </c>
      <c r="J17" s="214" t="e">
        <f t="shared" si="4"/>
        <v>#REF!</v>
      </c>
      <c r="K17" s="214" t="e">
        <f t="shared" si="4"/>
        <v>#REF!</v>
      </c>
      <c r="L17" s="214" t="e">
        <f t="shared" si="4"/>
        <v>#REF!</v>
      </c>
      <c r="M17" s="218" t="e">
        <f t="shared" si="2"/>
        <v>#REF!</v>
      </c>
    </row>
    <row r="18" ht="14" spans="1:13">
      <c r="A18" s="219">
        <v>4</v>
      </c>
      <c r="B18" s="215" t="s">
        <v>41</v>
      </c>
      <c r="C18" s="216">
        <f>C17</f>
        <v>0</v>
      </c>
      <c r="D18" s="216">
        <f t="shared" ref="D18:L18" si="5">C18+D17</f>
        <v>0</v>
      </c>
      <c r="E18" s="216" t="e">
        <f t="shared" si="5"/>
        <v>#REF!</v>
      </c>
      <c r="F18" s="216" t="e">
        <f t="shared" si="5"/>
        <v>#REF!</v>
      </c>
      <c r="G18" s="216" t="e">
        <f t="shared" si="5"/>
        <v>#REF!</v>
      </c>
      <c r="H18" s="216" t="e">
        <f t="shared" si="5"/>
        <v>#REF!</v>
      </c>
      <c r="I18" s="216" t="e">
        <f t="shared" si="5"/>
        <v>#REF!</v>
      </c>
      <c r="J18" s="216" t="e">
        <f t="shared" si="5"/>
        <v>#REF!</v>
      </c>
      <c r="K18" s="216" t="e">
        <f t="shared" si="5"/>
        <v>#REF!</v>
      </c>
      <c r="L18" s="216" t="e">
        <f t="shared" si="5"/>
        <v>#REF!</v>
      </c>
      <c r="M18" s="215" t="s">
        <v>31</v>
      </c>
    </row>
    <row r="19" s="199" customFormat="1" ht="13" spans="1:13">
      <c r="A19" s="219">
        <v>5</v>
      </c>
      <c r="B19" s="215" t="s">
        <v>42</v>
      </c>
      <c r="C19" s="216">
        <f t="shared" ref="C19:L19" si="6">C17+C15</f>
        <v>0</v>
      </c>
      <c r="D19" s="216">
        <f t="shared" si="6"/>
        <v>0</v>
      </c>
      <c r="E19" s="216" t="e">
        <f t="shared" si="6"/>
        <v>#REF!</v>
      </c>
      <c r="F19" s="216" t="e">
        <f t="shared" si="6"/>
        <v>#REF!</v>
      </c>
      <c r="G19" s="216" t="e">
        <f t="shared" si="6"/>
        <v>#REF!</v>
      </c>
      <c r="H19" s="216" t="e">
        <f t="shared" si="6"/>
        <v>#REF!</v>
      </c>
      <c r="I19" s="216" t="e">
        <f t="shared" si="6"/>
        <v>#REF!</v>
      </c>
      <c r="J19" s="216" t="e">
        <f t="shared" si="6"/>
        <v>#REF!</v>
      </c>
      <c r="K19" s="216" t="e">
        <f t="shared" si="6"/>
        <v>#REF!</v>
      </c>
      <c r="L19" s="216" t="e">
        <f t="shared" si="6"/>
        <v>#REF!</v>
      </c>
      <c r="M19" s="218" t="e">
        <f>SUM(C19:L19)</f>
        <v>#REF!</v>
      </c>
    </row>
    <row r="20" s="199" customFormat="1" ht="13" spans="1:13">
      <c r="A20" s="212">
        <v>6</v>
      </c>
      <c r="B20" s="215" t="s">
        <v>43</v>
      </c>
      <c r="C20" s="216">
        <f>C19</f>
        <v>0</v>
      </c>
      <c r="D20" s="216">
        <f t="shared" ref="D20:L20" si="7">C20+D19</f>
        <v>0</v>
      </c>
      <c r="E20" s="216" t="e">
        <f t="shared" si="7"/>
        <v>#REF!</v>
      </c>
      <c r="F20" s="216" t="e">
        <f t="shared" si="7"/>
        <v>#REF!</v>
      </c>
      <c r="G20" s="216" t="e">
        <f t="shared" si="7"/>
        <v>#REF!</v>
      </c>
      <c r="H20" s="216" t="e">
        <f t="shared" si="7"/>
        <v>#REF!</v>
      </c>
      <c r="I20" s="216" t="e">
        <f t="shared" si="7"/>
        <v>#REF!</v>
      </c>
      <c r="J20" s="216" t="e">
        <f t="shared" si="7"/>
        <v>#REF!</v>
      </c>
      <c r="K20" s="216" t="e">
        <f t="shared" si="7"/>
        <v>#REF!</v>
      </c>
      <c r="L20" s="216" t="e">
        <f t="shared" si="7"/>
        <v>#REF!</v>
      </c>
      <c r="M20" s="215" t="s">
        <v>31</v>
      </c>
    </row>
    <row r="21" ht="14" spans="1:13">
      <c r="A21" s="220"/>
      <c r="B21" s="221" t="s">
        <v>44</v>
      </c>
      <c r="C21" s="221"/>
      <c r="D21" s="221"/>
      <c r="E21" s="221" t="s">
        <v>45</v>
      </c>
      <c r="F21" s="221"/>
      <c r="G21" s="221"/>
      <c r="H21" s="221"/>
      <c r="I21" s="221" t="s">
        <v>46</v>
      </c>
      <c r="J21" s="221"/>
      <c r="K21" s="221"/>
      <c r="L21" s="221"/>
      <c r="M21" s="232"/>
    </row>
    <row r="22" ht="14" spans="1:13">
      <c r="A22" s="222"/>
      <c r="B22" s="223" t="s">
        <v>47</v>
      </c>
      <c r="C22" s="223"/>
      <c r="D22" s="224" t="s">
        <v>48</v>
      </c>
      <c r="E22" s="225" t="e">
        <f>IRR(C17:L17,0.15)</f>
        <v>#VALUE!</v>
      </c>
      <c r="F22" s="223"/>
      <c r="G22" s="223"/>
      <c r="H22" s="223"/>
      <c r="I22" s="225" t="e">
        <f>IRR(C19:L19,0.15)</f>
        <v>#VALUE!</v>
      </c>
      <c r="J22" s="223"/>
      <c r="K22" s="223"/>
      <c r="L22" s="223"/>
      <c r="M22" s="233"/>
    </row>
    <row r="23" ht="14" spans="1:18">
      <c r="A23" s="222"/>
      <c r="B23" s="223" t="s">
        <v>49</v>
      </c>
      <c r="C23" s="223"/>
      <c r="D23" s="223"/>
      <c r="E23" s="226" t="e">
        <f>NPV(0.12,C17:L17)</f>
        <v>#REF!</v>
      </c>
      <c r="F23" s="223"/>
      <c r="G23" s="223"/>
      <c r="H23" s="223"/>
      <c r="I23" s="226" t="e">
        <f>NPV(0.12,C19:L19)</f>
        <v>#REF!</v>
      </c>
      <c r="J23" s="223"/>
      <c r="K23" s="223"/>
      <c r="L23" s="223"/>
      <c r="M23" s="233"/>
      <c r="R23" s="200">
        <f>30.9-29.82</f>
        <v>1.08</v>
      </c>
    </row>
    <row r="24" ht="14" spans="1:13">
      <c r="A24" s="227"/>
      <c r="B24" s="228" t="s">
        <v>50</v>
      </c>
      <c r="C24" s="228"/>
      <c r="D24" s="228"/>
      <c r="E24" s="229" t="e">
        <f>6-H18/I17</f>
        <v>#REF!</v>
      </c>
      <c r="F24" s="228"/>
      <c r="G24" s="228"/>
      <c r="H24" s="228"/>
      <c r="I24" s="229" t="e">
        <f>6-H20/I19</f>
        <v>#REF!</v>
      </c>
      <c r="J24" s="228"/>
      <c r="K24" s="228"/>
      <c r="L24" s="228"/>
      <c r="M24" s="234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workbookViewId="0">
      <pane xSplit="2" ySplit="4" topLeftCell="C20" activePane="bottomRight" state="frozen"/>
      <selection/>
      <selection pane="topRight"/>
      <selection pane="bottomLeft"/>
      <selection pane="bottomRight" activeCell="E32" sqref="E32"/>
    </sheetView>
  </sheetViews>
  <sheetFormatPr defaultColWidth="9" defaultRowHeight="14.5"/>
  <cols>
    <col min="1" max="1" width="5.12727272727273" style="169" customWidth="1"/>
    <col min="2" max="2" width="32.6272727272727" style="169" customWidth="1"/>
    <col min="3" max="3" width="14.5" style="170" customWidth="1"/>
    <col min="4" max="9" width="14.7545454545455" style="170" customWidth="1"/>
    <col min="10" max="10" width="16.5" style="170" customWidth="1"/>
    <col min="11" max="11" width="15.5" style="169" customWidth="1"/>
    <col min="12" max="37" width="9" style="169"/>
    <col min="38" max="38" width="4.37272727272727" style="169" customWidth="1"/>
    <col min="39" max="39" width="13.8727272727273" style="169" customWidth="1"/>
    <col min="40" max="16384" width="9" style="169"/>
  </cols>
  <sheetData>
    <row r="1" ht="27" customHeight="1" spans="1:11">
      <c r="A1" s="171" t="s">
        <v>51</v>
      </c>
      <c r="B1" s="171"/>
      <c r="C1" s="171"/>
      <c r="D1" s="171"/>
      <c r="E1" s="171"/>
      <c r="F1" s="171"/>
      <c r="G1" s="171"/>
      <c r="H1" s="171"/>
      <c r="I1" s="171"/>
      <c r="J1" s="171"/>
      <c r="K1" s="90" t="s">
        <v>52</v>
      </c>
    </row>
    <row r="2" ht="15.75" customHeight="1" spans="1:40">
      <c r="A2" s="172" t="s">
        <v>21</v>
      </c>
      <c r="B2" s="173" t="s">
        <v>1</v>
      </c>
      <c r="C2" s="173" t="s">
        <v>53</v>
      </c>
      <c r="D2" s="173" t="s">
        <v>54</v>
      </c>
      <c r="E2" s="173" t="s">
        <v>55</v>
      </c>
      <c r="F2" s="173" t="s">
        <v>56</v>
      </c>
      <c r="G2" s="173" t="s">
        <v>57</v>
      </c>
      <c r="H2" s="173" t="s">
        <v>58</v>
      </c>
      <c r="I2" s="173" t="s">
        <v>59</v>
      </c>
      <c r="J2" s="193" t="s">
        <v>60</v>
      </c>
      <c r="AN2" s="169" t="s">
        <v>61</v>
      </c>
    </row>
    <row r="3" s="138" customFormat="1" ht="15.75" customHeight="1" spans="1:40">
      <c r="A3" s="174"/>
      <c r="B3" s="148" t="s">
        <v>3</v>
      </c>
      <c r="C3" s="175">
        <f>'2024年'!C6</f>
        <v>4000</v>
      </c>
      <c r="D3" s="175">
        <f>'2025年'!C6</f>
        <v>5000</v>
      </c>
      <c r="E3" s="175">
        <f>'2026年'!C6</f>
        <v>6000</v>
      </c>
      <c r="F3" s="175">
        <f>'2027年'!C6</f>
        <v>6000</v>
      </c>
      <c r="G3" s="175">
        <f>'2028年'!C6</f>
        <v>6000</v>
      </c>
      <c r="H3" s="175">
        <f>'2029年'!C6</f>
        <v>6000</v>
      </c>
      <c r="I3" s="175">
        <f>'2030年'!C6</f>
        <v>6000</v>
      </c>
      <c r="J3" s="175">
        <f>SUM(C3:I3)</f>
        <v>39000</v>
      </c>
      <c r="K3" s="151"/>
      <c r="AL3" s="147" t="s">
        <v>21</v>
      </c>
      <c r="AM3" s="148" t="s">
        <v>3</v>
      </c>
      <c r="AN3" s="138" t="s">
        <v>62</v>
      </c>
    </row>
    <row r="4" s="138" customFormat="1" ht="15.75" customHeight="1" spans="1:40">
      <c r="A4" s="140">
        <v>1</v>
      </c>
      <c r="B4" s="148" t="s">
        <v>63</v>
      </c>
      <c r="C4" s="175">
        <f>'2024年'!C7</f>
        <v>4640000</v>
      </c>
      <c r="D4" s="175">
        <f>'2025年'!C7</f>
        <v>5800000</v>
      </c>
      <c r="E4" s="175">
        <f>'2026年'!C7</f>
        <v>6960000</v>
      </c>
      <c r="F4" s="175">
        <f>'2027年'!C7</f>
        <v>6960000</v>
      </c>
      <c r="G4" s="175">
        <f>'2028年'!C7</f>
        <v>6960000</v>
      </c>
      <c r="H4" s="175">
        <f>'2029年'!C7</f>
        <v>6960000</v>
      </c>
      <c r="I4" s="175">
        <f>'2030年'!C7</f>
        <v>6960000</v>
      </c>
      <c r="J4" s="175">
        <f t="shared" ref="J4:J10" si="0">SUM(C4:I4)</f>
        <v>45240000</v>
      </c>
      <c r="K4" s="151"/>
      <c r="AL4" s="147" t="s">
        <v>64</v>
      </c>
      <c r="AM4" s="148" t="s">
        <v>63</v>
      </c>
      <c r="AN4" s="138" t="s">
        <v>62</v>
      </c>
    </row>
    <row r="5" s="138" customFormat="1" ht="15.75" customHeight="1" spans="1:40">
      <c r="A5" s="140">
        <v>2</v>
      </c>
      <c r="B5" s="140" t="s">
        <v>65</v>
      </c>
      <c r="C5" s="175">
        <f>'2024年'!C8</f>
        <v>0</v>
      </c>
      <c r="D5" s="175">
        <f>'2025年'!C8</f>
        <v>174000</v>
      </c>
      <c r="E5" s="175">
        <f>'2026年'!C8</f>
        <v>411336</v>
      </c>
      <c r="F5" s="175">
        <f>'2027年'!C8</f>
        <v>607795.92</v>
      </c>
      <c r="G5" s="175">
        <f>'2028年'!C8</f>
        <v>798362.0424</v>
      </c>
      <c r="H5" s="175">
        <f>'2029年'!C8</f>
        <v>983211.181128</v>
      </c>
      <c r="I5" s="175">
        <f>'2030年'!C8</f>
        <v>1162514.84569416</v>
      </c>
      <c r="J5" s="175">
        <f t="shared" si="0"/>
        <v>4137219.98922216</v>
      </c>
      <c r="K5" s="151"/>
      <c r="AL5" s="147" t="s">
        <v>66</v>
      </c>
      <c r="AM5" s="140" t="s">
        <v>67</v>
      </c>
      <c r="AN5" s="138" t="s">
        <v>62</v>
      </c>
    </row>
    <row r="6" s="138" customFormat="1" ht="15.75" customHeight="1" spans="1:40">
      <c r="A6" s="140">
        <v>3</v>
      </c>
      <c r="B6" s="148" t="s">
        <v>68</v>
      </c>
      <c r="C6" s="175">
        <f>'2024年'!C9</f>
        <v>4640000</v>
      </c>
      <c r="D6" s="175">
        <f>'2025年'!C9</f>
        <v>5626000</v>
      </c>
      <c r="E6" s="175">
        <f>'2026年'!C9</f>
        <v>6548664</v>
      </c>
      <c r="F6" s="175">
        <f>'2027年'!C9</f>
        <v>6352204.08</v>
      </c>
      <c r="G6" s="175">
        <f>'2028年'!C9</f>
        <v>6161637.9576</v>
      </c>
      <c r="H6" s="175">
        <f>'2029年'!C9</f>
        <v>5976788.818872</v>
      </c>
      <c r="I6" s="175">
        <f>'2030年'!C9</f>
        <v>5797485.15430584</v>
      </c>
      <c r="J6" s="175">
        <f t="shared" si="0"/>
        <v>41102780.0107778</v>
      </c>
      <c r="K6" s="151"/>
      <c r="AL6" s="147" t="s">
        <v>69</v>
      </c>
      <c r="AM6" s="148" t="s">
        <v>68</v>
      </c>
      <c r="AN6" s="138" t="s">
        <v>70</v>
      </c>
    </row>
    <row r="7" s="138" customFormat="1" ht="15.75" customHeight="1" spans="1:40">
      <c r="A7" s="140">
        <v>4</v>
      </c>
      <c r="B7" s="147" t="s">
        <v>71</v>
      </c>
      <c r="C7" s="175">
        <f>'2024年'!C10</f>
        <v>3312880</v>
      </c>
      <c r="D7" s="175">
        <f>'2025年'!C10</f>
        <v>4016867</v>
      </c>
      <c r="E7" s="175">
        <f>'2026年'!C10</f>
        <v>4675633.188</v>
      </c>
      <c r="F7" s="175">
        <f>'2027年'!C10</f>
        <v>4535364.19236</v>
      </c>
      <c r="G7" s="175">
        <f>'2028年'!C10</f>
        <v>4399303.2665892</v>
      </c>
      <c r="H7" s="175">
        <f>'2029年'!C10</f>
        <v>4267324.16859152</v>
      </c>
      <c r="I7" s="175">
        <f>'2030年'!C10</f>
        <v>4139304.44353378</v>
      </c>
      <c r="J7" s="175">
        <f t="shared" si="0"/>
        <v>29346676.2590745</v>
      </c>
      <c r="K7" s="151"/>
      <c r="AL7" s="147" t="s">
        <v>72</v>
      </c>
      <c r="AM7" s="147" t="s">
        <v>73</v>
      </c>
      <c r="AN7" s="138" t="s">
        <v>74</v>
      </c>
    </row>
    <row r="8" s="138" customFormat="1" ht="15.75" customHeight="1" spans="1:39">
      <c r="A8" s="140">
        <v>5</v>
      </c>
      <c r="B8" s="147" t="s">
        <v>75</v>
      </c>
      <c r="C8" s="175">
        <f>'2024年'!C11</f>
        <v>199984</v>
      </c>
      <c r="D8" s="175">
        <f>'2025年'!C11</f>
        <v>249980</v>
      </c>
      <c r="E8" s="175">
        <f>'2026年'!C11</f>
        <v>299976</v>
      </c>
      <c r="F8" s="175">
        <f>'2027年'!C11</f>
        <v>299976</v>
      </c>
      <c r="G8" s="175">
        <f>'2028年'!C11</f>
        <v>299976</v>
      </c>
      <c r="H8" s="175">
        <f>'2029年'!C11</f>
        <v>299976</v>
      </c>
      <c r="I8" s="175">
        <f>'2030年'!C11</f>
        <v>299976</v>
      </c>
      <c r="J8" s="175">
        <f t="shared" si="0"/>
        <v>1949844</v>
      </c>
      <c r="K8" s="151"/>
      <c r="AL8" s="147" t="s">
        <v>76</v>
      </c>
      <c r="AM8" s="147" t="s">
        <v>75</v>
      </c>
    </row>
    <row r="9" s="138" customFormat="1" ht="15.75" customHeight="1" spans="1:39">
      <c r="A9" s="140">
        <v>6</v>
      </c>
      <c r="B9" s="147" t="s">
        <v>77</v>
      </c>
      <c r="C9" s="175">
        <f>'2024年'!C12</f>
        <v>100688</v>
      </c>
      <c r="D9" s="175">
        <f>'2025年'!C12</f>
        <v>125860</v>
      </c>
      <c r="E9" s="175">
        <f>'2026年'!C12</f>
        <v>151032</v>
      </c>
      <c r="F9" s="175">
        <f>'2027年'!C12</f>
        <v>151032</v>
      </c>
      <c r="G9" s="175">
        <f>'2028年'!C12</f>
        <v>151032</v>
      </c>
      <c r="H9" s="175">
        <f>'2029年'!C12</f>
        <v>151032</v>
      </c>
      <c r="I9" s="175">
        <f>'2030年'!C12</f>
        <v>151032</v>
      </c>
      <c r="J9" s="175">
        <f t="shared" si="0"/>
        <v>981708</v>
      </c>
      <c r="K9" s="151"/>
      <c r="AL9" s="147" t="s">
        <v>78</v>
      </c>
      <c r="AM9" s="147" t="s">
        <v>77</v>
      </c>
    </row>
    <row r="10" s="138" customFormat="1" ht="15.75" customHeight="1" spans="1:40">
      <c r="A10" s="140">
        <v>7</v>
      </c>
      <c r="B10" s="147" t="s">
        <v>79</v>
      </c>
      <c r="C10" s="175">
        <f>'2024年'!C13</f>
        <v>204160</v>
      </c>
      <c r="D10" s="175">
        <f>'2025年'!C13</f>
        <v>255200</v>
      </c>
      <c r="E10" s="175">
        <f>'2026年'!C13</f>
        <v>306240</v>
      </c>
      <c r="F10" s="175">
        <f>'2027年'!C13</f>
        <v>306240</v>
      </c>
      <c r="G10" s="175">
        <f>'2028年'!C13</f>
        <v>306240</v>
      </c>
      <c r="H10" s="175">
        <f>'2029年'!C13</f>
        <v>306240</v>
      </c>
      <c r="I10" s="175">
        <f>'2030年'!C13</f>
        <v>306240</v>
      </c>
      <c r="J10" s="175">
        <f t="shared" si="0"/>
        <v>1990560</v>
      </c>
      <c r="K10" s="151"/>
      <c r="AL10" s="147" t="s">
        <v>80</v>
      </c>
      <c r="AM10" s="147" t="s">
        <v>79</v>
      </c>
      <c r="AN10" s="138" t="s">
        <v>62</v>
      </c>
    </row>
    <row r="11" s="138" customFormat="1" ht="15.75" customHeight="1" spans="1:39">
      <c r="A11" s="140">
        <v>8</v>
      </c>
      <c r="B11" s="176" t="s">
        <v>81</v>
      </c>
      <c r="C11" s="177">
        <f>SUM(C8:C10)</f>
        <v>504832</v>
      </c>
      <c r="D11" s="177">
        <f>SUM(D8:D10)</f>
        <v>631040</v>
      </c>
      <c r="E11" s="177">
        <f>SUM(E8:E10)</f>
        <v>757248</v>
      </c>
      <c r="F11" s="177">
        <f>SUM(F8:F10)</f>
        <v>757248</v>
      </c>
      <c r="G11" s="177">
        <f>SUM(G8:G10)</f>
        <v>757248</v>
      </c>
      <c r="H11" s="177">
        <f>SUM(H8:H10)</f>
        <v>757248</v>
      </c>
      <c r="I11" s="177">
        <f>SUM(I8:I10)</f>
        <v>757248</v>
      </c>
      <c r="J11" s="177">
        <f>SUM(J8:J10)</f>
        <v>4922112</v>
      </c>
      <c r="K11" s="151"/>
      <c r="AL11" s="147" t="s">
        <v>82</v>
      </c>
      <c r="AM11" s="152" t="s">
        <v>81</v>
      </c>
    </row>
    <row r="12" s="138" customFormat="1" ht="15.75" customHeight="1" spans="1:39">
      <c r="A12" s="140">
        <v>9</v>
      </c>
      <c r="B12" s="178" t="s">
        <v>83</v>
      </c>
      <c r="C12" s="175">
        <f>'2024年'!C15</f>
        <v>822288</v>
      </c>
      <c r="D12" s="179">
        <f>'2025年'!C15</f>
        <v>978093</v>
      </c>
      <c r="E12" s="175">
        <f>'2026年'!C15</f>
        <v>1115782.812</v>
      </c>
      <c r="F12" s="175">
        <f>'2027年'!C15</f>
        <v>1059591.88764</v>
      </c>
      <c r="G12" s="175">
        <f>'2028年'!C15</f>
        <v>1005086.6910108</v>
      </c>
      <c r="H12" s="175">
        <f>'2029年'!C15</f>
        <v>952216.650280477</v>
      </c>
      <c r="I12" s="175">
        <f>'2030年'!C15</f>
        <v>900932.710772062</v>
      </c>
      <c r="J12" s="175">
        <f>SUM(C12:I12)</f>
        <v>6833991.75170334</v>
      </c>
      <c r="K12" s="151"/>
      <c r="M12" s="169"/>
      <c r="N12" s="169"/>
      <c r="O12" s="169"/>
      <c r="P12" s="169"/>
      <c r="Q12" s="169"/>
      <c r="R12" s="169"/>
      <c r="AL12" s="147" t="s">
        <v>84</v>
      </c>
      <c r="AM12" s="152" t="s">
        <v>83</v>
      </c>
    </row>
    <row r="13" ht="15.75" customHeight="1" spans="1:39">
      <c r="A13" s="140">
        <v>10</v>
      </c>
      <c r="B13" s="180" t="s">
        <v>85</v>
      </c>
      <c r="C13" s="181">
        <f>+C12/C6</f>
        <v>0.17721724137931</v>
      </c>
      <c r="D13" s="181">
        <f>+D12/D6</f>
        <v>0.173852292925702</v>
      </c>
      <c r="E13" s="181">
        <f>+E12/E6</f>
        <v>0.170383273901364</v>
      </c>
      <c r="F13" s="181">
        <f>+F12/F6</f>
        <v>0.16680696562885</v>
      </c>
      <c r="G13" s="181">
        <f>+G12/G6</f>
        <v>0.16312004988399</v>
      </c>
      <c r="H13" s="181">
        <f>+H12/H6</f>
        <v>0.159319105817125</v>
      </c>
      <c r="I13" s="181">
        <f>+I12/I6</f>
        <v>0.155400606779119</v>
      </c>
      <c r="J13" s="181">
        <f>+J12/J6</f>
        <v>0.166265925319683</v>
      </c>
      <c r="K13" s="151"/>
      <c r="AL13" s="180" t="s">
        <v>86</v>
      </c>
      <c r="AM13" s="180" t="s">
        <v>85</v>
      </c>
    </row>
    <row r="14" ht="15.75" customHeight="1" spans="1:39">
      <c r="A14" s="140">
        <v>11</v>
      </c>
      <c r="B14" s="180" t="s">
        <v>87</v>
      </c>
      <c r="C14" s="175">
        <f>'2024年'!C17</f>
        <v>190240</v>
      </c>
      <c r="D14" s="179">
        <f>'2025年'!C17</f>
        <v>237800</v>
      </c>
      <c r="E14" s="175">
        <f>'2026年'!C17</f>
        <v>285360</v>
      </c>
      <c r="F14" s="175">
        <f>'2027年'!C17</f>
        <v>285360</v>
      </c>
      <c r="G14" s="175">
        <f>'2028年'!C17</f>
        <v>285360</v>
      </c>
      <c r="H14" s="175">
        <f>'2029年'!C17</f>
        <v>285360</v>
      </c>
      <c r="I14" s="175">
        <f>'2030年'!C17</f>
        <v>285360</v>
      </c>
      <c r="J14" s="175">
        <f>SUM(C14:I14)</f>
        <v>1854840</v>
      </c>
      <c r="K14" s="151"/>
      <c r="AL14" s="180" t="s">
        <v>88</v>
      </c>
      <c r="AM14" s="180" t="s">
        <v>87</v>
      </c>
    </row>
    <row r="15" ht="15.75" customHeight="1" spans="1:39">
      <c r="A15" s="140"/>
      <c r="B15" s="180"/>
      <c r="C15" s="175"/>
      <c r="D15" s="175"/>
      <c r="E15" s="175"/>
      <c r="F15" s="175"/>
      <c r="G15" s="175"/>
      <c r="H15" s="175"/>
      <c r="I15" s="175"/>
      <c r="J15" s="175">
        <f>SUM(C15:E15)</f>
        <v>0</v>
      </c>
      <c r="K15" s="151"/>
      <c r="AL15" s="180"/>
      <c r="AM15" s="180"/>
    </row>
    <row r="16" ht="15.75" customHeight="1" spans="1:40">
      <c r="A16" s="140">
        <v>12</v>
      </c>
      <c r="B16" s="180" t="s">
        <v>89</v>
      </c>
      <c r="C16" s="182">
        <f>'2024年'!C19</f>
        <v>32480</v>
      </c>
      <c r="D16" s="182">
        <f>'2025年'!C19</f>
        <v>40600</v>
      </c>
      <c r="E16" s="175">
        <f>'2026年'!C19</f>
        <v>48720</v>
      </c>
      <c r="F16" s="175">
        <f>'2027年'!C19</f>
        <v>48720</v>
      </c>
      <c r="G16" s="175">
        <f>'2028年'!C19</f>
        <v>48720</v>
      </c>
      <c r="H16" s="175">
        <f>'2029年'!C19</f>
        <v>48720</v>
      </c>
      <c r="I16" s="175">
        <f>'2030年'!C19</f>
        <v>48720</v>
      </c>
      <c r="J16" s="175">
        <f t="shared" ref="J16:J23" si="1">SUM(C16:I16)</f>
        <v>316680</v>
      </c>
      <c r="K16" s="151"/>
      <c r="S16" s="151"/>
      <c r="AL16" s="180" t="s">
        <v>90</v>
      </c>
      <c r="AM16" s="180" t="s">
        <v>89</v>
      </c>
      <c r="AN16" s="169" t="s">
        <v>62</v>
      </c>
    </row>
    <row r="17" ht="15.75" customHeight="1" spans="1:39">
      <c r="A17" s="140">
        <v>13</v>
      </c>
      <c r="B17" s="180" t="s">
        <v>91</v>
      </c>
      <c r="C17" s="182">
        <f>'2024年'!C20</f>
        <v>157760</v>
      </c>
      <c r="D17" s="182">
        <f>'2025年'!C20</f>
        <v>197200</v>
      </c>
      <c r="E17" s="175">
        <f>'2026年'!C20</f>
        <v>236640</v>
      </c>
      <c r="F17" s="175">
        <f>'2027年'!C20</f>
        <v>236640</v>
      </c>
      <c r="G17" s="175">
        <f>'2028年'!C20</f>
        <v>236640</v>
      </c>
      <c r="H17" s="175">
        <f>'2029年'!C20</f>
        <v>236640</v>
      </c>
      <c r="I17" s="175">
        <f>'2030年'!C20</f>
        <v>236640</v>
      </c>
      <c r="J17" s="175">
        <f>SUM(C17:I17)</f>
        <v>1538160</v>
      </c>
      <c r="K17" s="151"/>
      <c r="AL17" s="180" t="s">
        <v>92</v>
      </c>
      <c r="AM17" s="180" t="s">
        <v>91</v>
      </c>
    </row>
    <row r="18" s="137" customFormat="1" ht="15.75" customHeight="1" spans="1:39">
      <c r="A18" s="140">
        <v>14</v>
      </c>
      <c r="B18" s="159" t="s">
        <v>93</v>
      </c>
      <c r="C18" s="182">
        <f>'2024年'!C21</f>
        <v>0</v>
      </c>
      <c r="D18" s="182">
        <f>'2025年'!C21</f>
        <v>0</v>
      </c>
      <c r="E18" s="175">
        <f>'2026年'!C21</f>
        <v>0</v>
      </c>
      <c r="F18" s="175">
        <f>'2027年'!C21</f>
        <v>0</v>
      </c>
      <c r="G18" s="175">
        <f>'2028年'!C21</f>
        <v>0</v>
      </c>
      <c r="H18" s="175">
        <f>'2029年'!C21</f>
        <v>0</v>
      </c>
      <c r="I18" s="175">
        <f>'2030年'!C21</f>
        <v>0</v>
      </c>
      <c r="J18" s="175">
        <f>SUM(C18:E18)</f>
        <v>0</v>
      </c>
      <c r="K18" s="151"/>
      <c r="AL18" s="159"/>
      <c r="AM18" s="159"/>
    </row>
    <row r="19" s="138" customFormat="1" ht="15.75" customHeight="1" spans="1:39">
      <c r="A19" s="140">
        <v>15</v>
      </c>
      <c r="B19" s="147" t="s">
        <v>94</v>
      </c>
      <c r="C19" s="182">
        <f>'2024年'!C22</f>
        <v>139200</v>
      </c>
      <c r="D19" s="182">
        <f>'2025年'!C22</f>
        <v>174000</v>
      </c>
      <c r="E19" s="175">
        <f>'2026年'!C22</f>
        <v>208800</v>
      </c>
      <c r="F19" s="175">
        <f>'2027年'!C22</f>
        <v>208800</v>
      </c>
      <c r="G19" s="175">
        <f>'2028年'!C22</f>
        <v>208800</v>
      </c>
      <c r="H19" s="175">
        <f>'2029年'!C22</f>
        <v>208800</v>
      </c>
      <c r="I19" s="175">
        <f>'2030年'!C22</f>
        <v>208800</v>
      </c>
      <c r="J19" s="175">
        <f t="shared" si="1"/>
        <v>1357200</v>
      </c>
      <c r="K19" s="151"/>
      <c r="AL19" s="147" t="s">
        <v>95</v>
      </c>
      <c r="AM19" s="147" t="s">
        <v>94</v>
      </c>
    </row>
    <row r="20" s="167" customFormat="1" ht="15.75" customHeight="1" spans="1:39">
      <c r="A20" s="140">
        <v>16</v>
      </c>
      <c r="B20" s="183" t="s">
        <v>96</v>
      </c>
      <c r="C20" s="177">
        <f>+C19+C18+C17+C16+C14</f>
        <v>519680</v>
      </c>
      <c r="D20" s="177">
        <f>+D19+D18+D17+D16+D14</f>
        <v>649600</v>
      </c>
      <c r="E20" s="177">
        <f>+E19+E18+E17+E16+E14</f>
        <v>779520</v>
      </c>
      <c r="F20" s="177">
        <f>+F19+F18+F17+F16+F14</f>
        <v>779520</v>
      </c>
      <c r="G20" s="177">
        <f>+G19+G18+G17+G16+G14</f>
        <v>779520</v>
      </c>
      <c r="H20" s="177">
        <f>+H19+H18+H17+H16+H14</f>
        <v>779520</v>
      </c>
      <c r="I20" s="177">
        <f>+I19+I18+I17+I16+I14</f>
        <v>779520</v>
      </c>
      <c r="J20" s="177">
        <f>+J19+J18+J17+J16+J14</f>
        <v>5066880</v>
      </c>
      <c r="K20" s="151"/>
      <c r="AL20" s="196" t="s">
        <v>97</v>
      </c>
      <c r="AM20" s="197" t="s">
        <v>96</v>
      </c>
    </row>
    <row r="21" ht="15.75" customHeight="1" spans="1:39">
      <c r="A21" s="140">
        <v>17</v>
      </c>
      <c r="B21" s="180" t="s">
        <v>98</v>
      </c>
      <c r="C21" s="184">
        <f>'2024年'!C24</f>
        <v>302608</v>
      </c>
      <c r="D21" s="184">
        <f>'2025年'!C24</f>
        <v>328493</v>
      </c>
      <c r="E21" s="175">
        <f>'2026年'!C24</f>
        <v>336262.812</v>
      </c>
      <c r="F21" s="175">
        <f>'2027年'!C24</f>
        <v>280071.88764</v>
      </c>
      <c r="G21" s="175">
        <f>'2028年'!C24</f>
        <v>225566.691010799</v>
      </c>
      <c r="H21" s="175">
        <f>'2029年'!C24</f>
        <v>172696.650280477</v>
      </c>
      <c r="I21" s="175">
        <f>'2030年'!C24</f>
        <v>121412.710772062</v>
      </c>
      <c r="J21" s="175">
        <f t="shared" si="1"/>
        <v>1767111.75170334</v>
      </c>
      <c r="K21" s="194" t="s">
        <v>52</v>
      </c>
      <c r="AL21" s="180" t="s">
        <v>99</v>
      </c>
      <c r="AM21" s="180" t="s">
        <v>98</v>
      </c>
    </row>
    <row r="22" ht="15.75" customHeight="1" spans="1:39">
      <c r="A22" s="140">
        <v>18</v>
      </c>
      <c r="B22" s="180" t="s">
        <v>38</v>
      </c>
      <c r="C22" s="184">
        <f>'2024年'!C25</f>
        <v>75652</v>
      </c>
      <c r="D22" s="184">
        <f>'2025年'!C25</f>
        <v>82123.2499999999</v>
      </c>
      <c r="E22" s="175">
        <f>'2026年'!C25</f>
        <v>84065.703</v>
      </c>
      <c r="F22" s="175">
        <f>'2027年'!C25</f>
        <v>70017.9719100001</v>
      </c>
      <c r="G22" s="175">
        <f>'2028年'!C25</f>
        <v>56391.6727526998</v>
      </c>
      <c r="H22" s="175">
        <f>'2029年'!C25</f>
        <v>43174.1625701191</v>
      </c>
      <c r="I22" s="175">
        <f>'2030年'!C25</f>
        <v>30353.1776930154</v>
      </c>
      <c r="J22" s="175">
        <f>SUM(C22:I22)</f>
        <v>441777.937925834</v>
      </c>
      <c r="K22" s="151"/>
      <c r="AL22" s="180" t="s">
        <v>100</v>
      </c>
      <c r="AM22" s="180" t="s">
        <v>38</v>
      </c>
    </row>
    <row r="23" ht="15.75" customHeight="1" spans="1:39">
      <c r="A23" s="140">
        <v>19</v>
      </c>
      <c r="B23" s="180" t="s">
        <v>101</v>
      </c>
      <c r="C23" s="184">
        <f>'2024年'!C26</f>
        <v>226956</v>
      </c>
      <c r="D23" s="184">
        <f>'2025年'!C26</f>
        <v>246369.75</v>
      </c>
      <c r="E23" s="175">
        <f>'2026年'!C26</f>
        <v>252197.109</v>
      </c>
      <c r="F23" s="175">
        <f>'2027年'!C26</f>
        <v>210053.91573</v>
      </c>
      <c r="G23" s="175">
        <f>'2028年'!C26</f>
        <v>169175.018258099</v>
      </c>
      <c r="H23" s="175">
        <f>'2029年'!C26</f>
        <v>129522.487710357</v>
      </c>
      <c r="I23" s="175">
        <f>'2030年'!C26</f>
        <v>91059.5330790463</v>
      </c>
      <c r="J23" s="175">
        <f t="shared" si="1"/>
        <v>1325333.8137775</v>
      </c>
      <c r="K23" s="194" t="s">
        <v>52</v>
      </c>
      <c r="AL23" s="180" t="s">
        <v>102</v>
      </c>
      <c r="AM23" s="180" t="s">
        <v>101</v>
      </c>
    </row>
    <row r="24" ht="15.75" customHeight="1" spans="1:39">
      <c r="A24" s="140">
        <v>20</v>
      </c>
      <c r="B24" s="180" t="s">
        <v>103</v>
      </c>
      <c r="C24" s="185">
        <f t="shared" ref="C24:I24" si="2">C23/C4</f>
        <v>0.0489129310344828</v>
      </c>
      <c r="D24" s="185">
        <f t="shared" si="2"/>
        <v>0.0424775431034482</v>
      </c>
      <c r="E24" s="185">
        <f t="shared" si="2"/>
        <v>0.0362352168103448</v>
      </c>
      <c r="F24" s="185">
        <f t="shared" si="2"/>
        <v>0.0301801603060345</v>
      </c>
      <c r="G24" s="185">
        <f t="shared" si="2"/>
        <v>0.0243067554968534</v>
      </c>
      <c r="H24" s="185">
        <f t="shared" si="2"/>
        <v>0.0186095528319479</v>
      </c>
      <c r="I24" s="185">
        <f>I23/I4</f>
        <v>0.0130832662469894</v>
      </c>
      <c r="J24" s="185">
        <f>J23/J4</f>
        <v>0.0292956192258511</v>
      </c>
      <c r="K24" s="194" t="s">
        <v>52</v>
      </c>
      <c r="AL24" s="198" t="s">
        <v>104</v>
      </c>
      <c r="AM24" s="198" t="s">
        <v>105</v>
      </c>
    </row>
    <row r="25" s="168" customFormat="1" ht="15.75" customHeight="1" spans="3:11">
      <c r="C25" s="186"/>
      <c r="D25" s="186"/>
      <c r="E25" s="186"/>
      <c r="F25" s="186"/>
      <c r="G25" s="186"/>
      <c r="H25" s="186"/>
      <c r="I25" s="186"/>
      <c r="J25" s="186"/>
      <c r="K25" s="195"/>
    </row>
    <row r="26" s="168" customFormat="1" ht="15.75" customHeight="1" spans="1:38">
      <c r="A26" s="168" t="s">
        <v>106</v>
      </c>
      <c r="C26" s="187"/>
      <c r="D26" s="187"/>
      <c r="E26" s="187"/>
      <c r="F26" s="187"/>
      <c r="G26" s="187"/>
      <c r="H26" s="187"/>
      <c r="I26" s="187"/>
      <c r="J26" s="187"/>
      <c r="K26" s="195"/>
      <c r="AL26" s="168" t="s">
        <v>106</v>
      </c>
    </row>
    <row r="27" ht="15.75" customHeight="1" spans="1:40">
      <c r="A27" s="180" t="s">
        <v>21</v>
      </c>
      <c r="B27" s="188" t="s">
        <v>1</v>
      </c>
      <c r="C27" s="173" t="s">
        <v>53</v>
      </c>
      <c r="D27" s="173" t="s">
        <v>54</v>
      </c>
      <c r="E27" s="173" t="s">
        <v>55</v>
      </c>
      <c r="F27" s="173" t="s">
        <v>56</v>
      </c>
      <c r="G27" s="173" t="s">
        <v>57</v>
      </c>
      <c r="H27" s="173" t="s">
        <v>58</v>
      </c>
      <c r="I27" s="173" t="s">
        <v>59</v>
      </c>
      <c r="J27" s="193" t="s">
        <v>60</v>
      </c>
      <c r="AN27" s="169" t="s">
        <v>61</v>
      </c>
    </row>
    <row r="28" s="138" customFormat="1" ht="15.75" customHeight="1" spans="1:39">
      <c r="A28" s="147" t="s">
        <v>107</v>
      </c>
      <c r="B28" s="152" t="s">
        <v>108</v>
      </c>
      <c r="C28" s="158"/>
      <c r="D28" s="158"/>
      <c r="E28" s="158"/>
      <c r="F28" s="158"/>
      <c r="G28" s="158"/>
      <c r="H28" s="158"/>
      <c r="I28" s="158"/>
      <c r="J28" s="158"/>
      <c r="K28" s="151"/>
      <c r="AL28" s="147" t="s">
        <v>109</v>
      </c>
      <c r="AM28" s="152" t="s">
        <v>108</v>
      </c>
    </row>
    <row r="29" s="138" customFormat="1" ht="15.75" customHeight="1" spans="1:39">
      <c r="A29" s="147" t="s">
        <v>64</v>
      </c>
      <c r="B29" s="147" t="s">
        <v>110</v>
      </c>
      <c r="C29" s="150">
        <f>'2024年'!C32</f>
        <v>1160</v>
      </c>
      <c r="D29" s="150">
        <f>'2025年'!C32</f>
        <v>1125.2</v>
      </c>
      <c r="E29" s="150">
        <f>'2026年'!C32</f>
        <v>1091.444</v>
      </c>
      <c r="F29" s="150">
        <f>'2027年'!C32</f>
        <v>1058.70068</v>
      </c>
      <c r="G29" s="150">
        <f>'2028年'!C32</f>
        <v>1026.9396596</v>
      </c>
      <c r="H29" s="150">
        <f>'2029年'!C32</f>
        <v>996.131469812</v>
      </c>
      <c r="I29" s="150">
        <f>'2030年'!C32</f>
        <v>966.24752571764</v>
      </c>
      <c r="J29" s="150">
        <f>+J6/J3</f>
        <v>1053.91743617379</v>
      </c>
      <c r="K29" s="151"/>
      <c r="AL29" s="147" t="s">
        <v>64</v>
      </c>
      <c r="AM29" s="147" t="s">
        <v>110</v>
      </c>
    </row>
    <row r="30" s="138" customFormat="1" ht="15.75" customHeight="1" spans="1:39">
      <c r="A30" s="147" t="s">
        <v>66</v>
      </c>
      <c r="B30" s="147" t="s">
        <v>111</v>
      </c>
      <c r="C30" s="150">
        <f>'2024年'!C33</f>
        <v>828.22</v>
      </c>
      <c r="D30" s="150">
        <f>'2025年'!C33</f>
        <v>803.3734</v>
      </c>
      <c r="E30" s="150">
        <f>'2026年'!C33</f>
        <v>779.272198</v>
      </c>
      <c r="F30" s="150">
        <f>'2027年'!C33</f>
        <v>755.89403206</v>
      </c>
      <c r="G30" s="150">
        <f>'2028年'!C33</f>
        <v>733.2172110982</v>
      </c>
      <c r="H30" s="150">
        <f>'2029年'!C33</f>
        <v>711.220694765254</v>
      </c>
      <c r="I30" s="150">
        <f>'2030年'!C33</f>
        <v>689.884073922296</v>
      </c>
      <c r="J30" s="150">
        <f>+J7/J3</f>
        <v>752.478878437808</v>
      </c>
      <c r="K30" s="151"/>
      <c r="AL30" s="147" t="s">
        <v>66</v>
      </c>
      <c r="AM30" s="147" t="s">
        <v>111</v>
      </c>
    </row>
    <row r="31" s="138" customFormat="1" ht="15.75" customHeight="1" spans="1:39">
      <c r="A31" s="147" t="s">
        <v>112</v>
      </c>
      <c r="B31" s="147" t="s">
        <v>113</v>
      </c>
      <c r="C31" s="150">
        <f>'2024年'!C34</f>
        <v>331.78</v>
      </c>
      <c r="D31" s="150">
        <f>'2025年'!C34</f>
        <v>321.8266</v>
      </c>
      <c r="E31" s="150">
        <f>'2026年'!C34</f>
        <v>312.171802</v>
      </c>
      <c r="F31" s="150">
        <f>'2027年'!C34</f>
        <v>302.80664794</v>
      </c>
      <c r="G31" s="150">
        <f>'2028年'!C34</f>
        <v>293.7224485018</v>
      </c>
      <c r="H31" s="150">
        <f>'2029年'!C34</f>
        <v>284.910775046746</v>
      </c>
      <c r="I31" s="150">
        <f>'2030年'!C34</f>
        <v>276.363451795344</v>
      </c>
      <c r="J31" s="158">
        <f>J29-J30</f>
        <v>301.438557735983</v>
      </c>
      <c r="K31" s="151"/>
      <c r="AL31" s="147" t="s">
        <v>112</v>
      </c>
      <c r="AM31" s="147" t="s">
        <v>113</v>
      </c>
    </row>
    <row r="32" s="138" customFormat="1" ht="15.75" customHeight="1" spans="1:39">
      <c r="A32" s="147">
        <v>3.1</v>
      </c>
      <c r="B32" s="147" t="s">
        <v>114</v>
      </c>
      <c r="C32" s="153">
        <f t="shared" ref="C32:I32" si="3">C31/C29</f>
        <v>0.28601724137931</v>
      </c>
      <c r="D32" s="153">
        <f t="shared" si="3"/>
        <v>0.28601724137931</v>
      </c>
      <c r="E32" s="153">
        <f t="shared" si="3"/>
        <v>0.28601724137931</v>
      </c>
      <c r="F32" s="153">
        <f t="shared" si="3"/>
        <v>0.28601724137931</v>
      </c>
      <c r="G32" s="153">
        <f t="shared" si="3"/>
        <v>0.28601724137931</v>
      </c>
      <c r="H32" s="153">
        <f t="shared" si="3"/>
        <v>0.28601724137931</v>
      </c>
      <c r="I32" s="153">
        <f t="shared" si="3"/>
        <v>0.28601724137931</v>
      </c>
      <c r="J32" s="153">
        <f>J31/J29</f>
        <v>0.28601724137931</v>
      </c>
      <c r="K32" s="151"/>
      <c r="AL32" s="147"/>
      <c r="AM32" s="147"/>
    </row>
    <row r="33" s="138" customFormat="1" ht="15.75" customHeight="1" spans="1:39">
      <c r="A33" s="147" t="s">
        <v>109</v>
      </c>
      <c r="B33" s="152" t="s">
        <v>10</v>
      </c>
      <c r="C33" s="158"/>
      <c r="D33" s="158"/>
      <c r="E33" s="158"/>
      <c r="F33" s="158"/>
      <c r="G33" s="158"/>
      <c r="H33" s="158"/>
      <c r="I33" s="158"/>
      <c r="J33" s="158"/>
      <c r="K33" s="151"/>
      <c r="AL33" s="147" t="s">
        <v>115</v>
      </c>
      <c r="AM33" s="152" t="s">
        <v>10</v>
      </c>
    </row>
    <row r="34" s="138" customFormat="1" ht="15.75" customHeight="1" spans="1:39">
      <c r="A34" s="147" t="s">
        <v>64</v>
      </c>
      <c r="B34" s="159" t="s">
        <v>116</v>
      </c>
      <c r="C34" s="150">
        <f>+C8/C3</f>
        <v>49.996</v>
      </c>
      <c r="D34" s="150">
        <f>+D8/D3</f>
        <v>49.996</v>
      </c>
      <c r="E34" s="150">
        <f>+E8/E3</f>
        <v>49.996</v>
      </c>
      <c r="F34" s="150">
        <f>+F8/F3</f>
        <v>49.996</v>
      </c>
      <c r="G34" s="150">
        <f>+G8/G3</f>
        <v>49.996</v>
      </c>
      <c r="H34" s="150">
        <f>+H8/H3</f>
        <v>49.996</v>
      </c>
      <c r="I34" s="150">
        <f>+I8/I3</f>
        <v>49.996</v>
      </c>
      <c r="J34" s="150">
        <f>+J8/J3</f>
        <v>49.996</v>
      </c>
      <c r="K34" s="151"/>
      <c r="AL34" s="147" t="s">
        <v>112</v>
      </c>
      <c r="AM34" s="147" t="s">
        <v>116</v>
      </c>
    </row>
    <row r="35" s="138" customFormat="1" ht="15.75" customHeight="1" spans="1:39">
      <c r="A35" s="147" t="s">
        <v>66</v>
      </c>
      <c r="B35" s="159" t="s">
        <v>117</v>
      </c>
      <c r="C35" s="150">
        <f>+C9/C3</f>
        <v>25.172</v>
      </c>
      <c r="D35" s="150">
        <f>+D9/D3</f>
        <v>25.172</v>
      </c>
      <c r="E35" s="150">
        <f>+E9/E3</f>
        <v>25.172</v>
      </c>
      <c r="F35" s="150">
        <f>+F9/F4</f>
        <v>0.0217</v>
      </c>
      <c r="G35" s="150">
        <f>+G9/G4</f>
        <v>0.0217</v>
      </c>
      <c r="H35" s="150">
        <f>+H9/H4</f>
        <v>0.0217</v>
      </c>
      <c r="I35" s="150">
        <f>+I9/I4</f>
        <v>0.0217</v>
      </c>
      <c r="J35" s="150">
        <f>+J9/J3</f>
        <v>25.172</v>
      </c>
      <c r="K35" s="151"/>
      <c r="AL35" s="147" t="s">
        <v>69</v>
      </c>
      <c r="AM35" s="147" t="s">
        <v>117</v>
      </c>
    </row>
    <row r="36" s="138" customFormat="1" ht="15.75" customHeight="1" spans="1:39">
      <c r="A36" s="147" t="s">
        <v>112</v>
      </c>
      <c r="B36" s="159" t="s">
        <v>118</v>
      </c>
      <c r="C36" s="150">
        <f>+C10/C3</f>
        <v>51.04</v>
      </c>
      <c r="D36" s="150">
        <f>+D10/D3</f>
        <v>51.04</v>
      </c>
      <c r="E36" s="150">
        <f>+E10/E3</f>
        <v>51.04</v>
      </c>
      <c r="F36" s="150">
        <f>+F10/F5</f>
        <v>0.503853332875285</v>
      </c>
      <c r="G36" s="150">
        <f>+G10/G5</f>
        <v>0.383585370716517</v>
      </c>
      <c r="H36" s="150">
        <f>+H10/H5</f>
        <v>0.311469199982717</v>
      </c>
      <c r="I36" s="150">
        <f>+I10/I5</f>
        <v>0.263428893948566</v>
      </c>
      <c r="J36" s="150">
        <f>+J10/J3</f>
        <v>51.04</v>
      </c>
      <c r="K36" s="151"/>
      <c r="AL36" s="147" t="s">
        <v>76</v>
      </c>
      <c r="AM36" s="147" t="s">
        <v>118</v>
      </c>
    </row>
    <row r="37" s="138" customFormat="1" ht="15.75" customHeight="1" spans="1:39">
      <c r="A37" s="147" t="s">
        <v>119</v>
      </c>
      <c r="B37" s="178" t="s">
        <v>120</v>
      </c>
      <c r="C37" s="150"/>
      <c r="D37" s="150"/>
      <c r="E37" s="150"/>
      <c r="F37" s="150"/>
      <c r="G37" s="150"/>
      <c r="H37" s="150"/>
      <c r="I37" s="150"/>
      <c r="J37" s="150"/>
      <c r="K37" s="151"/>
      <c r="AL37" s="147" t="s">
        <v>119</v>
      </c>
      <c r="AM37" s="152" t="s">
        <v>120</v>
      </c>
    </row>
    <row r="38" s="138" customFormat="1" spans="1:39">
      <c r="A38" s="147" t="s">
        <v>64</v>
      </c>
      <c r="B38" s="159" t="s">
        <v>121</v>
      </c>
      <c r="C38" s="150">
        <f>+C12/C3</f>
        <v>205.572</v>
      </c>
      <c r="D38" s="150">
        <f>+D12/D3</f>
        <v>195.6186</v>
      </c>
      <c r="E38" s="150">
        <f>+E12/E3</f>
        <v>185.963802</v>
      </c>
      <c r="F38" s="150">
        <f>+F12/F3</f>
        <v>176.59864794</v>
      </c>
      <c r="G38" s="150">
        <f>+G12/G3</f>
        <v>167.5144485018</v>
      </c>
      <c r="H38" s="150">
        <f>+H12/H3</f>
        <v>158.702775046746</v>
      </c>
      <c r="I38" s="150">
        <f>+I12/I3</f>
        <v>150.155451795344</v>
      </c>
      <c r="J38" s="150">
        <f>+J12/J3</f>
        <v>175.230557735983</v>
      </c>
      <c r="K38" s="151"/>
      <c r="AL38" s="147" t="s">
        <v>64</v>
      </c>
      <c r="AM38" s="147" t="s">
        <v>122</v>
      </c>
    </row>
    <row r="39" s="138" customFormat="1" ht="15.75" customHeight="1" spans="1:39">
      <c r="A39" s="147" t="s">
        <v>66</v>
      </c>
      <c r="B39" s="159" t="s">
        <v>123</v>
      </c>
      <c r="C39" s="175">
        <f>+C20/C38</f>
        <v>2527.97073531415</v>
      </c>
      <c r="D39" s="175">
        <f>+D20/D38</f>
        <v>3320.74761806904</v>
      </c>
      <c r="E39" s="175">
        <f>+E20/E38</f>
        <v>4191.78351709544</v>
      </c>
      <c r="F39" s="175">
        <f>+F20/F38</f>
        <v>4414.07682953974</v>
      </c>
      <c r="G39" s="175">
        <f>+G20/G38</f>
        <v>4653.44934106758</v>
      </c>
      <c r="H39" s="175">
        <f>+H20/H38</f>
        <v>4911.8233740424</v>
      </c>
      <c r="I39" s="175">
        <f>+I20/I38</f>
        <v>5191.41989637817</v>
      </c>
      <c r="J39" s="175">
        <f>+J20/J38</f>
        <v>28915.504609842</v>
      </c>
      <c r="K39" s="151"/>
      <c r="AL39" s="147" t="s">
        <v>66</v>
      </c>
      <c r="AM39" s="147" t="s">
        <v>123</v>
      </c>
    </row>
    <row r="40" s="138" customFormat="1" ht="15.75" customHeight="1" spans="1:39">
      <c r="A40" s="147" t="s">
        <v>124</v>
      </c>
      <c r="B40" s="152" t="s">
        <v>125</v>
      </c>
      <c r="C40" s="158"/>
      <c r="D40" s="158"/>
      <c r="E40" s="158"/>
      <c r="F40" s="158"/>
      <c r="G40" s="158"/>
      <c r="H40" s="158"/>
      <c r="I40" s="158"/>
      <c r="J40" s="158"/>
      <c r="K40" s="151"/>
      <c r="AL40" s="147" t="s">
        <v>124</v>
      </c>
      <c r="AM40" s="152" t="s">
        <v>125</v>
      </c>
    </row>
    <row r="41" s="138" customFormat="1" ht="15.75" customHeight="1" spans="1:39">
      <c r="A41" s="147" t="s">
        <v>64</v>
      </c>
      <c r="B41" s="147" t="s">
        <v>126</v>
      </c>
      <c r="C41" s="158">
        <f>+C14/C3</f>
        <v>47.56</v>
      </c>
      <c r="D41" s="158">
        <f>+D14/D3</f>
        <v>47.56</v>
      </c>
      <c r="E41" s="158">
        <f>+E14/E3</f>
        <v>47.56</v>
      </c>
      <c r="F41" s="158">
        <f>+F14/F3</f>
        <v>47.56</v>
      </c>
      <c r="G41" s="158">
        <f>+G14/G3</f>
        <v>47.56</v>
      </c>
      <c r="H41" s="158">
        <f>+H14/H3</f>
        <v>47.56</v>
      </c>
      <c r="I41" s="158">
        <f>+I14/I3</f>
        <v>47.56</v>
      </c>
      <c r="J41" s="158">
        <f>+J14/J3</f>
        <v>47.56</v>
      </c>
      <c r="K41" s="151"/>
      <c r="AL41" s="147" t="s">
        <v>64</v>
      </c>
      <c r="AM41" s="147" t="s">
        <v>126</v>
      </c>
    </row>
    <row r="42" s="138" customFormat="1" ht="15.75" customHeight="1" spans="1:39">
      <c r="A42" s="147" t="s">
        <v>66</v>
      </c>
      <c r="B42" s="147" t="s">
        <v>127</v>
      </c>
      <c r="C42" s="158">
        <f>+C16/C3</f>
        <v>8.12</v>
      </c>
      <c r="D42" s="158">
        <f>+D16/D3</f>
        <v>8.12</v>
      </c>
      <c r="E42" s="158">
        <f>+E16/E3</f>
        <v>8.12</v>
      </c>
      <c r="F42" s="158">
        <f>+F16/F3</f>
        <v>8.12</v>
      </c>
      <c r="G42" s="158">
        <f>+G16/G3</f>
        <v>8.12</v>
      </c>
      <c r="H42" s="158">
        <f>+H16/H3</f>
        <v>8.12</v>
      </c>
      <c r="I42" s="158">
        <f>+I16/I3</f>
        <v>8.12</v>
      </c>
      <c r="J42" s="158">
        <f>+J16/J3</f>
        <v>8.12</v>
      </c>
      <c r="K42" s="151"/>
      <c r="AL42" s="147" t="s">
        <v>66</v>
      </c>
      <c r="AM42" s="147" t="s">
        <v>127</v>
      </c>
    </row>
    <row r="43" s="138" customFormat="1" ht="15.75" customHeight="1" spans="1:39">
      <c r="A43" s="147" t="s">
        <v>112</v>
      </c>
      <c r="B43" s="147" t="s">
        <v>128</v>
      </c>
      <c r="C43" s="158">
        <f>+C17/C3</f>
        <v>39.44</v>
      </c>
      <c r="D43" s="158">
        <f>+D17/D3</f>
        <v>39.44</v>
      </c>
      <c r="E43" s="158">
        <f>+E17/E3</f>
        <v>39.44</v>
      </c>
      <c r="F43" s="158">
        <f>+F17/F3</f>
        <v>39.44</v>
      </c>
      <c r="G43" s="158">
        <f>+G17/G3</f>
        <v>39.44</v>
      </c>
      <c r="H43" s="158">
        <f>+H17/H3</f>
        <v>39.44</v>
      </c>
      <c r="I43" s="158">
        <f>+I17/I3</f>
        <v>39.44</v>
      </c>
      <c r="J43" s="158">
        <f>+J17/J3</f>
        <v>39.44</v>
      </c>
      <c r="K43" s="151"/>
      <c r="AL43" s="147" t="s">
        <v>112</v>
      </c>
      <c r="AM43" s="147" t="s">
        <v>128</v>
      </c>
    </row>
    <row r="44" s="138" customFormat="1" ht="15.75" customHeight="1" spans="1:39">
      <c r="A44" s="147" t="s">
        <v>69</v>
      </c>
      <c r="B44" s="147" t="s">
        <v>129</v>
      </c>
      <c r="C44" s="158">
        <f>C18/C3</f>
        <v>0</v>
      </c>
      <c r="D44" s="158">
        <f>D18/D3</f>
        <v>0</v>
      </c>
      <c r="E44" s="158">
        <f>E18/E3</f>
        <v>0</v>
      </c>
      <c r="F44" s="158">
        <f>F18/F3</f>
        <v>0</v>
      </c>
      <c r="G44" s="158">
        <f>G18/G3</f>
        <v>0</v>
      </c>
      <c r="H44" s="158">
        <f>H18/H3</f>
        <v>0</v>
      </c>
      <c r="I44" s="158">
        <f>I18/I3</f>
        <v>0</v>
      </c>
      <c r="J44" s="158">
        <f>J18/J3</f>
        <v>0</v>
      </c>
      <c r="K44" s="151"/>
      <c r="AL44" s="147" t="s">
        <v>69</v>
      </c>
      <c r="AM44" s="147" t="s">
        <v>130</v>
      </c>
    </row>
    <row r="45" s="138" customFormat="1" ht="15.75" customHeight="1" spans="1:39">
      <c r="A45" s="147" t="s">
        <v>72</v>
      </c>
      <c r="B45" s="147" t="s">
        <v>131</v>
      </c>
      <c r="C45" s="158">
        <f>C19/C3</f>
        <v>34.8</v>
      </c>
      <c r="D45" s="158">
        <f>D19/D3</f>
        <v>34.8</v>
      </c>
      <c r="E45" s="158">
        <f>E19/E3</f>
        <v>34.8</v>
      </c>
      <c r="F45" s="158">
        <f>F19/F3</f>
        <v>34.8</v>
      </c>
      <c r="G45" s="158">
        <f>G19/G3</f>
        <v>34.8</v>
      </c>
      <c r="H45" s="158">
        <f>H19/H3</f>
        <v>34.8</v>
      </c>
      <c r="I45" s="158">
        <f>I19/I3</f>
        <v>34.8</v>
      </c>
      <c r="J45" s="158">
        <f>J19/J3</f>
        <v>34.8</v>
      </c>
      <c r="K45" s="151"/>
      <c r="AL45" s="147" t="s">
        <v>72</v>
      </c>
      <c r="AM45" s="147" t="s">
        <v>131</v>
      </c>
    </row>
    <row r="46" s="138" customFormat="1" ht="15.75" customHeight="1" spans="1:39">
      <c r="A46" s="147" t="s">
        <v>132</v>
      </c>
      <c r="B46" s="152" t="s">
        <v>133</v>
      </c>
      <c r="C46" s="158"/>
      <c r="D46" s="158"/>
      <c r="E46" s="158"/>
      <c r="F46" s="158"/>
      <c r="G46" s="158"/>
      <c r="H46" s="158"/>
      <c r="I46" s="158"/>
      <c r="J46" s="158"/>
      <c r="K46" s="151"/>
      <c r="AL46" s="147" t="s">
        <v>132</v>
      </c>
      <c r="AM46" s="152" t="s">
        <v>133</v>
      </c>
    </row>
    <row r="47" s="138" customFormat="1" ht="15.75" customHeight="1" spans="1:39">
      <c r="A47" s="147" t="s">
        <v>64</v>
      </c>
      <c r="B47" s="147" t="s">
        <v>134</v>
      </c>
      <c r="C47" s="161">
        <f>+(C10+C16)/C6</f>
        <v>0.051</v>
      </c>
      <c r="D47" s="161">
        <f>+(D10+D16)/D6</f>
        <v>0.0525773195876289</v>
      </c>
      <c r="E47" s="161">
        <f>+(E10+E16)/E6</f>
        <v>0.0542034222552875</v>
      </c>
      <c r="F47" s="161">
        <f>+(F10+F16)/F6</f>
        <v>0.0558798167580283</v>
      </c>
      <c r="G47" s="161">
        <f>+(G10+G16)/G6</f>
        <v>0.0576080585134313</v>
      </c>
      <c r="H47" s="161">
        <f>+(H10+H16)/H6</f>
        <v>0.0593897510447745</v>
      </c>
      <c r="I47" s="161">
        <f>+(I10+I16)/I6</f>
        <v>0.0612265474688397</v>
      </c>
      <c r="J47" s="161">
        <f>+(J10+J16)/J6</f>
        <v>0.0561334294029504</v>
      </c>
      <c r="K47" s="151"/>
      <c r="AL47" s="147" t="s">
        <v>64</v>
      </c>
      <c r="AM47" s="147" t="s">
        <v>134</v>
      </c>
    </row>
    <row r="48" s="138" customFormat="1" ht="15.75" customHeight="1" spans="1:39">
      <c r="A48" s="147" t="s">
        <v>66</v>
      </c>
      <c r="B48" s="147" t="s">
        <v>135</v>
      </c>
      <c r="C48" s="161">
        <f>+(C8+C9+C14)/C6</f>
        <v>0.1058</v>
      </c>
      <c r="D48" s="161">
        <f>+(D8+D9+D14)/D6</f>
        <v>0.109072164948454</v>
      </c>
      <c r="E48" s="161">
        <f>+(E8+E9+E14)/E6</f>
        <v>0.112445530874694</v>
      </c>
      <c r="F48" s="161">
        <f>+(F8+F9+F14)/F6</f>
        <v>0.115923227705871</v>
      </c>
      <c r="G48" s="161">
        <f>+(G8+G9+G14)/G6</f>
        <v>0.119508482171001</v>
      </c>
      <c r="H48" s="161">
        <f>+(H8+H9+H14)/H6</f>
        <v>0.123204620794846</v>
      </c>
      <c r="I48" s="161">
        <f>+(I8+I9+I14)/I6</f>
        <v>0.127015072984377</v>
      </c>
      <c r="J48" s="161">
        <f>+(J8+J9+J14)/J6</f>
        <v>0.11644934962416</v>
      </c>
      <c r="K48" s="151"/>
      <c r="AL48" s="147" t="s">
        <v>66</v>
      </c>
      <c r="AM48" s="147" t="s">
        <v>135</v>
      </c>
    </row>
    <row r="49" s="138" customFormat="1" ht="15.75" customHeight="1" spans="1:39">
      <c r="A49" s="147" t="s">
        <v>112</v>
      </c>
      <c r="B49" s="147" t="s">
        <v>136</v>
      </c>
      <c r="C49" s="161">
        <f>+C17/C6</f>
        <v>0.034</v>
      </c>
      <c r="D49" s="161">
        <f>+D17/D6</f>
        <v>0.0350515463917526</v>
      </c>
      <c r="E49" s="161">
        <f>+E17/E6</f>
        <v>0.0361356148368583</v>
      </c>
      <c r="F49" s="161">
        <f>+F17/F6</f>
        <v>0.0372532111720189</v>
      </c>
      <c r="G49" s="161">
        <f>+G17/G6</f>
        <v>0.0384053723422875</v>
      </c>
      <c r="H49" s="161">
        <f>+H17/H6</f>
        <v>0.039593167363183</v>
      </c>
      <c r="I49" s="161">
        <f>+I17/I6</f>
        <v>0.0408176983125598</v>
      </c>
      <c r="J49" s="161">
        <f>+J17/J6</f>
        <v>0.0374222862686336</v>
      </c>
      <c r="K49" s="151"/>
      <c r="AL49" s="147" t="s">
        <v>112</v>
      </c>
      <c r="AM49" s="147" t="s">
        <v>136</v>
      </c>
    </row>
    <row r="50" s="138" customFormat="1" ht="15.75" customHeight="1" spans="1:39">
      <c r="A50" s="147" t="s">
        <v>69</v>
      </c>
      <c r="B50" s="147" t="s">
        <v>137</v>
      </c>
      <c r="C50" s="161">
        <f>+C18/C6</f>
        <v>0</v>
      </c>
      <c r="D50" s="161">
        <f>+D18/D6</f>
        <v>0</v>
      </c>
      <c r="E50" s="161">
        <f>+E18/E6</f>
        <v>0</v>
      </c>
      <c r="F50" s="161">
        <f>+F18/F6</f>
        <v>0</v>
      </c>
      <c r="G50" s="161">
        <f>+G18/G6</f>
        <v>0</v>
      </c>
      <c r="H50" s="161">
        <f>+H18/H6</f>
        <v>0</v>
      </c>
      <c r="I50" s="161">
        <f>+I18/I6</f>
        <v>0</v>
      </c>
      <c r="J50" s="161">
        <f>+J18/J6</f>
        <v>0</v>
      </c>
      <c r="K50" s="151"/>
      <c r="AL50" s="147" t="s">
        <v>69</v>
      </c>
      <c r="AM50" s="147" t="s">
        <v>137</v>
      </c>
    </row>
    <row r="51" s="138" customFormat="1" ht="15.75" customHeight="1" spans="1:39">
      <c r="A51" s="147" t="s">
        <v>72</v>
      </c>
      <c r="B51" s="147" t="s">
        <v>138</v>
      </c>
      <c r="C51" s="161">
        <f>+C19/C6</f>
        <v>0.03</v>
      </c>
      <c r="D51" s="161">
        <f>+D19/D6</f>
        <v>0.0309278350515464</v>
      </c>
      <c r="E51" s="161">
        <f>+E19/E6</f>
        <v>0.0318843660325221</v>
      </c>
      <c r="F51" s="161">
        <f>+F19/F6</f>
        <v>0.032870480445899</v>
      </c>
      <c r="G51" s="161">
        <f>+G19/G6</f>
        <v>0.0338870932431949</v>
      </c>
      <c r="H51" s="161">
        <f>+H19/H6</f>
        <v>0.0349351476733968</v>
      </c>
      <c r="I51" s="161">
        <f>+I19/I6</f>
        <v>0.036015616158141</v>
      </c>
      <c r="J51" s="161">
        <f>+J19/J6</f>
        <v>0.0330196643546767</v>
      </c>
      <c r="K51" s="151"/>
      <c r="AL51" s="147" t="s">
        <v>72</v>
      </c>
      <c r="AM51" s="147" t="s">
        <v>138</v>
      </c>
    </row>
    <row r="52" s="138" customFormat="1" ht="15.75" customHeight="1" spans="1:39">
      <c r="A52" s="147" t="s">
        <v>76</v>
      </c>
      <c r="B52" s="147" t="s">
        <v>139</v>
      </c>
      <c r="C52" s="161">
        <f>+C23/C6</f>
        <v>0.0489129310344828</v>
      </c>
      <c r="D52" s="161">
        <f>+D23/D6</f>
        <v>0.0437912815499466</v>
      </c>
      <c r="E52" s="161">
        <f>+E23/E6</f>
        <v>0.038511230534961</v>
      </c>
      <c r="F52" s="161">
        <f>+F23/F6</f>
        <v>0.0330678789731202</v>
      </c>
      <c r="G52" s="161">
        <f>+G23/G6</f>
        <v>0.027456176332047</v>
      </c>
      <c r="H52" s="161">
        <f>+H23/H6</f>
        <v>0.0216709158773326</v>
      </c>
      <c r="I52" s="161">
        <f>+I23/I6</f>
        <v>0.0157067298415444</v>
      </c>
      <c r="J52" s="161">
        <f>+J23/J6</f>
        <v>0.0322443837966672</v>
      </c>
      <c r="K52" s="151"/>
      <c r="AL52" s="147" t="s">
        <v>76</v>
      </c>
      <c r="AM52" s="147" t="s">
        <v>140</v>
      </c>
    </row>
    <row r="53" s="138" customFormat="1" ht="15.75" customHeight="1" spans="1:39">
      <c r="A53" s="147" t="s">
        <v>141</v>
      </c>
      <c r="B53" s="152" t="s">
        <v>142</v>
      </c>
      <c r="C53" s="158">
        <f>+C21/C3</f>
        <v>75.652</v>
      </c>
      <c r="D53" s="158">
        <f>+D21/D3</f>
        <v>65.6985999999999</v>
      </c>
      <c r="E53" s="158">
        <f>+E21/E3</f>
        <v>56.043802</v>
      </c>
      <c r="F53" s="158">
        <f>+F21/F3</f>
        <v>46.6786479400001</v>
      </c>
      <c r="G53" s="158">
        <f>+G21/G3</f>
        <v>37.5944485017999</v>
      </c>
      <c r="H53" s="158">
        <f>+H21/H3</f>
        <v>28.7827750467461</v>
      </c>
      <c r="I53" s="158">
        <f>+I21/I3</f>
        <v>20.2354517953436</v>
      </c>
      <c r="J53" s="158">
        <f>+J21/J3</f>
        <v>45.310557735983</v>
      </c>
      <c r="K53" s="151"/>
      <c r="AL53" s="147" t="s">
        <v>141</v>
      </c>
      <c r="AM53" s="152" t="s">
        <v>142</v>
      </c>
    </row>
    <row r="54" s="138" customFormat="1" ht="15.75" customHeight="1" spans="1:39">
      <c r="A54" s="147" t="s">
        <v>143</v>
      </c>
      <c r="B54" s="189" t="s">
        <v>144</v>
      </c>
      <c r="C54" s="158"/>
      <c r="D54" s="158"/>
      <c r="E54" s="158"/>
      <c r="F54" s="158"/>
      <c r="G54" s="158"/>
      <c r="H54" s="158"/>
      <c r="I54" s="158"/>
      <c r="J54" s="158"/>
      <c r="K54" s="151"/>
      <c r="AL54" s="147"/>
      <c r="AM54" s="152"/>
    </row>
    <row r="55" s="138" customFormat="1" ht="15.75" customHeight="1" spans="1:11">
      <c r="A55" s="147" t="s">
        <v>64</v>
      </c>
      <c r="B55" s="147" t="s">
        <v>145</v>
      </c>
      <c r="C55" s="158">
        <f>C56+C57</f>
        <v>0</v>
      </c>
      <c r="D55" s="158"/>
      <c r="E55" s="158"/>
      <c r="F55" s="158"/>
      <c r="G55" s="158"/>
      <c r="H55" s="158"/>
      <c r="I55" s="158"/>
      <c r="J55" s="158"/>
      <c r="K55" s="151"/>
    </row>
    <row r="56" s="138" customFormat="1" ht="15.75" customHeight="1" spans="1:11">
      <c r="A56" s="147">
        <v>1.1</v>
      </c>
      <c r="B56" s="190" t="s">
        <v>146</v>
      </c>
      <c r="C56" s="158">
        <f>项目投资!B27</f>
        <v>0</v>
      </c>
      <c r="D56" s="158"/>
      <c r="E56" s="158"/>
      <c r="F56" s="158"/>
      <c r="G56" s="158"/>
      <c r="H56" s="158"/>
      <c r="I56" s="158"/>
      <c r="J56" s="158"/>
      <c r="K56" s="151"/>
    </row>
    <row r="57" s="138" customFormat="1" ht="15.75" customHeight="1" spans="1:11">
      <c r="A57" s="147">
        <v>1.2</v>
      </c>
      <c r="B57" s="147" t="s">
        <v>147</v>
      </c>
      <c r="C57" s="158">
        <f>项目投资!B26</f>
        <v>0</v>
      </c>
      <c r="D57" s="158"/>
      <c r="E57" s="158"/>
      <c r="F57" s="158"/>
      <c r="G57" s="158"/>
      <c r="H57" s="158"/>
      <c r="I57" s="158"/>
      <c r="J57" s="158"/>
      <c r="K57" s="151"/>
    </row>
    <row r="58" ht="15.75" customHeight="1" spans="1:11">
      <c r="A58" s="180" t="s">
        <v>66</v>
      </c>
      <c r="B58" s="180" t="s">
        <v>148</v>
      </c>
      <c r="C58" s="191">
        <f>C59+C60</f>
        <v>226956</v>
      </c>
      <c r="D58" s="191">
        <f>D59+D60</f>
        <v>246369.75</v>
      </c>
      <c r="E58" s="191">
        <f>E59+E60</f>
        <v>252197.109</v>
      </c>
      <c r="F58" s="191">
        <f>F59+F60</f>
        <v>210053.91573</v>
      </c>
      <c r="G58" s="191">
        <f>G59+G60</f>
        <v>169175.018258099</v>
      </c>
      <c r="H58" s="191">
        <f>H59+H60</f>
        <v>129522.487710357</v>
      </c>
      <c r="I58" s="191">
        <f>I59+I60</f>
        <v>91059.5330790463</v>
      </c>
      <c r="J58" s="191">
        <f>J59+J60</f>
        <v>1325333.8137775</v>
      </c>
      <c r="K58" s="151"/>
    </row>
    <row r="59" ht="15.75" customHeight="1" spans="1:11">
      <c r="A59" s="180" t="s">
        <v>112</v>
      </c>
      <c r="B59" s="180" t="s">
        <v>149</v>
      </c>
      <c r="C59" s="191">
        <f>C23</f>
        <v>226956</v>
      </c>
      <c r="D59" s="191">
        <f>D23</f>
        <v>246369.75</v>
      </c>
      <c r="E59" s="191">
        <f>E23</f>
        <v>252197.109</v>
      </c>
      <c r="F59" s="191">
        <f>F23</f>
        <v>210053.91573</v>
      </c>
      <c r="G59" s="191">
        <f>G23</f>
        <v>169175.018258099</v>
      </c>
      <c r="H59" s="191">
        <f>H23</f>
        <v>129522.487710357</v>
      </c>
      <c r="I59" s="191">
        <f>I23</f>
        <v>91059.5330790463</v>
      </c>
      <c r="J59" s="191">
        <f>J23</f>
        <v>1325333.8137775</v>
      </c>
      <c r="K59" s="151"/>
    </row>
    <row r="60" ht="15.75" customHeight="1" spans="1:11">
      <c r="A60" s="180" t="s">
        <v>69</v>
      </c>
      <c r="B60" s="180" t="s">
        <v>150</v>
      </c>
      <c r="C60" s="191">
        <f>'[2]2023年'!I18</f>
        <v>0</v>
      </c>
      <c r="D60" s="191"/>
      <c r="E60" s="191"/>
      <c r="F60" s="191"/>
      <c r="G60" s="191"/>
      <c r="H60" s="191"/>
      <c r="I60" s="191"/>
      <c r="J60" s="191">
        <f>[2]项目投资!G26</f>
        <v>0</v>
      </c>
      <c r="K60" s="151"/>
    </row>
    <row r="61" ht="15.75" customHeight="1" spans="1:11">
      <c r="A61" s="180" t="s">
        <v>72</v>
      </c>
      <c r="B61" s="180" t="s">
        <v>151</v>
      </c>
      <c r="C61" s="192"/>
      <c r="D61" s="192"/>
      <c r="E61" s="192"/>
      <c r="F61" s="192"/>
      <c r="G61" s="192"/>
      <c r="H61" s="192"/>
      <c r="I61" s="192"/>
      <c r="J61" s="191"/>
      <c r="K61" s="151"/>
    </row>
    <row r="63" spans="2:2">
      <c r="B63"/>
    </row>
  </sheetData>
  <mergeCells count="2">
    <mergeCell ref="A1:J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4" sqref="C24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39" customWidth="1"/>
    <col min="4" max="4" width="18.7545454545455" style="139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pans="1:4">
      <c r="A1" s="140" t="s">
        <v>152</v>
      </c>
      <c r="B1" s="140"/>
      <c r="C1" s="141" t="s">
        <v>153</v>
      </c>
      <c r="D1" s="142"/>
    </row>
    <row r="2" spans="1:4">
      <c r="A2" s="140" t="s">
        <v>154</v>
      </c>
      <c r="B2" s="140"/>
      <c r="C2" s="143" t="s">
        <v>155</v>
      </c>
      <c r="D2" s="143"/>
    </row>
    <row r="3" ht="33" spans="1:4">
      <c r="A3" s="140" t="s">
        <v>156</v>
      </c>
      <c r="B3" s="140"/>
      <c r="C3" s="21" t="s">
        <v>157</v>
      </c>
      <c r="D3" s="144" t="s">
        <v>60</v>
      </c>
    </row>
    <row r="4" ht="33" spans="1:4">
      <c r="A4" s="140" t="s">
        <v>158</v>
      </c>
      <c r="B4" s="140"/>
      <c r="C4" s="21" t="s">
        <v>159</v>
      </c>
      <c r="D4" s="145"/>
    </row>
    <row r="5" ht="16.5" spans="1:33">
      <c r="A5" s="140" t="s">
        <v>160</v>
      </c>
      <c r="B5" s="140"/>
      <c r="C5" s="81"/>
      <c r="D5" s="146"/>
      <c r="AG5" s="138" t="s">
        <v>61</v>
      </c>
    </row>
    <row r="6" ht="16.5" spans="1:33">
      <c r="A6" s="147" t="s">
        <v>21</v>
      </c>
      <c r="B6" s="148" t="s">
        <v>161</v>
      </c>
      <c r="C6" s="149">
        <f>销量!C9</f>
        <v>4000</v>
      </c>
      <c r="D6" s="150">
        <f>+SUM(C6:C6)</f>
        <v>4000</v>
      </c>
      <c r="O6" s="148" t="s">
        <v>3</v>
      </c>
      <c r="AE6" s="147" t="s">
        <v>21</v>
      </c>
      <c r="AF6" s="148" t="s">
        <v>3</v>
      </c>
      <c r="AG6" s="138" t="s">
        <v>62</v>
      </c>
    </row>
    <row r="7" spans="1:33">
      <c r="A7" s="140">
        <v>1</v>
      </c>
      <c r="B7" s="148" t="s">
        <v>63</v>
      </c>
      <c r="C7" s="150">
        <f>C6*销量!C8</f>
        <v>4640000</v>
      </c>
      <c r="D7" s="150">
        <f t="shared" ref="D7:D15" si="0">+SUM(C7:C7)</f>
        <v>4640000</v>
      </c>
      <c r="E7" s="139"/>
      <c r="O7" s="148" t="s">
        <v>63</v>
      </c>
      <c r="AE7" s="147" t="s">
        <v>64</v>
      </c>
      <c r="AF7" s="148" t="s">
        <v>63</v>
      </c>
      <c r="AG7" s="138" t="s">
        <v>62</v>
      </c>
    </row>
    <row r="8" spans="1:33">
      <c r="A8" s="140">
        <v>2</v>
      </c>
      <c r="B8" s="140" t="s">
        <v>65</v>
      </c>
      <c r="C8" s="150"/>
      <c r="D8" s="150">
        <f>+SUM(C8:C8)</f>
        <v>0</v>
      </c>
      <c r="E8" s="151"/>
      <c r="O8" s="140" t="s">
        <v>67</v>
      </c>
      <c r="AE8" s="147" t="s">
        <v>66</v>
      </c>
      <c r="AF8" s="140" t="s">
        <v>67</v>
      </c>
      <c r="AG8" s="138" t="s">
        <v>62</v>
      </c>
    </row>
    <row r="9" spans="1:33">
      <c r="A9" s="140">
        <v>3</v>
      </c>
      <c r="B9" s="148" t="s">
        <v>68</v>
      </c>
      <c r="C9" s="150">
        <f>+C7-C8</f>
        <v>4640000</v>
      </c>
      <c r="D9" s="150">
        <f t="shared" si="0"/>
        <v>4640000</v>
      </c>
      <c r="O9" s="148" t="s">
        <v>68</v>
      </c>
      <c r="AE9" s="147" t="s">
        <v>69</v>
      </c>
      <c r="AF9" s="148" t="s">
        <v>68</v>
      </c>
      <c r="AG9" s="138" t="s">
        <v>70</v>
      </c>
    </row>
    <row r="10" spans="1:33">
      <c r="A10" s="140">
        <v>4</v>
      </c>
      <c r="B10" s="147" t="s">
        <v>73</v>
      </c>
      <c r="C10" s="150">
        <f>C6*C33</f>
        <v>3312880</v>
      </c>
      <c r="D10" s="150">
        <f t="shared" si="0"/>
        <v>3312880</v>
      </c>
      <c r="O10" s="147" t="s">
        <v>73</v>
      </c>
      <c r="AE10" s="147" t="s">
        <v>72</v>
      </c>
      <c r="AF10" s="147" t="s">
        <v>73</v>
      </c>
      <c r="AG10" s="138" t="s">
        <v>74</v>
      </c>
    </row>
    <row r="11" spans="1:32">
      <c r="A11" s="140">
        <v>5</v>
      </c>
      <c r="B11" s="147" t="s">
        <v>75</v>
      </c>
      <c r="C11" s="150">
        <f>+C6*C36</f>
        <v>199984</v>
      </c>
      <c r="D11" s="150">
        <f t="shared" si="0"/>
        <v>199984</v>
      </c>
      <c r="O11" s="147" t="s">
        <v>75</v>
      </c>
      <c r="AE11" s="147" t="s">
        <v>76</v>
      </c>
      <c r="AF11" s="147" t="s">
        <v>75</v>
      </c>
    </row>
    <row r="12" spans="1:32">
      <c r="A12" s="140">
        <v>6</v>
      </c>
      <c r="B12" s="147" t="s">
        <v>77</v>
      </c>
      <c r="C12" s="150">
        <f>+C6*C37</f>
        <v>100688</v>
      </c>
      <c r="D12" s="150">
        <f t="shared" si="0"/>
        <v>100688</v>
      </c>
      <c r="O12" s="147" t="s">
        <v>77</v>
      </c>
      <c r="AE12" s="147" t="s">
        <v>78</v>
      </c>
      <c r="AF12" s="147" t="s">
        <v>77</v>
      </c>
    </row>
    <row r="13" spans="1:33">
      <c r="A13" s="140">
        <v>7</v>
      </c>
      <c r="B13" s="147" t="s">
        <v>79</v>
      </c>
      <c r="C13" s="150">
        <f>+C6*C38</f>
        <v>204160</v>
      </c>
      <c r="D13" s="150">
        <f t="shared" si="0"/>
        <v>204160</v>
      </c>
      <c r="O13" s="147" t="s">
        <v>79</v>
      </c>
      <c r="AE13" s="147" t="s">
        <v>80</v>
      </c>
      <c r="AF13" s="147" t="s">
        <v>79</v>
      </c>
      <c r="AG13" s="138" t="s">
        <v>62</v>
      </c>
    </row>
    <row r="14" spans="1:32">
      <c r="A14" s="140">
        <v>8</v>
      </c>
      <c r="B14" s="152" t="s">
        <v>81</v>
      </c>
      <c r="C14" s="150">
        <f>SUM(C11:C13)</f>
        <v>504832</v>
      </c>
      <c r="D14" s="150">
        <f t="shared" si="0"/>
        <v>504832</v>
      </c>
      <c r="O14" s="152" t="s">
        <v>81</v>
      </c>
      <c r="AE14" s="147" t="s">
        <v>82</v>
      </c>
      <c r="AF14" s="152" t="s">
        <v>81</v>
      </c>
    </row>
    <row r="15" spans="1:32">
      <c r="A15" s="140">
        <v>9</v>
      </c>
      <c r="B15" s="152" t="s">
        <v>83</v>
      </c>
      <c r="C15" s="150">
        <f>+C9-C10-C14</f>
        <v>822288</v>
      </c>
      <c r="D15" s="150">
        <f t="shared" si="0"/>
        <v>822288</v>
      </c>
      <c r="O15" s="152" t="s">
        <v>83</v>
      </c>
      <c r="AE15" s="147" t="s">
        <v>84</v>
      </c>
      <c r="AF15" s="152" t="s">
        <v>83</v>
      </c>
    </row>
    <row r="16" spans="1:32">
      <c r="A16" s="140">
        <v>10</v>
      </c>
      <c r="B16" s="147" t="s">
        <v>85</v>
      </c>
      <c r="C16" s="153">
        <f>+C15/C9</f>
        <v>0.17721724137931</v>
      </c>
      <c r="D16" s="153">
        <f>+D15/D9</f>
        <v>0.17721724137931</v>
      </c>
      <c r="O16" s="147" t="s">
        <v>85</v>
      </c>
      <c r="AE16" s="147" t="s">
        <v>86</v>
      </c>
      <c r="AF16" s="147" t="s">
        <v>85</v>
      </c>
    </row>
    <row r="17" spans="1:32">
      <c r="A17" s="140">
        <v>11</v>
      </c>
      <c r="B17" s="147" t="s">
        <v>87</v>
      </c>
      <c r="C17" s="150">
        <f>C6*C43+C18</f>
        <v>190240</v>
      </c>
      <c r="D17" s="150">
        <f>+SUM(C17:C17)</f>
        <v>190240</v>
      </c>
      <c r="E17" s="151"/>
      <c r="O17" s="147" t="s">
        <v>87</v>
      </c>
      <c r="AE17" s="147" t="s">
        <v>88</v>
      </c>
      <c r="AF17" s="147" t="s">
        <v>87</v>
      </c>
    </row>
    <row r="18" s="136" customFormat="1" spans="1:7">
      <c r="A18" s="140">
        <v>12</v>
      </c>
      <c r="B18" s="155" t="s">
        <v>162</v>
      </c>
      <c r="C18" s="156">
        <f>$D$18/$D$6*C6</f>
        <v>0</v>
      </c>
      <c r="D18" s="150">
        <f>项目投资!D26</f>
        <v>0</v>
      </c>
      <c r="E18" s="157" t="s">
        <v>163</v>
      </c>
      <c r="F18" s="157"/>
      <c r="G18" s="157"/>
    </row>
    <row r="19" spans="1:33">
      <c r="A19" s="140">
        <v>13</v>
      </c>
      <c r="B19" s="147" t="s">
        <v>89</v>
      </c>
      <c r="C19" s="150">
        <f>C6*C44</f>
        <v>32480</v>
      </c>
      <c r="D19" s="150">
        <f>+SUM(C19:C19)</f>
        <v>32480</v>
      </c>
      <c r="E19" s="136"/>
      <c r="O19" s="147" t="s">
        <v>89</v>
      </c>
      <c r="AE19" s="147" t="s">
        <v>90</v>
      </c>
      <c r="AF19" s="147" t="s">
        <v>89</v>
      </c>
      <c r="AG19" s="138" t="s">
        <v>62</v>
      </c>
    </row>
    <row r="20" spans="1:32">
      <c r="A20" s="140">
        <v>14</v>
      </c>
      <c r="B20" s="147" t="s">
        <v>91</v>
      </c>
      <c r="C20" s="150">
        <f>C6*C45</f>
        <v>157760</v>
      </c>
      <c r="D20" s="150">
        <f>+SUM(C20:C20)</f>
        <v>157760</v>
      </c>
      <c r="O20" s="147" t="s">
        <v>91</v>
      </c>
      <c r="AE20" s="147" t="s">
        <v>92</v>
      </c>
      <c r="AF20" s="147" t="s">
        <v>91</v>
      </c>
    </row>
    <row r="21" spans="1:32">
      <c r="A21" s="140">
        <v>15</v>
      </c>
      <c r="B21" s="147" t="s">
        <v>93</v>
      </c>
      <c r="C21" s="158">
        <f>$D$21/$D$6*C6</f>
        <v>0</v>
      </c>
      <c r="D21" s="150">
        <f>项目投资!D27</f>
        <v>0</v>
      </c>
      <c r="O21" s="147" t="s">
        <v>93</v>
      </c>
      <c r="AE21" s="147"/>
      <c r="AF21" s="147"/>
    </row>
    <row r="22" spans="1:32">
      <c r="A22" s="140">
        <v>16</v>
      </c>
      <c r="B22" s="147" t="s">
        <v>94</v>
      </c>
      <c r="C22" s="150">
        <f>C6*C47</f>
        <v>139200</v>
      </c>
      <c r="D22" s="150">
        <f>+SUM(C22:C22)</f>
        <v>139200</v>
      </c>
      <c r="O22" s="147" t="s">
        <v>94</v>
      </c>
      <c r="AE22" s="147" t="s">
        <v>95</v>
      </c>
      <c r="AF22" s="147" t="s">
        <v>94</v>
      </c>
    </row>
    <row r="23" spans="1:32">
      <c r="A23" s="140">
        <v>17</v>
      </c>
      <c r="B23" s="152" t="s">
        <v>96</v>
      </c>
      <c r="C23" s="158">
        <f>+C22+C21+C20+C19+C17</f>
        <v>519680</v>
      </c>
      <c r="D23" s="158">
        <f>+D22+D21+D20+D19+D17</f>
        <v>519680</v>
      </c>
      <c r="O23" s="152" t="s">
        <v>96</v>
      </c>
      <c r="AE23" s="147" t="s">
        <v>97</v>
      </c>
      <c r="AF23" s="152" t="s">
        <v>96</v>
      </c>
    </row>
    <row r="24" spans="1:32">
      <c r="A24" s="140">
        <v>18</v>
      </c>
      <c r="B24" s="159" t="s">
        <v>98</v>
      </c>
      <c r="C24" s="158">
        <f>+C15-C23</f>
        <v>302608</v>
      </c>
      <c r="D24" s="158">
        <f>+D15-D23</f>
        <v>302608</v>
      </c>
      <c r="F24" s="160"/>
      <c r="O24" s="147" t="s">
        <v>98</v>
      </c>
      <c r="AE24" s="147" t="s">
        <v>99</v>
      </c>
      <c r="AF24" s="147" t="s">
        <v>98</v>
      </c>
    </row>
    <row r="25" spans="1:32">
      <c r="A25" s="140">
        <v>19</v>
      </c>
      <c r="B25" s="147" t="s">
        <v>164</v>
      </c>
      <c r="C25" s="158">
        <f>IF(C24&lt;0,0,C24*0.25)</f>
        <v>75652</v>
      </c>
      <c r="D25" s="158">
        <f>IF(D24&lt;0,0,D24*0.25)</f>
        <v>75652</v>
      </c>
      <c r="E25" s="2"/>
      <c r="F25" s="2"/>
      <c r="G25" s="2"/>
      <c r="O25" s="147" t="s">
        <v>38</v>
      </c>
      <c r="AE25" s="147" t="s">
        <v>100</v>
      </c>
      <c r="AF25" s="147" t="s">
        <v>38</v>
      </c>
    </row>
    <row r="26" spans="1:32">
      <c r="A26" s="140">
        <v>20</v>
      </c>
      <c r="B26" s="147" t="s">
        <v>101</v>
      </c>
      <c r="C26" s="158">
        <f>C24-C25</f>
        <v>226956</v>
      </c>
      <c r="D26" s="150">
        <f>+SUM(C26:C26)</f>
        <v>226956</v>
      </c>
      <c r="E26" s="2"/>
      <c r="F26" s="2"/>
      <c r="G26" s="2"/>
      <c r="O26" s="147" t="s">
        <v>101</v>
      </c>
      <c r="AE26" s="147" t="s">
        <v>102</v>
      </c>
      <c r="AF26" s="147" t="s">
        <v>101</v>
      </c>
    </row>
    <row r="27" spans="1:32">
      <c r="A27" s="140">
        <v>21</v>
      </c>
      <c r="B27" s="147" t="s">
        <v>105</v>
      </c>
      <c r="C27" s="161">
        <f>C26/C7</f>
        <v>0.0489129310344828</v>
      </c>
      <c r="D27" s="161">
        <f>D26/D7</f>
        <v>0.0489129310344828</v>
      </c>
      <c r="E27" s="2"/>
      <c r="F27" s="2"/>
      <c r="G27" s="2"/>
      <c r="O27" s="147" t="s">
        <v>105</v>
      </c>
      <c r="AE27" s="147" t="s">
        <v>104</v>
      </c>
      <c r="AF27" s="147" t="s">
        <v>105</v>
      </c>
    </row>
    <row r="28" spans="5:15">
      <c r="E28" s="2"/>
      <c r="F28" s="2"/>
      <c r="G28" s="2"/>
      <c r="O28" s="147"/>
    </row>
    <row r="29" spans="1:31">
      <c r="A29" s="138" t="s">
        <v>106</v>
      </c>
      <c r="D29" s="139" t="s">
        <v>165</v>
      </c>
      <c r="E29" s="2"/>
      <c r="F29" s="2"/>
      <c r="G29" s="2"/>
      <c r="O29" s="147"/>
      <c r="AE29" s="138" t="s">
        <v>106</v>
      </c>
    </row>
    <row r="30" spans="1:32">
      <c r="A30" s="147" t="s">
        <v>107</v>
      </c>
      <c r="B30" s="152" t="s">
        <v>108</v>
      </c>
      <c r="C30" s="158"/>
      <c r="D30" s="158"/>
      <c r="E30" s="2"/>
      <c r="F30" s="2"/>
      <c r="G30" s="2"/>
      <c r="I30" s="2"/>
      <c r="O30" s="152" t="s">
        <v>108</v>
      </c>
      <c r="AE30" s="147" t="s">
        <v>109</v>
      </c>
      <c r="AF30" s="152" t="s">
        <v>108</v>
      </c>
    </row>
    <row r="31" spans="1:32">
      <c r="A31" s="140">
        <v>1</v>
      </c>
      <c r="B31" s="155" t="s">
        <v>110</v>
      </c>
      <c r="C31" s="162">
        <f>销量!C8</f>
        <v>1160</v>
      </c>
      <c r="D31" s="158"/>
      <c r="E31" s="2"/>
      <c r="F31" s="2"/>
      <c r="G31" s="2"/>
      <c r="I31" s="2"/>
      <c r="O31" s="147" t="s">
        <v>110</v>
      </c>
      <c r="AE31" s="147" t="s">
        <v>64</v>
      </c>
      <c r="AF31" s="147" t="s">
        <v>110</v>
      </c>
    </row>
    <row r="32" spans="1:32">
      <c r="A32" s="140">
        <v>2</v>
      </c>
      <c r="B32" s="147" t="s">
        <v>166</v>
      </c>
      <c r="C32" s="150">
        <f>C31*1</f>
        <v>1160</v>
      </c>
      <c r="D32" s="158"/>
      <c r="E32" s="2"/>
      <c r="F32" s="2"/>
      <c r="G32" s="2"/>
      <c r="H32" s="2"/>
      <c r="I32" s="2"/>
      <c r="J32" s="2"/>
      <c r="K32" s="2"/>
      <c r="AE32" s="147"/>
      <c r="AF32" s="147"/>
    </row>
    <row r="33" spans="1:32">
      <c r="A33" s="140">
        <v>3</v>
      </c>
      <c r="B33" s="155" t="s">
        <v>111</v>
      </c>
      <c r="C33" s="150">
        <f>材料成本!D24</f>
        <v>828.22</v>
      </c>
      <c r="D33" s="158"/>
      <c r="F33" s="2"/>
      <c r="G33" s="2"/>
      <c r="H33" s="2"/>
      <c r="I33" s="2"/>
      <c r="J33" s="2"/>
      <c r="K33" s="2"/>
      <c r="O33" s="147" t="s">
        <v>111</v>
      </c>
      <c r="AE33" s="147" t="s">
        <v>66</v>
      </c>
      <c r="AF33" s="147" t="s">
        <v>111</v>
      </c>
    </row>
    <row r="34" ht="17.25" customHeight="1" spans="1:32">
      <c r="A34" s="140">
        <v>4</v>
      </c>
      <c r="B34" s="147" t="s">
        <v>113</v>
      </c>
      <c r="C34" s="163">
        <f>C32-C33</f>
        <v>331.78</v>
      </c>
      <c r="D34" s="158"/>
      <c r="F34" s="2"/>
      <c r="G34" s="2"/>
      <c r="H34" s="2"/>
      <c r="I34" s="2"/>
      <c r="J34" s="2"/>
      <c r="K34" s="2"/>
      <c r="O34" s="147" t="s">
        <v>113</v>
      </c>
      <c r="AE34" s="147" t="s">
        <v>112</v>
      </c>
      <c r="AF34" s="147" t="s">
        <v>113</v>
      </c>
    </row>
    <row r="35" spans="1:32">
      <c r="A35" s="147" t="s">
        <v>109</v>
      </c>
      <c r="B35" s="152" t="s">
        <v>10</v>
      </c>
      <c r="C35" s="158"/>
      <c r="D35" s="158"/>
      <c r="E35" s="2"/>
      <c r="F35" s="2"/>
      <c r="G35" s="2"/>
      <c r="H35" s="2"/>
      <c r="I35" s="2"/>
      <c r="J35" s="2"/>
      <c r="K35" s="2"/>
      <c r="L35" s="2"/>
      <c r="M35" s="2"/>
      <c r="N35" s="2"/>
      <c r="O35" s="152" t="s">
        <v>10</v>
      </c>
      <c r="AE35" s="147" t="s">
        <v>115</v>
      </c>
      <c r="AF35" s="152" t="s">
        <v>10</v>
      </c>
    </row>
    <row r="36" spans="1:32">
      <c r="A36" s="140">
        <v>1</v>
      </c>
      <c r="B36" s="147" t="s">
        <v>116</v>
      </c>
      <c r="C36" s="156">
        <f>标准成本!E4</f>
        <v>49.996</v>
      </c>
      <c r="D36" s="162"/>
      <c r="E36" s="2"/>
      <c r="F36" s="2"/>
      <c r="G36" s="2"/>
      <c r="H36" s="2"/>
      <c r="I36" s="2"/>
      <c r="J36" s="2"/>
      <c r="K36" s="2"/>
      <c r="L36" s="2"/>
      <c r="M36" s="2"/>
      <c r="N36" s="2"/>
      <c r="O36" s="147" t="s">
        <v>116</v>
      </c>
      <c r="AE36" s="147" t="s">
        <v>112</v>
      </c>
      <c r="AF36" s="147" t="s">
        <v>116</v>
      </c>
    </row>
    <row r="37" spans="1:32">
      <c r="A37" s="140">
        <v>2</v>
      </c>
      <c r="B37" s="147" t="s">
        <v>117</v>
      </c>
      <c r="C37" s="156">
        <f>标准成本!E6</f>
        <v>25.172</v>
      </c>
      <c r="D37" s="162"/>
      <c r="E37" s="2"/>
      <c r="F37" s="2"/>
      <c r="G37" s="2"/>
      <c r="H37" s="2"/>
      <c r="I37" s="2"/>
      <c r="J37" s="2"/>
      <c r="K37" s="2"/>
      <c r="L37" s="2"/>
      <c r="M37" s="2"/>
      <c r="N37" s="2"/>
      <c r="O37" s="147" t="s">
        <v>117</v>
      </c>
      <c r="AE37" s="147" t="s">
        <v>69</v>
      </c>
      <c r="AF37" s="147" t="s">
        <v>117</v>
      </c>
    </row>
    <row r="38" spans="1:32">
      <c r="A38" s="140">
        <v>3</v>
      </c>
      <c r="B38" s="147" t="s">
        <v>118</v>
      </c>
      <c r="C38" s="156">
        <f>标准成本!E10</f>
        <v>51.04</v>
      </c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147" t="s">
        <v>118</v>
      </c>
      <c r="AE38" s="147" t="s">
        <v>76</v>
      </c>
      <c r="AF38" s="147" t="s">
        <v>118</v>
      </c>
    </row>
    <row r="39" spans="1:32">
      <c r="A39" s="147" t="s">
        <v>115</v>
      </c>
      <c r="B39" s="152" t="s">
        <v>120</v>
      </c>
      <c r="C39" s="158"/>
      <c r="D39" s="158"/>
      <c r="O39" s="152" t="s">
        <v>120</v>
      </c>
      <c r="AE39" s="147" t="s">
        <v>119</v>
      </c>
      <c r="AF39" s="152" t="s">
        <v>120</v>
      </c>
    </row>
    <row r="40" spans="1:32">
      <c r="A40" s="140">
        <v>1</v>
      </c>
      <c r="B40" s="147" t="s">
        <v>122</v>
      </c>
      <c r="C40" s="158">
        <f>C34-C36-C37-C38</f>
        <v>205.572</v>
      </c>
      <c r="D40" s="158"/>
      <c r="O40" s="147" t="s">
        <v>122</v>
      </c>
      <c r="AE40" s="147" t="s">
        <v>64</v>
      </c>
      <c r="AF40" s="147" t="s">
        <v>122</v>
      </c>
    </row>
    <row r="41" spans="1:32">
      <c r="A41" s="140">
        <v>2</v>
      </c>
      <c r="B41" s="147" t="s">
        <v>123</v>
      </c>
      <c r="C41" s="158"/>
      <c r="D41" s="158"/>
      <c r="O41" s="147" t="s">
        <v>123</v>
      </c>
      <c r="AE41" s="147" t="s">
        <v>66</v>
      </c>
      <c r="AF41" s="147" t="s">
        <v>123</v>
      </c>
    </row>
    <row r="42" spans="1:32">
      <c r="A42" s="147" t="s">
        <v>119</v>
      </c>
      <c r="B42" s="152" t="s">
        <v>125</v>
      </c>
      <c r="C42" s="158"/>
      <c r="D42" s="158"/>
      <c r="O42" s="152" t="s">
        <v>125</v>
      </c>
      <c r="AE42" s="147" t="s">
        <v>124</v>
      </c>
      <c r="AF42" s="152" t="s">
        <v>125</v>
      </c>
    </row>
    <row r="43" spans="1:32">
      <c r="A43" s="140">
        <v>1</v>
      </c>
      <c r="B43" s="159" t="s">
        <v>126</v>
      </c>
      <c r="C43" s="156">
        <f>标准成本!E5</f>
        <v>47.56</v>
      </c>
      <c r="D43" s="158"/>
      <c r="O43" s="147" t="s">
        <v>126</v>
      </c>
      <c r="AE43" s="147" t="s">
        <v>64</v>
      </c>
      <c r="AF43" s="147" t="s">
        <v>126</v>
      </c>
    </row>
    <row r="44" spans="1:32">
      <c r="A44" s="140">
        <v>2</v>
      </c>
      <c r="B44" s="159" t="s">
        <v>127</v>
      </c>
      <c r="C44" s="156">
        <f>标准成本!E9</f>
        <v>8.12</v>
      </c>
      <c r="D44" s="158"/>
      <c r="O44" s="147" t="s">
        <v>127</v>
      </c>
      <c r="AE44" s="147" t="s">
        <v>66</v>
      </c>
      <c r="AF44" s="147" t="s">
        <v>127</v>
      </c>
    </row>
    <row r="45" spans="1:32">
      <c r="A45" s="140">
        <v>3</v>
      </c>
      <c r="B45" s="159" t="s">
        <v>128</v>
      </c>
      <c r="C45" s="156">
        <f>标准成本!E8</f>
        <v>39.44</v>
      </c>
      <c r="D45" s="158"/>
      <c r="O45" s="147" t="s">
        <v>128</v>
      </c>
      <c r="AE45" s="147" t="s">
        <v>112</v>
      </c>
      <c r="AF45" s="147" t="s">
        <v>128</v>
      </c>
    </row>
    <row r="46" s="137" customFormat="1" spans="1:32">
      <c r="A46" s="140">
        <v>4</v>
      </c>
      <c r="B46" s="159" t="s">
        <v>129</v>
      </c>
      <c r="C46" s="164">
        <f>C21/C6</f>
        <v>0</v>
      </c>
      <c r="D46" s="164"/>
      <c r="O46" s="159" t="s">
        <v>131</v>
      </c>
      <c r="AE46" s="159" t="s">
        <v>72</v>
      </c>
      <c r="AF46" s="159" t="s">
        <v>131</v>
      </c>
    </row>
    <row r="47" s="137" customFormat="1" spans="1:32">
      <c r="A47" s="140">
        <v>5</v>
      </c>
      <c r="B47" s="159" t="s">
        <v>131</v>
      </c>
      <c r="C47" s="164">
        <f>标准成本!E11</f>
        <v>34.8</v>
      </c>
      <c r="D47" s="164"/>
      <c r="O47" s="159" t="s">
        <v>131</v>
      </c>
      <c r="AE47" s="159" t="s">
        <v>72</v>
      </c>
      <c r="AF47" s="159" t="s">
        <v>131</v>
      </c>
    </row>
    <row r="48" spans="1:32">
      <c r="A48" s="147" t="s">
        <v>124</v>
      </c>
      <c r="B48" s="152" t="s">
        <v>142</v>
      </c>
      <c r="C48" s="158">
        <f>C40-C43-C44-C45-C47-C46</f>
        <v>75.652</v>
      </c>
      <c r="D48" s="158"/>
      <c r="O48" s="152" t="s">
        <v>142</v>
      </c>
      <c r="AE48" s="147" t="s">
        <v>141</v>
      </c>
      <c r="AF48" s="152" t="s">
        <v>142</v>
      </c>
    </row>
    <row r="51" spans="3:3">
      <c r="C51" s="165"/>
    </row>
    <row r="54" spans="2:9">
      <c r="B54" s="2"/>
      <c r="C54" s="166"/>
      <c r="D54" s="166"/>
      <c r="E54" s="2"/>
      <c r="F54" s="2"/>
      <c r="G54" s="2"/>
      <c r="H54" s="2"/>
      <c r="I54" s="2"/>
    </row>
    <row r="55" spans="2:9">
      <c r="B55" s="2"/>
      <c r="C55" s="166"/>
      <c r="D55" s="166"/>
      <c r="E55" s="2"/>
      <c r="F55" s="2"/>
      <c r="G55" s="2"/>
      <c r="H55" s="2"/>
      <c r="I55" s="2"/>
    </row>
    <row r="56" spans="2:9">
      <c r="B56" s="2"/>
      <c r="C56" s="166"/>
      <c r="D56" s="166"/>
      <c r="E56" s="2"/>
      <c r="F56" s="2"/>
      <c r="G56" s="2"/>
      <c r="H56" s="2"/>
      <c r="I56" s="2"/>
    </row>
    <row r="57" spans="2:9">
      <c r="B57" s="2"/>
      <c r="C57" s="166"/>
      <c r="D57" s="166"/>
      <c r="E57" s="2"/>
      <c r="F57" s="2"/>
      <c r="G57" s="2"/>
      <c r="H57" s="2"/>
      <c r="I57" s="2"/>
    </row>
    <row r="58" spans="2:9">
      <c r="B58" s="2"/>
      <c r="C58" s="166"/>
      <c r="D58" s="166"/>
      <c r="E58" s="2"/>
      <c r="F58" s="2"/>
      <c r="G58" s="2"/>
      <c r="H58" s="2"/>
      <c r="I58" s="2"/>
    </row>
    <row r="59" spans="2:9">
      <c r="B59" s="2"/>
      <c r="C59" s="166"/>
      <c r="D59" s="166"/>
      <c r="E59" s="2"/>
      <c r="F59" s="2"/>
      <c r="G59" s="2"/>
      <c r="H59" s="2"/>
      <c r="I59" s="2"/>
    </row>
    <row r="60" spans="2:9">
      <c r="B60" s="2"/>
      <c r="C60" s="166"/>
      <c r="D60" s="166"/>
      <c r="E60" s="2"/>
      <c r="F60" s="2"/>
      <c r="G60" s="2"/>
      <c r="H60" s="2"/>
      <c r="I60" s="2"/>
    </row>
    <row r="61" spans="2:9">
      <c r="B61" s="2"/>
      <c r="C61" s="166"/>
      <c r="D61" s="166"/>
      <c r="E61" s="2"/>
      <c r="F61" s="2"/>
      <c r="G61" s="2"/>
      <c r="H61" s="2"/>
      <c r="I61" s="2"/>
    </row>
    <row r="62" spans="2:9">
      <c r="B62" s="2"/>
      <c r="C62" s="166"/>
      <c r="D62" s="166"/>
      <c r="E62" s="2"/>
      <c r="F62" s="2"/>
      <c r="G62" s="2"/>
      <c r="H62" s="2"/>
      <c r="I62" s="2"/>
    </row>
    <row r="63" spans="2:9">
      <c r="B63" s="2"/>
      <c r="C63" s="166"/>
      <c r="D63" s="166"/>
      <c r="E63" s="2"/>
      <c r="F63" s="2"/>
      <c r="G63" s="2"/>
      <c r="H63" s="2"/>
      <c r="I63" s="2"/>
    </row>
    <row r="64" spans="2:9">
      <c r="B64" s="2"/>
      <c r="C64" s="166"/>
      <c r="D64" s="166"/>
      <c r="E64" s="2"/>
      <c r="F64" s="2"/>
      <c r="G64" s="2"/>
      <c r="H64" s="2"/>
      <c r="I64" s="2"/>
    </row>
    <row r="65" spans="2:9">
      <c r="B65" s="2"/>
      <c r="C65" s="166"/>
      <c r="D65" s="166"/>
      <c r="E65" s="2"/>
      <c r="F65" s="2"/>
      <c r="G65" s="2"/>
      <c r="H65" s="2"/>
      <c r="I65" s="2"/>
    </row>
    <row r="66" spans="2:9">
      <c r="B66" s="2"/>
      <c r="C66" s="166"/>
      <c r="D66" s="166"/>
      <c r="E66" s="2"/>
      <c r="F66" s="2"/>
      <c r="G66" s="2"/>
      <c r="H66" s="2"/>
      <c r="I66" s="2"/>
    </row>
    <row r="67" spans="2:5">
      <c r="B67" s="2"/>
      <c r="C67" s="166"/>
      <c r="D67" s="166"/>
      <c r="E67" s="2"/>
    </row>
    <row r="68" spans="2:5">
      <c r="B68" s="2"/>
      <c r="C68" s="166"/>
      <c r="D68" s="166"/>
      <c r="E68" s="2"/>
    </row>
    <row r="69" spans="2:5">
      <c r="B69" s="2"/>
      <c r="C69" s="166"/>
      <c r="D69" s="166"/>
      <c r="E69" s="2"/>
    </row>
    <row r="70" spans="2:5">
      <c r="B70" s="2"/>
      <c r="C70" s="166"/>
      <c r="D70" s="166"/>
      <c r="E70" s="2"/>
    </row>
    <row r="71" spans="2:5">
      <c r="B71" s="2"/>
      <c r="C71" s="166"/>
      <c r="D71" s="166"/>
      <c r="E71" s="2"/>
    </row>
    <row r="72" spans="2:5">
      <c r="B72" s="2"/>
      <c r="C72" s="166"/>
      <c r="D72" s="166"/>
      <c r="E72" s="2"/>
    </row>
    <row r="73" spans="2:5">
      <c r="B73" s="2"/>
      <c r="C73" s="166"/>
      <c r="D73" s="166"/>
      <c r="E73" s="2"/>
    </row>
    <row r="74" spans="2:5">
      <c r="B74" s="2"/>
      <c r="C74" s="166"/>
      <c r="D74" s="166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  <ignoredErrors>
    <ignoredError sqref="D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5" sqref="C25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39" customWidth="1"/>
    <col min="4" max="4" width="18.7545454545455" style="139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pans="1:4">
      <c r="A1" s="140" t="s">
        <v>152</v>
      </c>
      <c r="B1" s="140"/>
      <c r="C1" s="141" t="s">
        <v>167</v>
      </c>
      <c r="D1" s="142"/>
    </row>
    <row r="2" spans="1:4">
      <c r="A2" s="140" t="s">
        <v>154</v>
      </c>
      <c r="B2" s="140"/>
      <c r="C2" s="143" t="s">
        <v>155</v>
      </c>
      <c r="D2" s="143"/>
    </row>
    <row r="3" ht="33" spans="1:4">
      <c r="A3" s="140" t="s">
        <v>156</v>
      </c>
      <c r="B3" s="140"/>
      <c r="C3" s="21" t="s">
        <v>157</v>
      </c>
      <c r="D3" s="144" t="s">
        <v>60</v>
      </c>
    </row>
    <row r="4" ht="33" spans="1:4">
      <c r="A4" s="140" t="s">
        <v>158</v>
      </c>
      <c r="B4" s="140"/>
      <c r="C4" s="21" t="s">
        <v>159</v>
      </c>
      <c r="D4" s="145"/>
    </row>
    <row r="5" ht="16.5" spans="1:33">
      <c r="A5" s="140" t="s">
        <v>160</v>
      </c>
      <c r="B5" s="140"/>
      <c r="C5" s="81"/>
      <c r="D5" s="146"/>
      <c r="AG5" s="138" t="s">
        <v>61</v>
      </c>
    </row>
    <row r="6" ht="16.5" spans="1:33">
      <c r="A6" s="147" t="s">
        <v>21</v>
      </c>
      <c r="B6" s="148" t="s">
        <v>161</v>
      </c>
      <c r="C6" s="149">
        <f>销量!C10</f>
        <v>5000</v>
      </c>
      <c r="D6" s="150">
        <f t="shared" ref="D6:D15" si="0">+SUM(C6:C6)</f>
        <v>5000</v>
      </c>
      <c r="O6" s="148" t="s">
        <v>3</v>
      </c>
      <c r="AE6" s="147" t="s">
        <v>21</v>
      </c>
      <c r="AF6" s="148" t="s">
        <v>3</v>
      </c>
      <c r="AG6" s="138" t="s">
        <v>62</v>
      </c>
    </row>
    <row r="7" spans="1:33">
      <c r="A7" s="140">
        <v>1</v>
      </c>
      <c r="B7" s="148" t="s">
        <v>63</v>
      </c>
      <c r="C7" s="150">
        <f>C6*销量!C8</f>
        <v>5800000</v>
      </c>
      <c r="D7" s="150">
        <f t="shared" si="0"/>
        <v>5800000</v>
      </c>
      <c r="E7" s="139"/>
      <c r="O7" s="148" t="s">
        <v>63</v>
      </c>
      <c r="AE7" s="147" t="s">
        <v>64</v>
      </c>
      <c r="AF7" s="148" t="s">
        <v>63</v>
      </c>
      <c r="AG7" s="138" t="s">
        <v>62</v>
      </c>
    </row>
    <row r="8" spans="1:33">
      <c r="A8" s="140">
        <v>2</v>
      </c>
      <c r="B8" s="140" t="s">
        <v>65</v>
      </c>
      <c r="C8" s="150">
        <f>C7*(1-销量!$J$7)</f>
        <v>174000</v>
      </c>
      <c r="D8" s="150">
        <f t="shared" si="0"/>
        <v>174000</v>
      </c>
      <c r="E8" s="151"/>
      <c r="O8" s="140" t="s">
        <v>67</v>
      </c>
      <c r="AE8" s="147" t="s">
        <v>66</v>
      </c>
      <c r="AF8" s="140" t="s">
        <v>67</v>
      </c>
      <c r="AG8" s="138" t="s">
        <v>62</v>
      </c>
    </row>
    <row r="9" spans="1:33">
      <c r="A9" s="140">
        <v>3</v>
      </c>
      <c r="B9" s="148" t="s">
        <v>68</v>
      </c>
      <c r="C9" s="150">
        <f>+C7-C8</f>
        <v>5626000</v>
      </c>
      <c r="D9" s="150">
        <f t="shared" si="0"/>
        <v>5626000</v>
      </c>
      <c r="O9" s="148" t="s">
        <v>68</v>
      </c>
      <c r="AE9" s="147" t="s">
        <v>69</v>
      </c>
      <c r="AF9" s="148" t="s">
        <v>68</v>
      </c>
      <c r="AG9" s="138" t="s">
        <v>70</v>
      </c>
    </row>
    <row r="10" spans="1:33">
      <c r="A10" s="140">
        <v>4</v>
      </c>
      <c r="B10" s="147" t="s">
        <v>73</v>
      </c>
      <c r="C10" s="150">
        <f>C6*C33</f>
        <v>4016867</v>
      </c>
      <c r="D10" s="150">
        <f t="shared" si="0"/>
        <v>4016867</v>
      </c>
      <c r="O10" s="147" t="s">
        <v>73</v>
      </c>
      <c r="AE10" s="147" t="s">
        <v>72</v>
      </c>
      <c r="AF10" s="147" t="s">
        <v>73</v>
      </c>
      <c r="AG10" s="138" t="s">
        <v>74</v>
      </c>
    </row>
    <row r="11" spans="1:32">
      <c r="A11" s="140">
        <v>5</v>
      </c>
      <c r="B11" s="147" t="s">
        <v>75</v>
      </c>
      <c r="C11" s="150">
        <f>+C6*C36</f>
        <v>249980</v>
      </c>
      <c r="D11" s="150">
        <f t="shared" si="0"/>
        <v>249980</v>
      </c>
      <c r="O11" s="147" t="s">
        <v>75</v>
      </c>
      <c r="AE11" s="147" t="s">
        <v>76</v>
      </c>
      <c r="AF11" s="147" t="s">
        <v>75</v>
      </c>
    </row>
    <row r="12" spans="1:32">
      <c r="A12" s="140">
        <v>6</v>
      </c>
      <c r="B12" s="147" t="s">
        <v>77</v>
      </c>
      <c r="C12" s="150">
        <f>+C6*C37</f>
        <v>125860</v>
      </c>
      <c r="D12" s="150">
        <f t="shared" si="0"/>
        <v>125860</v>
      </c>
      <c r="O12" s="147" t="s">
        <v>77</v>
      </c>
      <c r="AE12" s="147" t="s">
        <v>78</v>
      </c>
      <c r="AF12" s="147" t="s">
        <v>77</v>
      </c>
    </row>
    <row r="13" spans="1:33">
      <c r="A13" s="140">
        <v>7</v>
      </c>
      <c r="B13" s="147" t="s">
        <v>79</v>
      </c>
      <c r="C13" s="150">
        <f>+C6*C38</f>
        <v>255200</v>
      </c>
      <c r="D13" s="150">
        <f t="shared" si="0"/>
        <v>255200</v>
      </c>
      <c r="O13" s="147" t="s">
        <v>79</v>
      </c>
      <c r="AE13" s="147" t="s">
        <v>80</v>
      </c>
      <c r="AF13" s="147" t="s">
        <v>79</v>
      </c>
      <c r="AG13" s="138" t="s">
        <v>62</v>
      </c>
    </row>
    <row r="14" spans="1:32">
      <c r="A14" s="140">
        <v>8</v>
      </c>
      <c r="B14" s="152" t="s">
        <v>81</v>
      </c>
      <c r="C14" s="150">
        <f>SUM(C11:C13)</f>
        <v>631040</v>
      </c>
      <c r="D14" s="150">
        <f t="shared" si="0"/>
        <v>631040</v>
      </c>
      <c r="O14" s="152" t="s">
        <v>81</v>
      </c>
      <c r="AE14" s="147" t="s">
        <v>82</v>
      </c>
      <c r="AF14" s="152" t="s">
        <v>81</v>
      </c>
    </row>
    <row r="15" spans="1:32">
      <c r="A15" s="140">
        <v>9</v>
      </c>
      <c r="B15" s="152" t="s">
        <v>83</v>
      </c>
      <c r="C15" s="150">
        <f>+C9-C10-C14</f>
        <v>978093</v>
      </c>
      <c r="D15" s="150">
        <f t="shared" si="0"/>
        <v>978093</v>
      </c>
      <c r="O15" s="152" t="s">
        <v>83</v>
      </c>
      <c r="AE15" s="147" t="s">
        <v>84</v>
      </c>
      <c r="AF15" s="152" t="s">
        <v>83</v>
      </c>
    </row>
    <row r="16" spans="1:32">
      <c r="A16" s="140">
        <v>10</v>
      </c>
      <c r="B16" s="147" t="s">
        <v>85</v>
      </c>
      <c r="C16" s="153">
        <f>+C15/C9</f>
        <v>0.173852292925702</v>
      </c>
      <c r="D16" s="153">
        <f>+D15/D9</f>
        <v>0.173852292925702</v>
      </c>
      <c r="O16" s="147" t="s">
        <v>85</v>
      </c>
      <c r="AE16" s="147" t="s">
        <v>86</v>
      </c>
      <c r="AF16" s="147" t="s">
        <v>85</v>
      </c>
    </row>
    <row r="17" spans="1:32">
      <c r="A17" s="140">
        <v>11</v>
      </c>
      <c r="B17" s="147" t="s">
        <v>87</v>
      </c>
      <c r="C17" s="150">
        <f>C6*C43+C18</f>
        <v>237800</v>
      </c>
      <c r="D17" s="150">
        <f>+SUM(C17:C17)</f>
        <v>237800</v>
      </c>
      <c r="E17" s="151"/>
      <c r="O17" s="147" t="s">
        <v>87</v>
      </c>
      <c r="AE17" s="147" t="s">
        <v>88</v>
      </c>
      <c r="AF17" s="147" t="s">
        <v>87</v>
      </c>
    </row>
    <row r="18" s="136" customFormat="1" spans="1:7">
      <c r="A18" s="140">
        <v>12</v>
      </c>
      <c r="B18" s="155" t="s">
        <v>162</v>
      </c>
      <c r="C18" s="156">
        <f>$D$18/$D$6*C6</f>
        <v>0</v>
      </c>
      <c r="D18" s="150">
        <f>项目投资!D26</f>
        <v>0</v>
      </c>
      <c r="E18" s="157" t="s">
        <v>163</v>
      </c>
      <c r="F18" s="157"/>
      <c r="G18" s="157"/>
    </row>
    <row r="19" spans="1:33">
      <c r="A19" s="140">
        <v>13</v>
      </c>
      <c r="B19" s="147" t="s">
        <v>89</v>
      </c>
      <c r="C19" s="150">
        <f>C6*C44</f>
        <v>40600</v>
      </c>
      <c r="D19" s="150">
        <f>+SUM(C19:C19)</f>
        <v>40600</v>
      </c>
      <c r="E19" s="136"/>
      <c r="O19" s="147" t="s">
        <v>89</v>
      </c>
      <c r="AE19" s="147" t="s">
        <v>90</v>
      </c>
      <c r="AF19" s="147" t="s">
        <v>89</v>
      </c>
      <c r="AG19" s="138" t="s">
        <v>62</v>
      </c>
    </row>
    <row r="20" spans="1:32">
      <c r="A20" s="140">
        <v>14</v>
      </c>
      <c r="B20" s="147" t="s">
        <v>91</v>
      </c>
      <c r="C20" s="150">
        <f>C6*C45</f>
        <v>197200</v>
      </c>
      <c r="D20" s="150">
        <f>+SUM(C20:C20)</f>
        <v>197200</v>
      </c>
      <c r="O20" s="147" t="s">
        <v>91</v>
      </c>
      <c r="AE20" s="147" t="s">
        <v>92</v>
      </c>
      <c r="AF20" s="147" t="s">
        <v>91</v>
      </c>
    </row>
    <row r="21" spans="1:32">
      <c r="A21" s="140">
        <v>15</v>
      </c>
      <c r="B21" s="147" t="s">
        <v>93</v>
      </c>
      <c r="C21" s="158">
        <f>$D$21/$D$6*C6</f>
        <v>0</v>
      </c>
      <c r="D21" s="150">
        <f>项目投资!D27</f>
        <v>0</v>
      </c>
      <c r="O21" s="147" t="s">
        <v>93</v>
      </c>
      <c r="AE21" s="147"/>
      <c r="AF21" s="147"/>
    </row>
    <row r="22" spans="1:32">
      <c r="A22" s="140">
        <v>16</v>
      </c>
      <c r="B22" s="147" t="s">
        <v>94</v>
      </c>
      <c r="C22" s="150">
        <f>C6*C47</f>
        <v>174000</v>
      </c>
      <c r="D22" s="150">
        <f>+SUM(C22:C22)</f>
        <v>174000</v>
      </c>
      <c r="O22" s="147" t="s">
        <v>94</v>
      </c>
      <c r="AE22" s="147" t="s">
        <v>95</v>
      </c>
      <c r="AF22" s="147" t="s">
        <v>94</v>
      </c>
    </row>
    <row r="23" spans="1:32">
      <c r="A23" s="140">
        <v>17</v>
      </c>
      <c r="B23" s="152" t="s">
        <v>96</v>
      </c>
      <c r="C23" s="158">
        <f>+C22+C21+C20+C19+C17</f>
        <v>649600</v>
      </c>
      <c r="D23" s="158">
        <f>+D22+D21+D20+D19+D17</f>
        <v>649600</v>
      </c>
      <c r="O23" s="152" t="s">
        <v>96</v>
      </c>
      <c r="AE23" s="147" t="s">
        <v>97</v>
      </c>
      <c r="AF23" s="152" t="s">
        <v>96</v>
      </c>
    </row>
    <row r="24" spans="1:32">
      <c r="A24" s="140">
        <v>18</v>
      </c>
      <c r="B24" s="159" t="s">
        <v>98</v>
      </c>
      <c r="C24" s="158">
        <f>+C15-C23</f>
        <v>328493</v>
      </c>
      <c r="D24" s="158">
        <f>+D15-D23</f>
        <v>328493</v>
      </c>
      <c r="F24" s="160"/>
      <c r="O24" s="147" t="s">
        <v>98</v>
      </c>
      <c r="AE24" s="147" t="s">
        <v>99</v>
      </c>
      <c r="AF24" s="147" t="s">
        <v>98</v>
      </c>
    </row>
    <row r="25" spans="1:32">
      <c r="A25" s="140">
        <v>19</v>
      </c>
      <c r="B25" s="147" t="s">
        <v>164</v>
      </c>
      <c r="C25" s="158">
        <f>IF(C24&lt;0,0,C24*0.25)</f>
        <v>82123.2499999999</v>
      </c>
      <c r="D25" s="158">
        <f>IF(D24&lt;0,0,D24*0.25)</f>
        <v>82123.2499999999</v>
      </c>
      <c r="E25" s="2"/>
      <c r="F25" s="2"/>
      <c r="G25" s="2"/>
      <c r="O25" s="147" t="s">
        <v>38</v>
      </c>
      <c r="AE25" s="147" t="s">
        <v>100</v>
      </c>
      <c r="AF25" s="147" t="s">
        <v>38</v>
      </c>
    </row>
    <row r="26" spans="1:32">
      <c r="A26" s="140">
        <v>20</v>
      </c>
      <c r="B26" s="147" t="s">
        <v>101</v>
      </c>
      <c r="C26" s="158">
        <f>C24-C25</f>
        <v>246369.75</v>
      </c>
      <c r="D26" s="150">
        <f>+SUM(C26:C26)</f>
        <v>246369.75</v>
      </c>
      <c r="E26" s="2"/>
      <c r="F26" s="2"/>
      <c r="G26" s="2"/>
      <c r="O26" s="147" t="s">
        <v>101</v>
      </c>
      <c r="AE26" s="147" t="s">
        <v>102</v>
      </c>
      <c r="AF26" s="147" t="s">
        <v>101</v>
      </c>
    </row>
    <row r="27" spans="1:32">
      <c r="A27" s="140">
        <v>21</v>
      </c>
      <c r="B27" s="147" t="s">
        <v>105</v>
      </c>
      <c r="C27" s="161">
        <f>C26/C7</f>
        <v>0.0424775431034482</v>
      </c>
      <c r="D27" s="161">
        <f>D26/D7</f>
        <v>0.0424775431034482</v>
      </c>
      <c r="E27" s="2"/>
      <c r="F27" s="2"/>
      <c r="G27" s="2"/>
      <c r="O27" s="147" t="s">
        <v>105</v>
      </c>
      <c r="AE27" s="147" t="s">
        <v>104</v>
      </c>
      <c r="AF27" s="147" t="s">
        <v>105</v>
      </c>
    </row>
    <row r="28" spans="5:15">
      <c r="E28" s="2"/>
      <c r="F28" s="2"/>
      <c r="G28" s="2"/>
      <c r="O28" s="147"/>
    </row>
    <row r="29" spans="1:31">
      <c r="A29" s="138" t="s">
        <v>106</v>
      </c>
      <c r="D29" s="139" t="s">
        <v>165</v>
      </c>
      <c r="E29" s="2"/>
      <c r="F29" s="2"/>
      <c r="G29" s="2"/>
      <c r="O29" s="147"/>
      <c r="AE29" s="138" t="s">
        <v>106</v>
      </c>
    </row>
    <row r="30" spans="1:32">
      <c r="A30" s="147" t="s">
        <v>107</v>
      </c>
      <c r="B30" s="152" t="s">
        <v>108</v>
      </c>
      <c r="C30" s="158"/>
      <c r="D30" s="158"/>
      <c r="E30" s="2"/>
      <c r="F30" s="2"/>
      <c r="G30" s="2"/>
      <c r="I30" s="2"/>
      <c r="O30" s="152" t="s">
        <v>108</v>
      </c>
      <c r="AE30" s="147" t="s">
        <v>109</v>
      </c>
      <c r="AF30" s="152" t="s">
        <v>108</v>
      </c>
    </row>
    <row r="31" spans="1:32">
      <c r="A31" s="140">
        <v>1</v>
      </c>
      <c r="B31" s="155" t="s">
        <v>110</v>
      </c>
      <c r="C31" s="162">
        <f>销量!K7</f>
        <v>1125.2</v>
      </c>
      <c r="D31" s="158"/>
      <c r="E31" s="2"/>
      <c r="F31" s="2"/>
      <c r="G31" s="2"/>
      <c r="I31" s="2"/>
      <c r="O31" s="147" t="s">
        <v>110</v>
      </c>
      <c r="AE31" s="147" t="s">
        <v>64</v>
      </c>
      <c r="AF31" s="147" t="s">
        <v>110</v>
      </c>
    </row>
    <row r="32" spans="1:32">
      <c r="A32" s="140">
        <v>2</v>
      </c>
      <c r="B32" s="147" t="s">
        <v>166</v>
      </c>
      <c r="C32" s="150">
        <f>C31*1</f>
        <v>1125.2</v>
      </c>
      <c r="D32" s="158"/>
      <c r="E32" s="2"/>
      <c r="F32" s="2"/>
      <c r="G32" s="2"/>
      <c r="H32" s="2"/>
      <c r="I32" s="2"/>
      <c r="J32" s="2"/>
      <c r="K32" s="2"/>
      <c r="AE32" s="147"/>
      <c r="AF32" s="147"/>
    </row>
    <row r="33" spans="1:32">
      <c r="A33" s="140">
        <v>3</v>
      </c>
      <c r="B33" s="155" t="s">
        <v>111</v>
      </c>
      <c r="C33" s="150">
        <f>材料成本!D26</f>
        <v>803.3734</v>
      </c>
      <c r="D33" s="158"/>
      <c r="F33" s="2"/>
      <c r="G33" s="2"/>
      <c r="H33" s="2"/>
      <c r="I33" s="2"/>
      <c r="J33" s="2"/>
      <c r="K33" s="2"/>
      <c r="O33" s="147" t="s">
        <v>111</v>
      </c>
      <c r="AE33" s="147" t="s">
        <v>66</v>
      </c>
      <c r="AF33" s="147" t="s">
        <v>111</v>
      </c>
    </row>
    <row r="34" ht="17.25" customHeight="1" spans="1:32">
      <c r="A34" s="140">
        <v>4</v>
      </c>
      <c r="B34" s="147" t="s">
        <v>113</v>
      </c>
      <c r="C34" s="163">
        <f>C32-C33</f>
        <v>321.8266</v>
      </c>
      <c r="D34" s="158"/>
      <c r="F34" s="2"/>
      <c r="G34" s="2"/>
      <c r="H34" s="2"/>
      <c r="I34" s="2"/>
      <c r="J34" s="2"/>
      <c r="K34" s="2"/>
      <c r="O34" s="147" t="s">
        <v>113</v>
      </c>
      <c r="AE34" s="147" t="s">
        <v>112</v>
      </c>
      <c r="AF34" s="147" t="s">
        <v>113</v>
      </c>
    </row>
    <row r="35" spans="1:32">
      <c r="A35" s="147" t="s">
        <v>109</v>
      </c>
      <c r="B35" s="152" t="s">
        <v>10</v>
      </c>
      <c r="C35" s="158"/>
      <c r="D35" s="158"/>
      <c r="E35" s="2"/>
      <c r="F35" s="2"/>
      <c r="G35" s="2"/>
      <c r="H35" s="2"/>
      <c r="I35" s="2"/>
      <c r="J35" s="2"/>
      <c r="K35" s="2"/>
      <c r="L35" s="2"/>
      <c r="M35" s="2"/>
      <c r="N35" s="2"/>
      <c r="O35" s="152" t="s">
        <v>10</v>
      </c>
      <c r="AE35" s="147" t="s">
        <v>115</v>
      </c>
      <c r="AF35" s="152" t="s">
        <v>10</v>
      </c>
    </row>
    <row r="36" spans="1:32">
      <c r="A36" s="140">
        <v>1</v>
      </c>
      <c r="B36" s="147" t="s">
        <v>116</v>
      </c>
      <c r="C36" s="156">
        <f>标准成本!E4</f>
        <v>49.996</v>
      </c>
      <c r="D36" s="162"/>
      <c r="E36" s="2"/>
      <c r="F36" s="2"/>
      <c r="G36" s="2"/>
      <c r="H36" s="2"/>
      <c r="I36" s="2"/>
      <c r="J36" s="2"/>
      <c r="K36" s="2"/>
      <c r="L36" s="2"/>
      <c r="M36" s="2"/>
      <c r="N36" s="2"/>
      <c r="O36" s="147" t="s">
        <v>116</v>
      </c>
      <c r="AE36" s="147" t="s">
        <v>112</v>
      </c>
      <c r="AF36" s="147" t="s">
        <v>116</v>
      </c>
    </row>
    <row r="37" spans="1:32">
      <c r="A37" s="140">
        <v>2</v>
      </c>
      <c r="B37" s="147" t="s">
        <v>117</v>
      </c>
      <c r="C37" s="156">
        <f>标准成本!E6</f>
        <v>25.172</v>
      </c>
      <c r="D37" s="162"/>
      <c r="E37" s="2"/>
      <c r="F37" s="2"/>
      <c r="G37" s="2"/>
      <c r="H37" s="2"/>
      <c r="I37" s="2"/>
      <c r="J37" s="2"/>
      <c r="K37" s="2"/>
      <c r="L37" s="2"/>
      <c r="M37" s="2"/>
      <c r="N37" s="2"/>
      <c r="O37" s="147" t="s">
        <v>117</v>
      </c>
      <c r="AE37" s="147" t="s">
        <v>69</v>
      </c>
      <c r="AF37" s="147" t="s">
        <v>117</v>
      </c>
    </row>
    <row r="38" spans="1:32">
      <c r="A38" s="140">
        <v>3</v>
      </c>
      <c r="B38" s="147" t="s">
        <v>118</v>
      </c>
      <c r="C38" s="156">
        <f>标准成本!E10</f>
        <v>51.04</v>
      </c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147" t="s">
        <v>118</v>
      </c>
      <c r="AE38" s="147" t="s">
        <v>76</v>
      </c>
      <c r="AF38" s="147" t="s">
        <v>118</v>
      </c>
    </row>
    <row r="39" spans="1:32">
      <c r="A39" s="147" t="s">
        <v>115</v>
      </c>
      <c r="B39" s="152" t="s">
        <v>120</v>
      </c>
      <c r="C39" s="158"/>
      <c r="D39" s="158"/>
      <c r="O39" s="152" t="s">
        <v>120</v>
      </c>
      <c r="AE39" s="147" t="s">
        <v>119</v>
      </c>
      <c r="AF39" s="152" t="s">
        <v>120</v>
      </c>
    </row>
    <row r="40" spans="1:32">
      <c r="A40" s="140">
        <v>1</v>
      </c>
      <c r="B40" s="147" t="s">
        <v>122</v>
      </c>
      <c r="C40" s="158">
        <f>C34-C36-C37-C38</f>
        <v>195.6186</v>
      </c>
      <c r="D40" s="158"/>
      <c r="O40" s="147" t="s">
        <v>122</v>
      </c>
      <c r="AE40" s="147" t="s">
        <v>64</v>
      </c>
      <c r="AF40" s="147" t="s">
        <v>122</v>
      </c>
    </row>
    <row r="41" spans="1:32">
      <c r="A41" s="140">
        <v>2</v>
      </c>
      <c r="B41" s="147" t="s">
        <v>123</v>
      </c>
      <c r="C41" s="158"/>
      <c r="D41" s="158"/>
      <c r="O41" s="147" t="s">
        <v>123</v>
      </c>
      <c r="AE41" s="147" t="s">
        <v>66</v>
      </c>
      <c r="AF41" s="147" t="s">
        <v>123</v>
      </c>
    </row>
    <row r="42" spans="1:32">
      <c r="A42" s="147" t="s">
        <v>119</v>
      </c>
      <c r="B42" s="152" t="s">
        <v>125</v>
      </c>
      <c r="C42" s="158"/>
      <c r="D42" s="158"/>
      <c r="O42" s="152" t="s">
        <v>125</v>
      </c>
      <c r="AE42" s="147" t="s">
        <v>124</v>
      </c>
      <c r="AF42" s="152" t="s">
        <v>125</v>
      </c>
    </row>
    <row r="43" spans="1:32">
      <c r="A43" s="140">
        <v>1</v>
      </c>
      <c r="B43" s="159" t="s">
        <v>126</v>
      </c>
      <c r="C43" s="156">
        <f>标准成本!E5</f>
        <v>47.56</v>
      </c>
      <c r="D43" s="158"/>
      <c r="O43" s="147" t="s">
        <v>126</v>
      </c>
      <c r="AE43" s="147" t="s">
        <v>64</v>
      </c>
      <c r="AF43" s="147" t="s">
        <v>126</v>
      </c>
    </row>
    <row r="44" spans="1:32">
      <c r="A44" s="140">
        <v>2</v>
      </c>
      <c r="B44" s="159" t="s">
        <v>127</v>
      </c>
      <c r="C44" s="156">
        <f>标准成本!E9</f>
        <v>8.12</v>
      </c>
      <c r="D44" s="158"/>
      <c r="O44" s="147" t="s">
        <v>127</v>
      </c>
      <c r="AE44" s="147" t="s">
        <v>66</v>
      </c>
      <c r="AF44" s="147" t="s">
        <v>127</v>
      </c>
    </row>
    <row r="45" spans="1:32">
      <c r="A45" s="140">
        <v>3</v>
      </c>
      <c r="B45" s="159" t="s">
        <v>128</v>
      </c>
      <c r="C45" s="156">
        <f>标准成本!E8</f>
        <v>39.44</v>
      </c>
      <c r="D45" s="158"/>
      <c r="O45" s="147" t="s">
        <v>128</v>
      </c>
      <c r="AE45" s="147" t="s">
        <v>112</v>
      </c>
      <c r="AF45" s="147" t="s">
        <v>128</v>
      </c>
    </row>
    <row r="46" s="137" customFormat="1" spans="1:32">
      <c r="A46" s="140">
        <v>4</v>
      </c>
      <c r="B46" s="159" t="s">
        <v>129</v>
      </c>
      <c r="C46" s="164">
        <f>C21/C6</f>
        <v>0</v>
      </c>
      <c r="D46" s="164"/>
      <c r="O46" s="159" t="s">
        <v>131</v>
      </c>
      <c r="AE46" s="159" t="s">
        <v>72</v>
      </c>
      <c r="AF46" s="159" t="s">
        <v>131</v>
      </c>
    </row>
    <row r="47" s="137" customFormat="1" spans="1:32">
      <c r="A47" s="140">
        <v>5</v>
      </c>
      <c r="B47" s="159" t="s">
        <v>131</v>
      </c>
      <c r="C47" s="164">
        <f>标准成本!E11</f>
        <v>34.8</v>
      </c>
      <c r="D47" s="164"/>
      <c r="O47" s="159" t="s">
        <v>131</v>
      </c>
      <c r="AE47" s="159" t="s">
        <v>72</v>
      </c>
      <c r="AF47" s="159" t="s">
        <v>131</v>
      </c>
    </row>
    <row r="48" spans="1:32">
      <c r="A48" s="147" t="s">
        <v>124</v>
      </c>
      <c r="B48" s="152" t="s">
        <v>142</v>
      </c>
      <c r="C48" s="158">
        <f>C40-C43-C44-C45-C47-C46</f>
        <v>65.6986</v>
      </c>
      <c r="D48" s="158"/>
      <c r="O48" s="152" t="s">
        <v>142</v>
      </c>
      <c r="AE48" s="147" t="s">
        <v>141</v>
      </c>
      <c r="AF48" s="152" t="s">
        <v>142</v>
      </c>
    </row>
    <row r="51" spans="3:3">
      <c r="C51" s="165"/>
    </row>
    <row r="54" spans="2:9">
      <c r="B54" s="2"/>
      <c r="C54" s="166"/>
      <c r="D54" s="166"/>
      <c r="E54" s="2"/>
      <c r="F54" s="2"/>
      <c r="G54" s="2"/>
      <c r="H54" s="2"/>
      <c r="I54" s="2"/>
    </row>
    <row r="55" spans="2:9">
      <c r="B55" s="2"/>
      <c r="C55" s="166"/>
      <c r="D55" s="166"/>
      <c r="E55" s="2"/>
      <c r="F55" s="2"/>
      <c r="G55" s="2"/>
      <c r="H55" s="2"/>
      <c r="I55" s="2"/>
    </row>
    <row r="56" spans="2:9">
      <c r="B56" s="2"/>
      <c r="C56" s="166"/>
      <c r="D56" s="166"/>
      <c r="E56" s="2"/>
      <c r="F56" s="2"/>
      <c r="G56" s="2"/>
      <c r="H56" s="2"/>
      <c r="I56" s="2"/>
    </row>
    <row r="57" spans="2:9">
      <c r="B57" s="2"/>
      <c r="C57" s="166"/>
      <c r="D57" s="166"/>
      <c r="E57" s="2"/>
      <c r="F57" s="2"/>
      <c r="G57" s="2"/>
      <c r="H57" s="2"/>
      <c r="I57" s="2"/>
    </row>
    <row r="58" spans="2:9">
      <c r="B58" s="2"/>
      <c r="C58" s="166"/>
      <c r="D58" s="166"/>
      <c r="E58" s="2"/>
      <c r="F58" s="2"/>
      <c r="G58" s="2"/>
      <c r="H58" s="2"/>
      <c r="I58" s="2"/>
    </row>
    <row r="59" spans="2:9">
      <c r="B59" s="2"/>
      <c r="C59" s="166"/>
      <c r="D59" s="166"/>
      <c r="E59" s="2"/>
      <c r="F59" s="2"/>
      <c r="G59" s="2"/>
      <c r="H59" s="2"/>
      <c r="I59" s="2"/>
    </row>
    <row r="60" spans="2:9">
      <c r="B60" s="2"/>
      <c r="C60" s="166"/>
      <c r="D60" s="166"/>
      <c r="E60" s="2"/>
      <c r="F60" s="2"/>
      <c r="G60" s="2"/>
      <c r="H60" s="2"/>
      <c r="I60" s="2"/>
    </row>
    <row r="61" spans="2:9">
      <c r="B61" s="2"/>
      <c r="C61" s="166"/>
      <c r="D61" s="166"/>
      <c r="E61" s="2"/>
      <c r="F61" s="2"/>
      <c r="G61" s="2"/>
      <c r="H61" s="2"/>
      <c r="I61" s="2"/>
    </row>
    <row r="62" spans="2:9">
      <c r="B62" s="2"/>
      <c r="C62" s="166"/>
      <c r="D62" s="166"/>
      <c r="E62" s="2"/>
      <c r="F62" s="2"/>
      <c r="G62" s="2"/>
      <c r="H62" s="2"/>
      <c r="I62" s="2"/>
    </row>
    <row r="63" spans="2:9">
      <c r="B63" s="2"/>
      <c r="C63" s="166"/>
      <c r="D63" s="166"/>
      <c r="E63" s="2"/>
      <c r="F63" s="2"/>
      <c r="G63" s="2"/>
      <c r="H63" s="2"/>
      <c r="I63" s="2"/>
    </row>
    <row r="64" spans="2:9">
      <c r="B64" s="2"/>
      <c r="C64" s="166"/>
      <c r="D64" s="166"/>
      <c r="E64" s="2"/>
      <c r="F64" s="2"/>
      <c r="G64" s="2"/>
      <c r="H64" s="2"/>
      <c r="I64" s="2"/>
    </row>
    <row r="65" spans="2:9">
      <c r="B65" s="2"/>
      <c r="C65" s="166"/>
      <c r="D65" s="166"/>
      <c r="E65" s="2"/>
      <c r="F65" s="2"/>
      <c r="G65" s="2"/>
      <c r="H65" s="2"/>
      <c r="I65" s="2"/>
    </row>
    <row r="66" spans="2:9">
      <c r="B66" s="2"/>
      <c r="C66" s="166"/>
      <c r="D66" s="166"/>
      <c r="E66" s="2"/>
      <c r="F66" s="2"/>
      <c r="G66" s="2"/>
      <c r="H66" s="2"/>
      <c r="I66" s="2"/>
    </row>
    <row r="67" spans="2:5">
      <c r="B67" s="2"/>
      <c r="C67" s="166"/>
      <c r="D67" s="166"/>
      <c r="E67" s="2"/>
    </row>
    <row r="68" spans="2:5">
      <c r="B68" s="2"/>
      <c r="C68" s="166"/>
      <c r="D68" s="166"/>
      <c r="E68" s="2"/>
    </row>
    <row r="69" spans="2:5">
      <c r="B69" s="2"/>
      <c r="C69" s="166"/>
      <c r="D69" s="166"/>
      <c r="E69" s="2"/>
    </row>
    <row r="70" spans="2:5">
      <c r="B70" s="2"/>
      <c r="C70" s="166"/>
      <c r="D70" s="166"/>
      <c r="E70" s="2"/>
    </row>
    <row r="71" spans="2:5">
      <c r="B71" s="2"/>
      <c r="C71" s="166"/>
      <c r="D71" s="166"/>
      <c r="E71" s="2"/>
    </row>
    <row r="72" spans="2:5">
      <c r="B72" s="2"/>
      <c r="C72" s="166"/>
      <c r="D72" s="166"/>
      <c r="E72" s="2"/>
    </row>
    <row r="73" spans="2:5">
      <c r="B73" s="2"/>
      <c r="C73" s="166"/>
      <c r="D73" s="166"/>
      <c r="E73" s="2"/>
    </row>
    <row r="74" spans="2:5">
      <c r="B74" s="2"/>
      <c r="C74" s="166"/>
      <c r="D74" s="166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5" sqref="C25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5.5" style="139" customWidth="1"/>
    <col min="4" max="4" width="18.7545454545455" style="139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pans="1:4">
      <c r="A1" s="140" t="s">
        <v>152</v>
      </c>
      <c r="B1" s="140"/>
      <c r="C1" s="141" t="s">
        <v>168</v>
      </c>
      <c r="D1" s="142"/>
    </row>
    <row r="2" spans="1:4">
      <c r="A2" s="140" t="s">
        <v>154</v>
      </c>
      <c r="B2" s="140"/>
      <c r="C2" s="143" t="s">
        <v>155</v>
      </c>
      <c r="D2" s="143"/>
    </row>
    <row r="3" ht="16.5" spans="1:4">
      <c r="A3" s="140" t="s">
        <v>156</v>
      </c>
      <c r="B3" s="140"/>
      <c r="C3" s="21" t="s">
        <v>157</v>
      </c>
      <c r="D3" s="144" t="s">
        <v>60</v>
      </c>
    </row>
    <row r="4" ht="33" spans="1:4">
      <c r="A4" s="140" t="s">
        <v>158</v>
      </c>
      <c r="B4" s="140"/>
      <c r="C4" s="21" t="s">
        <v>159</v>
      </c>
      <c r="D4" s="145"/>
    </row>
    <row r="5" ht="16.5" spans="1:33">
      <c r="A5" s="140" t="s">
        <v>160</v>
      </c>
      <c r="B5" s="140"/>
      <c r="C5" s="81"/>
      <c r="D5" s="146"/>
      <c r="AG5" s="138" t="s">
        <v>61</v>
      </c>
    </row>
    <row r="6" ht="16.5" spans="1:33">
      <c r="A6" s="147" t="s">
        <v>21</v>
      </c>
      <c r="B6" s="148" t="s">
        <v>161</v>
      </c>
      <c r="C6" s="149">
        <f>销量!C11</f>
        <v>6000</v>
      </c>
      <c r="D6" s="150">
        <f t="shared" ref="D6:D15" si="0">+SUM(C6:C6)</f>
        <v>6000</v>
      </c>
      <c r="O6" s="148" t="s">
        <v>3</v>
      </c>
      <c r="AE6" s="147" t="s">
        <v>21</v>
      </c>
      <c r="AF6" s="148" t="s">
        <v>3</v>
      </c>
      <c r="AG6" s="138" t="s">
        <v>62</v>
      </c>
    </row>
    <row r="7" spans="1:33">
      <c r="A7" s="140">
        <v>1</v>
      </c>
      <c r="B7" s="148" t="s">
        <v>63</v>
      </c>
      <c r="C7" s="150">
        <f>C6*销量!C8</f>
        <v>6960000</v>
      </c>
      <c r="D7" s="150">
        <f t="shared" si="0"/>
        <v>6960000</v>
      </c>
      <c r="E7" s="139"/>
      <c r="O7" s="148" t="s">
        <v>63</v>
      </c>
      <c r="AE7" s="147" t="s">
        <v>64</v>
      </c>
      <c r="AF7" s="148" t="s">
        <v>63</v>
      </c>
      <c r="AG7" s="138" t="s">
        <v>62</v>
      </c>
    </row>
    <row r="8" spans="1:33">
      <c r="A8" s="140">
        <v>2</v>
      </c>
      <c r="B8" s="140" t="s">
        <v>65</v>
      </c>
      <c r="C8" s="150">
        <f>C7*(1-销量!$J$8)</f>
        <v>411336</v>
      </c>
      <c r="D8" s="150">
        <f t="shared" si="0"/>
        <v>411336</v>
      </c>
      <c r="E8" s="151"/>
      <c r="O8" s="140" t="s">
        <v>67</v>
      </c>
      <c r="AE8" s="147" t="s">
        <v>66</v>
      </c>
      <c r="AF8" s="140" t="s">
        <v>67</v>
      </c>
      <c r="AG8" s="138" t="s">
        <v>62</v>
      </c>
    </row>
    <row r="9" spans="1:33">
      <c r="A9" s="140">
        <v>3</v>
      </c>
      <c r="B9" s="148" t="s">
        <v>68</v>
      </c>
      <c r="C9" s="150">
        <f>+C7-C8</f>
        <v>6548664</v>
      </c>
      <c r="D9" s="150">
        <f t="shared" si="0"/>
        <v>6548664</v>
      </c>
      <c r="O9" s="148" t="s">
        <v>68</v>
      </c>
      <c r="AE9" s="147" t="s">
        <v>69</v>
      </c>
      <c r="AF9" s="148" t="s">
        <v>68</v>
      </c>
      <c r="AG9" s="138" t="s">
        <v>70</v>
      </c>
    </row>
    <row r="10" spans="1:33">
      <c r="A10" s="140">
        <v>4</v>
      </c>
      <c r="B10" s="147" t="s">
        <v>73</v>
      </c>
      <c r="C10" s="150">
        <f>C6*C33</f>
        <v>4675633.188</v>
      </c>
      <c r="D10" s="150">
        <f t="shared" si="0"/>
        <v>4675633.188</v>
      </c>
      <c r="O10" s="147" t="s">
        <v>73</v>
      </c>
      <c r="AE10" s="147" t="s">
        <v>72</v>
      </c>
      <c r="AF10" s="147" t="s">
        <v>73</v>
      </c>
      <c r="AG10" s="138" t="s">
        <v>74</v>
      </c>
    </row>
    <row r="11" spans="1:32">
      <c r="A11" s="140">
        <v>5</v>
      </c>
      <c r="B11" s="147" t="s">
        <v>75</v>
      </c>
      <c r="C11" s="150">
        <f>+C6*C36</f>
        <v>299976</v>
      </c>
      <c r="D11" s="150">
        <f t="shared" si="0"/>
        <v>299976</v>
      </c>
      <c r="O11" s="147" t="s">
        <v>75</v>
      </c>
      <c r="AE11" s="147" t="s">
        <v>76</v>
      </c>
      <c r="AF11" s="147" t="s">
        <v>75</v>
      </c>
    </row>
    <row r="12" spans="1:32">
      <c r="A12" s="140">
        <v>6</v>
      </c>
      <c r="B12" s="147" t="s">
        <v>77</v>
      </c>
      <c r="C12" s="150">
        <f>+C6*C37</f>
        <v>151032</v>
      </c>
      <c r="D12" s="150">
        <f t="shared" si="0"/>
        <v>151032</v>
      </c>
      <c r="O12" s="147" t="s">
        <v>77</v>
      </c>
      <c r="AE12" s="147" t="s">
        <v>78</v>
      </c>
      <c r="AF12" s="147" t="s">
        <v>77</v>
      </c>
    </row>
    <row r="13" spans="1:33">
      <c r="A13" s="140">
        <v>7</v>
      </c>
      <c r="B13" s="147" t="s">
        <v>79</v>
      </c>
      <c r="C13" s="150">
        <f>+C6*C38</f>
        <v>306240</v>
      </c>
      <c r="D13" s="150">
        <f t="shared" si="0"/>
        <v>306240</v>
      </c>
      <c r="O13" s="147" t="s">
        <v>79</v>
      </c>
      <c r="AE13" s="147" t="s">
        <v>80</v>
      </c>
      <c r="AF13" s="147" t="s">
        <v>79</v>
      </c>
      <c r="AG13" s="138" t="s">
        <v>62</v>
      </c>
    </row>
    <row r="14" spans="1:32">
      <c r="A14" s="140">
        <v>8</v>
      </c>
      <c r="B14" s="152" t="s">
        <v>81</v>
      </c>
      <c r="C14" s="150">
        <f>SUM(C11:C13)</f>
        <v>757248</v>
      </c>
      <c r="D14" s="150">
        <f t="shared" si="0"/>
        <v>757248</v>
      </c>
      <c r="O14" s="152" t="s">
        <v>81</v>
      </c>
      <c r="AE14" s="147" t="s">
        <v>82</v>
      </c>
      <c r="AF14" s="152" t="s">
        <v>81</v>
      </c>
    </row>
    <row r="15" spans="1:32">
      <c r="A15" s="140">
        <v>9</v>
      </c>
      <c r="B15" s="152" t="s">
        <v>83</v>
      </c>
      <c r="C15" s="150">
        <f>+C9-C10-C14</f>
        <v>1115782.812</v>
      </c>
      <c r="D15" s="150">
        <f t="shared" si="0"/>
        <v>1115782.812</v>
      </c>
      <c r="O15" s="152" t="s">
        <v>83</v>
      </c>
      <c r="AE15" s="147" t="s">
        <v>84</v>
      </c>
      <c r="AF15" s="152" t="s">
        <v>83</v>
      </c>
    </row>
    <row r="16" spans="1:32">
      <c r="A16" s="140">
        <v>10</v>
      </c>
      <c r="B16" s="147" t="s">
        <v>85</v>
      </c>
      <c r="C16" s="153">
        <f>+C15/C9</f>
        <v>0.170383273901364</v>
      </c>
      <c r="D16" s="153">
        <f>+D15/D9</f>
        <v>0.170383273901364</v>
      </c>
      <c r="O16" s="147" t="s">
        <v>85</v>
      </c>
      <c r="AE16" s="147" t="s">
        <v>86</v>
      </c>
      <c r="AF16" s="147" t="s">
        <v>85</v>
      </c>
    </row>
    <row r="17" spans="1:32">
      <c r="A17" s="140">
        <v>11</v>
      </c>
      <c r="B17" s="147" t="s">
        <v>87</v>
      </c>
      <c r="C17" s="150">
        <f>C6*C43+C18</f>
        <v>285360</v>
      </c>
      <c r="D17" s="150">
        <f>+SUM(C17:C17)</f>
        <v>285360</v>
      </c>
      <c r="E17" s="151"/>
      <c r="O17" s="147" t="s">
        <v>87</v>
      </c>
      <c r="AE17" s="147" t="s">
        <v>88</v>
      </c>
      <c r="AF17" s="147" t="s">
        <v>87</v>
      </c>
    </row>
    <row r="18" s="136" customFormat="1" spans="1:7">
      <c r="A18" s="140">
        <v>12</v>
      </c>
      <c r="B18" s="155" t="s">
        <v>162</v>
      </c>
      <c r="C18" s="156">
        <f>$D$18/$D$6*C6</f>
        <v>0</v>
      </c>
      <c r="D18" s="150">
        <f>项目投资!E26</f>
        <v>0</v>
      </c>
      <c r="E18" s="157" t="s">
        <v>163</v>
      </c>
      <c r="F18" s="157"/>
      <c r="G18" s="157"/>
    </row>
    <row r="19" spans="1:33">
      <c r="A19" s="140">
        <v>13</v>
      </c>
      <c r="B19" s="147" t="s">
        <v>89</v>
      </c>
      <c r="C19" s="150">
        <f>C6*C44</f>
        <v>48720</v>
      </c>
      <c r="D19" s="150">
        <f>+SUM(C19:C19)</f>
        <v>48720</v>
      </c>
      <c r="E19" s="136"/>
      <c r="O19" s="147" t="s">
        <v>89</v>
      </c>
      <c r="AE19" s="147" t="s">
        <v>90</v>
      </c>
      <c r="AF19" s="147" t="s">
        <v>89</v>
      </c>
      <c r="AG19" s="138" t="s">
        <v>62</v>
      </c>
    </row>
    <row r="20" spans="1:32">
      <c r="A20" s="140">
        <v>14</v>
      </c>
      <c r="B20" s="147" t="s">
        <v>91</v>
      </c>
      <c r="C20" s="150">
        <f>C6*C45</f>
        <v>236640</v>
      </c>
      <c r="D20" s="150">
        <f>+SUM(C20:C20)</f>
        <v>236640</v>
      </c>
      <c r="O20" s="147" t="s">
        <v>91</v>
      </c>
      <c r="AE20" s="147" t="s">
        <v>92</v>
      </c>
      <c r="AF20" s="147" t="s">
        <v>91</v>
      </c>
    </row>
    <row r="21" spans="1:32">
      <c r="A21" s="140">
        <v>15</v>
      </c>
      <c r="B21" s="147" t="s">
        <v>93</v>
      </c>
      <c r="C21" s="158">
        <f>$D$21/$D$6*C6</f>
        <v>0</v>
      </c>
      <c r="D21" s="150">
        <f>项目投资!E27</f>
        <v>0</v>
      </c>
      <c r="O21" s="147" t="s">
        <v>93</v>
      </c>
      <c r="AE21" s="147"/>
      <c r="AF21" s="147"/>
    </row>
    <row r="22" spans="1:32">
      <c r="A22" s="140">
        <v>16</v>
      </c>
      <c r="B22" s="147" t="s">
        <v>94</v>
      </c>
      <c r="C22" s="150">
        <f>C6*C47</f>
        <v>208800</v>
      </c>
      <c r="D22" s="150">
        <f>+SUM(C22:C22)</f>
        <v>208800</v>
      </c>
      <c r="O22" s="147" t="s">
        <v>94</v>
      </c>
      <c r="AE22" s="147" t="s">
        <v>95</v>
      </c>
      <c r="AF22" s="147" t="s">
        <v>94</v>
      </c>
    </row>
    <row r="23" spans="1:32">
      <c r="A23" s="140">
        <v>17</v>
      </c>
      <c r="B23" s="152" t="s">
        <v>96</v>
      </c>
      <c r="C23" s="158">
        <f>+C22+C21+C20+C19+C17</f>
        <v>779520</v>
      </c>
      <c r="D23" s="158">
        <f>+D22+D21+D20+D19+D17</f>
        <v>779520</v>
      </c>
      <c r="O23" s="152" t="s">
        <v>96</v>
      </c>
      <c r="AE23" s="147" t="s">
        <v>97</v>
      </c>
      <c r="AF23" s="152" t="s">
        <v>96</v>
      </c>
    </row>
    <row r="24" spans="1:32">
      <c r="A24" s="140">
        <v>18</v>
      </c>
      <c r="B24" s="159" t="s">
        <v>98</v>
      </c>
      <c r="C24" s="158">
        <f>+C15-C23</f>
        <v>336262.812</v>
      </c>
      <c r="D24" s="158">
        <f>+D15-D23</f>
        <v>336262.812</v>
      </c>
      <c r="F24" s="160"/>
      <c r="O24" s="147" t="s">
        <v>98</v>
      </c>
      <c r="AE24" s="147" t="s">
        <v>99</v>
      </c>
      <c r="AF24" s="147" t="s">
        <v>98</v>
      </c>
    </row>
    <row r="25" spans="1:32">
      <c r="A25" s="140">
        <v>19</v>
      </c>
      <c r="B25" s="147" t="s">
        <v>164</v>
      </c>
      <c r="C25" s="158">
        <f>IF(C24&lt;0,0,C24*0.25)</f>
        <v>84065.703</v>
      </c>
      <c r="D25" s="158">
        <f>IF(D24&lt;0,0,D24*0.25)</f>
        <v>84065.703</v>
      </c>
      <c r="E25" s="2"/>
      <c r="F25" s="2"/>
      <c r="G25" s="2"/>
      <c r="O25" s="147" t="s">
        <v>38</v>
      </c>
      <c r="AE25" s="147" t="s">
        <v>100</v>
      </c>
      <c r="AF25" s="147" t="s">
        <v>38</v>
      </c>
    </row>
    <row r="26" spans="1:32">
      <c r="A26" s="140">
        <v>20</v>
      </c>
      <c r="B26" s="147" t="s">
        <v>101</v>
      </c>
      <c r="C26" s="158">
        <f>C24-C25</f>
        <v>252197.109</v>
      </c>
      <c r="D26" s="150">
        <f>+SUM(C26:C26)</f>
        <v>252197.109</v>
      </c>
      <c r="E26" s="2"/>
      <c r="F26" s="2"/>
      <c r="G26" s="2"/>
      <c r="O26" s="147" t="s">
        <v>101</v>
      </c>
      <c r="AE26" s="147" t="s">
        <v>102</v>
      </c>
      <c r="AF26" s="147" t="s">
        <v>101</v>
      </c>
    </row>
    <row r="27" spans="1:32">
      <c r="A27" s="140">
        <v>21</v>
      </c>
      <c r="B27" s="147" t="s">
        <v>105</v>
      </c>
      <c r="C27" s="161">
        <f>C26/C7</f>
        <v>0.0362352168103448</v>
      </c>
      <c r="D27" s="161">
        <f>D26/D7</f>
        <v>0.0362352168103448</v>
      </c>
      <c r="E27" s="2"/>
      <c r="F27" s="2"/>
      <c r="G27" s="2"/>
      <c r="O27" s="147" t="s">
        <v>105</v>
      </c>
      <c r="AE27" s="147" t="s">
        <v>104</v>
      </c>
      <c r="AF27" s="147" t="s">
        <v>105</v>
      </c>
    </row>
    <row r="28" spans="5:15">
      <c r="E28" s="2"/>
      <c r="F28" s="2"/>
      <c r="G28" s="2"/>
      <c r="O28" s="147"/>
    </row>
    <row r="29" spans="1:31">
      <c r="A29" s="138" t="s">
        <v>106</v>
      </c>
      <c r="D29" s="139" t="s">
        <v>165</v>
      </c>
      <c r="E29" s="2"/>
      <c r="F29" s="2"/>
      <c r="G29" s="2"/>
      <c r="O29" s="147"/>
      <c r="AE29" s="138" t="s">
        <v>106</v>
      </c>
    </row>
    <row r="30" spans="1:32">
      <c r="A30" s="147" t="s">
        <v>107</v>
      </c>
      <c r="B30" s="152" t="s">
        <v>108</v>
      </c>
      <c r="C30" s="158"/>
      <c r="D30" s="158"/>
      <c r="E30" s="2"/>
      <c r="F30" s="2"/>
      <c r="G30" s="2"/>
      <c r="I30" s="2"/>
      <c r="O30" s="152" t="s">
        <v>108</v>
      </c>
      <c r="AE30" s="147" t="s">
        <v>109</v>
      </c>
      <c r="AF30" s="152" t="s">
        <v>108</v>
      </c>
    </row>
    <row r="31" spans="1:32">
      <c r="A31" s="140">
        <v>1</v>
      </c>
      <c r="B31" s="155" t="s">
        <v>110</v>
      </c>
      <c r="C31" s="162">
        <f>销量!K8</f>
        <v>1091.444</v>
      </c>
      <c r="D31" s="158"/>
      <c r="E31" s="2"/>
      <c r="F31" s="2"/>
      <c r="G31" s="2"/>
      <c r="I31" s="2"/>
      <c r="O31" s="147" t="s">
        <v>110</v>
      </c>
      <c r="AE31" s="147" t="s">
        <v>64</v>
      </c>
      <c r="AF31" s="147" t="s">
        <v>110</v>
      </c>
    </row>
    <row r="32" spans="1:32">
      <c r="A32" s="140">
        <v>2</v>
      </c>
      <c r="B32" s="147" t="s">
        <v>166</v>
      </c>
      <c r="C32" s="150">
        <f>C31*1</f>
        <v>1091.444</v>
      </c>
      <c r="D32" s="158"/>
      <c r="E32" s="2"/>
      <c r="F32" s="2"/>
      <c r="G32" s="2"/>
      <c r="H32" s="2"/>
      <c r="I32" s="2"/>
      <c r="J32" s="2"/>
      <c r="K32" s="2"/>
      <c r="AE32" s="147"/>
      <c r="AF32" s="147"/>
    </row>
    <row r="33" spans="1:32">
      <c r="A33" s="140">
        <v>3</v>
      </c>
      <c r="B33" s="155" t="s">
        <v>111</v>
      </c>
      <c r="C33" s="150">
        <f>材料成本!D27</f>
        <v>779.272198</v>
      </c>
      <c r="D33" s="158"/>
      <c r="F33" s="2"/>
      <c r="G33" s="2"/>
      <c r="H33" s="2"/>
      <c r="I33" s="2"/>
      <c r="J33" s="2"/>
      <c r="K33" s="2"/>
      <c r="O33" s="147" t="s">
        <v>111</v>
      </c>
      <c r="AE33" s="147" t="s">
        <v>66</v>
      </c>
      <c r="AF33" s="147" t="s">
        <v>111</v>
      </c>
    </row>
    <row r="34" ht="17.25" customHeight="1" spans="1:32">
      <c r="A34" s="140">
        <v>4</v>
      </c>
      <c r="B34" s="147" t="s">
        <v>113</v>
      </c>
      <c r="C34" s="163">
        <f>C32-C33</f>
        <v>312.171802</v>
      </c>
      <c r="D34" s="158"/>
      <c r="F34" s="2"/>
      <c r="G34" s="2"/>
      <c r="H34" s="2"/>
      <c r="I34" s="2"/>
      <c r="J34" s="2"/>
      <c r="K34" s="2"/>
      <c r="O34" s="147" t="s">
        <v>113</v>
      </c>
      <c r="AE34" s="147" t="s">
        <v>112</v>
      </c>
      <c r="AF34" s="147" t="s">
        <v>113</v>
      </c>
    </row>
    <row r="35" spans="1:32">
      <c r="A35" s="147" t="s">
        <v>109</v>
      </c>
      <c r="B35" s="152" t="s">
        <v>10</v>
      </c>
      <c r="C35" s="158"/>
      <c r="D35" s="158"/>
      <c r="E35" s="2"/>
      <c r="F35" s="2"/>
      <c r="G35" s="2"/>
      <c r="H35" s="2"/>
      <c r="I35" s="2"/>
      <c r="J35" s="2"/>
      <c r="K35" s="2"/>
      <c r="L35" s="2"/>
      <c r="M35" s="2"/>
      <c r="N35" s="2"/>
      <c r="O35" s="152" t="s">
        <v>10</v>
      </c>
      <c r="AE35" s="147" t="s">
        <v>115</v>
      </c>
      <c r="AF35" s="152" t="s">
        <v>10</v>
      </c>
    </row>
    <row r="36" spans="1:32">
      <c r="A36" s="140">
        <v>1</v>
      </c>
      <c r="B36" s="147" t="s">
        <v>116</v>
      </c>
      <c r="C36" s="156">
        <f>标准成本!E4</f>
        <v>49.996</v>
      </c>
      <c r="D36" s="162"/>
      <c r="E36" s="2"/>
      <c r="F36" s="2"/>
      <c r="G36" s="2"/>
      <c r="H36" s="2"/>
      <c r="I36" s="2"/>
      <c r="J36" s="2"/>
      <c r="K36" s="2"/>
      <c r="L36" s="2"/>
      <c r="M36" s="2"/>
      <c r="N36" s="2"/>
      <c r="O36" s="147" t="s">
        <v>116</v>
      </c>
      <c r="AE36" s="147" t="s">
        <v>112</v>
      </c>
      <c r="AF36" s="147" t="s">
        <v>116</v>
      </c>
    </row>
    <row r="37" spans="1:32">
      <c r="A37" s="140">
        <v>2</v>
      </c>
      <c r="B37" s="147" t="s">
        <v>117</v>
      </c>
      <c r="C37" s="156">
        <f>标准成本!E6</f>
        <v>25.172</v>
      </c>
      <c r="D37" s="162"/>
      <c r="E37" s="2"/>
      <c r="F37" s="2"/>
      <c r="G37" s="2"/>
      <c r="H37" s="2"/>
      <c r="I37" s="2"/>
      <c r="J37" s="2"/>
      <c r="K37" s="2"/>
      <c r="L37" s="2"/>
      <c r="M37" s="2"/>
      <c r="N37" s="2"/>
      <c r="O37" s="147" t="s">
        <v>117</v>
      </c>
      <c r="AE37" s="147" t="s">
        <v>69</v>
      </c>
      <c r="AF37" s="147" t="s">
        <v>117</v>
      </c>
    </row>
    <row r="38" spans="1:32">
      <c r="A38" s="140">
        <v>3</v>
      </c>
      <c r="B38" s="147" t="s">
        <v>118</v>
      </c>
      <c r="C38" s="156">
        <f>标准成本!E10</f>
        <v>51.04</v>
      </c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147" t="s">
        <v>118</v>
      </c>
      <c r="AE38" s="147" t="s">
        <v>76</v>
      </c>
      <c r="AF38" s="147" t="s">
        <v>118</v>
      </c>
    </row>
    <row r="39" spans="1:32">
      <c r="A39" s="147" t="s">
        <v>115</v>
      </c>
      <c r="B39" s="152" t="s">
        <v>120</v>
      </c>
      <c r="C39" s="158"/>
      <c r="D39" s="158"/>
      <c r="O39" s="152" t="s">
        <v>120</v>
      </c>
      <c r="AE39" s="147" t="s">
        <v>119</v>
      </c>
      <c r="AF39" s="152" t="s">
        <v>120</v>
      </c>
    </row>
    <row r="40" spans="1:32">
      <c r="A40" s="140">
        <v>1</v>
      </c>
      <c r="B40" s="147" t="s">
        <v>122</v>
      </c>
      <c r="C40" s="158">
        <f>C34-C36-C37-C38</f>
        <v>185.963802</v>
      </c>
      <c r="D40" s="158"/>
      <c r="O40" s="147" t="s">
        <v>122</v>
      </c>
      <c r="AE40" s="147" t="s">
        <v>64</v>
      </c>
      <c r="AF40" s="147" t="s">
        <v>122</v>
      </c>
    </row>
    <row r="41" spans="1:32">
      <c r="A41" s="140">
        <v>2</v>
      </c>
      <c r="B41" s="147" t="s">
        <v>123</v>
      </c>
      <c r="C41" s="158"/>
      <c r="D41" s="158"/>
      <c r="O41" s="147" t="s">
        <v>123</v>
      </c>
      <c r="AE41" s="147" t="s">
        <v>66</v>
      </c>
      <c r="AF41" s="147" t="s">
        <v>123</v>
      </c>
    </row>
    <row r="42" spans="1:32">
      <c r="A42" s="147" t="s">
        <v>119</v>
      </c>
      <c r="B42" s="152" t="s">
        <v>125</v>
      </c>
      <c r="C42" s="158"/>
      <c r="D42" s="158"/>
      <c r="O42" s="152" t="s">
        <v>125</v>
      </c>
      <c r="AE42" s="147" t="s">
        <v>124</v>
      </c>
      <c r="AF42" s="152" t="s">
        <v>125</v>
      </c>
    </row>
    <row r="43" spans="1:32">
      <c r="A43" s="140">
        <v>1</v>
      </c>
      <c r="B43" s="159" t="s">
        <v>126</v>
      </c>
      <c r="C43" s="156">
        <f>标准成本!E5</f>
        <v>47.56</v>
      </c>
      <c r="D43" s="158"/>
      <c r="O43" s="147" t="s">
        <v>126</v>
      </c>
      <c r="AE43" s="147" t="s">
        <v>64</v>
      </c>
      <c r="AF43" s="147" t="s">
        <v>126</v>
      </c>
    </row>
    <row r="44" spans="1:32">
      <c r="A44" s="140">
        <v>2</v>
      </c>
      <c r="B44" s="159" t="s">
        <v>127</v>
      </c>
      <c r="C44" s="156">
        <f>标准成本!E9</f>
        <v>8.12</v>
      </c>
      <c r="D44" s="158"/>
      <c r="O44" s="147" t="s">
        <v>127</v>
      </c>
      <c r="AE44" s="147" t="s">
        <v>66</v>
      </c>
      <c r="AF44" s="147" t="s">
        <v>127</v>
      </c>
    </row>
    <row r="45" spans="1:32">
      <c r="A45" s="140">
        <v>3</v>
      </c>
      <c r="B45" s="159" t="s">
        <v>128</v>
      </c>
      <c r="C45" s="156">
        <f>标准成本!E8</f>
        <v>39.44</v>
      </c>
      <c r="D45" s="158"/>
      <c r="O45" s="147" t="s">
        <v>128</v>
      </c>
      <c r="AE45" s="147" t="s">
        <v>112</v>
      </c>
      <c r="AF45" s="147" t="s">
        <v>128</v>
      </c>
    </row>
    <row r="46" s="137" customFormat="1" spans="1:32">
      <c r="A46" s="140">
        <v>4</v>
      </c>
      <c r="B46" s="159" t="s">
        <v>129</v>
      </c>
      <c r="C46" s="164">
        <f>C21/C6</f>
        <v>0</v>
      </c>
      <c r="D46" s="164"/>
      <c r="O46" s="159" t="s">
        <v>131</v>
      </c>
      <c r="AE46" s="159" t="s">
        <v>72</v>
      </c>
      <c r="AF46" s="159" t="s">
        <v>131</v>
      </c>
    </row>
    <row r="47" s="137" customFormat="1" spans="1:32">
      <c r="A47" s="140">
        <v>5</v>
      </c>
      <c r="B47" s="159" t="s">
        <v>131</v>
      </c>
      <c r="C47" s="164">
        <f>标准成本!E11</f>
        <v>34.8</v>
      </c>
      <c r="D47" s="164"/>
      <c r="O47" s="159" t="s">
        <v>131</v>
      </c>
      <c r="AE47" s="159" t="s">
        <v>72</v>
      </c>
      <c r="AF47" s="159" t="s">
        <v>131</v>
      </c>
    </row>
    <row r="48" spans="1:32">
      <c r="A48" s="147" t="s">
        <v>124</v>
      </c>
      <c r="B48" s="152" t="s">
        <v>142</v>
      </c>
      <c r="C48" s="158">
        <f>C40-C43-C44-C45-C47-C46</f>
        <v>56.0438020000002</v>
      </c>
      <c r="D48" s="158"/>
      <c r="O48" s="152" t="s">
        <v>142</v>
      </c>
      <c r="AE48" s="147" t="s">
        <v>141</v>
      </c>
      <c r="AF48" s="152" t="s">
        <v>142</v>
      </c>
    </row>
    <row r="51" spans="3:3">
      <c r="C51" s="165"/>
    </row>
    <row r="54" spans="2:9">
      <c r="B54" s="2"/>
      <c r="C54" s="166"/>
      <c r="D54" s="166"/>
      <c r="E54" s="2"/>
      <c r="F54" s="2"/>
      <c r="G54" s="2"/>
      <c r="H54" s="2"/>
      <c r="I54" s="2"/>
    </row>
    <row r="55" spans="2:9">
      <c r="B55" s="2"/>
      <c r="C55" s="166"/>
      <c r="D55" s="166"/>
      <c r="E55" s="2"/>
      <c r="F55" s="2"/>
      <c r="G55" s="2"/>
      <c r="H55" s="2"/>
      <c r="I55" s="2"/>
    </row>
    <row r="56" spans="2:9">
      <c r="B56" s="2"/>
      <c r="C56" s="166"/>
      <c r="D56" s="166"/>
      <c r="E56" s="2"/>
      <c r="F56" s="2"/>
      <c r="G56" s="2"/>
      <c r="H56" s="2"/>
      <c r="I56" s="2"/>
    </row>
    <row r="57" spans="2:9">
      <c r="B57" s="2"/>
      <c r="C57" s="166"/>
      <c r="D57" s="166"/>
      <c r="E57" s="2"/>
      <c r="F57" s="2"/>
      <c r="G57" s="2"/>
      <c r="H57" s="2"/>
      <c r="I57" s="2"/>
    </row>
    <row r="58" spans="2:9">
      <c r="B58" s="2"/>
      <c r="C58" s="166"/>
      <c r="D58" s="166"/>
      <c r="E58" s="2"/>
      <c r="F58" s="2"/>
      <c r="G58" s="2"/>
      <c r="H58" s="2"/>
      <c r="I58" s="2"/>
    </row>
    <row r="59" spans="2:9">
      <c r="B59" s="2"/>
      <c r="C59" s="166"/>
      <c r="D59" s="166"/>
      <c r="E59" s="2"/>
      <c r="F59" s="2"/>
      <c r="G59" s="2"/>
      <c r="H59" s="2"/>
      <c r="I59" s="2"/>
    </row>
    <row r="60" spans="2:9">
      <c r="B60" s="2"/>
      <c r="C60" s="166"/>
      <c r="D60" s="166"/>
      <c r="E60" s="2"/>
      <c r="F60" s="2"/>
      <c r="G60" s="2"/>
      <c r="H60" s="2"/>
      <c r="I60" s="2"/>
    </row>
    <row r="61" spans="2:9">
      <c r="B61" s="2"/>
      <c r="C61" s="166"/>
      <c r="D61" s="166"/>
      <c r="E61" s="2"/>
      <c r="F61" s="2"/>
      <c r="G61" s="2"/>
      <c r="H61" s="2"/>
      <c r="I61" s="2"/>
    </row>
    <row r="62" spans="2:9">
      <c r="B62" s="2"/>
      <c r="C62" s="166"/>
      <c r="D62" s="166"/>
      <c r="E62" s="2"/>
      <c r="F62" s="2"/>
      <c r="G62" s="2"/>
      <c r="H62" s="2"/>
      <c r="I62" s="2"/>
    </row>
    <row r="63" spans="2:9">
      <c r="B63" s="2"/>
      <c r="C63" s="166"/>
      <c r="D63" s="166"/>
      <c r="E63" s="2"/>
      <c r="F63" s="2"/>
      <c r="G63" s="2"/>
      <c r="H63" s="2"/>
      <c r="I63" s="2"/>
    </row>
    <row r="64" spans="2:9">
      <c r="B64" s="2"/>
      <c r="C64" s="166"/>
      <c r="D64" s="166"/>
      <c r="E64" s="2"/>
      <c r="F64" s="2"/>
      <c r="G64" s="2"/>
      <c r="H64" s="2"/>
      <c r="I64" s="2"/>
    </row>
    <row r="65" spans="2:9">
      <c r="B65" s="2"/>
      <c r="C65" s="166"/>
      <c r="D65" s="166"/>
      <c r="E65" s="2"/>
      <c r="F65" s="2"/>
      <c r="G65" s="2"/>
      <c r="H65" s="2"/>
      <c r="I65" s="2"/>
    </row>
    <row r="66" spans="2:9">
      <c r="B66" s="2"/>
      <c r="C66" s="166"/>
      <c r="D66" s="166"/>
      <c r="E66" s="2"/>
      <c r="F66" s="2"/>
      <c r="G66" s="2"/>
      <c r="H66" s="2"/>
      <c r="I66" s="2"/>
    </row>
    <row r="67" spans="2:5">
      <c r="B67" s="2"/>
      <c r="C67" s="166"/>
      <c r="D67" s="166"/>
      <c r="E67" s="2"/>
    </row>
    <row r="68" spans="2:5">
      <c r="B68" s="2"/>
      <c r="C68" s="166"/>
      <c r="D68" s="166"/>
      <c r="E68" s="2"/>
    </row>
    <row r="69" spans="2:5">
      <c r="B69" s="2"/>
      <c r="C69" s="166"/>
      <c r="D69" s="166"/>
      <c r="E69" s="2"/>
    </row>
    <row r="70" spans="2:5">
      <c r="B70" s="2"/>
      <c r="C70" s="166"/>
      <c r="D70" s="166"/>
      <c r="E70" s="2"/>
    </row>
    <row r="71" spans="2:5">
      <c r="B71" s="2"/>
      <c r="C71" s="166"/>
      <c r="D71" s="166"/>
      <c r="E71" s="2"/>
    </row>
    <row r="72" spans="2:5">
      <c r="B72" s="2"/>
      <c r="C72" s="166"/>
      <c r="D72" s="166"/>
      <c r="E72" s="2"/>
    </row>
    <row r="73" spans="2:5">
      <c r="B73" s="2"/>
      <c r="C73" s="166"/>
      <c r="D73" s="166"/>
      <c r="E73" s="2"/>
    </row>
    <row r="74" spans="2:5">
      <c r="B74" s="2"/>
      <c r="C74" s="166"/>
      <c r="D74" s="166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5" sqref="C25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39" customWidth="1"/>
    <col min="4" max="4" width="18.7545454545455" style="139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pans="1:4">
      <c r="A1" s="140" t="s">
        <v>152</v>
      </c>
      <c r="B1" s="140"/>
      <c r="C1" s="141" t="s">
        <v>169</v>
      </c>
      <c r="D1" s="142"/>
    </row>
    <row r="2" spans="1:4">
      <c r="A2" s="140" t="s">
        <v>154</v>
      </c>
      <c r="B2" s="140"/>
      <c r="C2" s="143" t="s">
        <v>155</v>
      </c>
      <c r="D2" s="143"/>
    </row>
    <row r="3" ht="33" spans="1:4">
      <c r="A3" s="140" t="s">
        <v>156</v>
      </c>
      <c r="B3" s="140"/>
      <c r="C3" s="21" t="s">
        <v>157</v>
      </c>
      <c r="D3" s="144" t="s">
        <v>60</v>
      </c>
    </row>
    <row r="4" ht="33" spans="1:4">
      <c r="A4" s="140" t="s">
        <v>158</v>
      </c>
      <c r="B4" s="140"/>
      <c r="C4" s="21" t="s">
        <v>159</v>
      </c>
      <c r="D4" s="145"/>
    </row>
    <row r="5" ht="16.5" spans="1:33">
      <c r="A5" s="140" t="s">
        <v>160</v>
      </c>
      <c r="B5" s="140"/>
      <c r="C5" s="81"/>
      <c r="D5" s="146"/>
      <c r="AG5" s="138" t="s">
        <v>61</v>
      </c>
    </row>
    <row r="6" ht="16.5" spans="1:33">
      <c r="A6" s="147" t="s">
        <v>21</v>
      </c>
      <c r="B6" s="148" t="s">
        <v>161</v>
      </c>
      <c r="C6" s="149">
        <f>销量!C12</f>
        <v>6000</v>
      </c>
      <c r="D6" s="150">
        <f t="shared" ref="D6:D15" si="0">+SUM(C6:C6)</f>
        <v>6000</v>
      </c>
      <c r="O6" s="148" t="s">
        <v>3</v>
      </c>
      <c r="AE6" s="147" t="s">
        <v>21</v>
      </c>
      <c r="AF6" s="148" t="s">
        <v>3</v>
      </c>
      <c r="AG6" s="138" t="s">
        <v>62</v>
      </c>
    </row>
    <row r="7" spans="1:33">
      <c r="A7" s="140">
        <v>1</v>
      </c>
      <c r="B7" s="148" t="s">
        <v>63</v>
      </c>
      <c r="C7" s="150">
        <f>C6*销量!C8</f>
        <v>6960000</v>
      </c>
      <c r="D7" s="150">
        <f t="shared" si="0"/>
        <v>6960000</v>
      </c>
      <c r="E7" s="139"/>
      <c r="O7" s="148" t="s">
        <v>63</v>
      </c>
      <c r="AE7" s="147" t="s">
        <v>64</v>
      </c>
      <c r="AF7" s="148" t="s">
        <v>63</v>
      </c>
      <c r="AG7" s="138" t="s">
        <v>62</v>
      </c>
    </row>
    <row r="8" spans="1:33">
      <c r="A8" s="140">
        <v>2</v>
      </c>
      <c r="B8" s="140" t="s">
        <v>65</v>
      </c>
      <c r="C8" s="150">
        <f>C7*(1-销量!$J$9)</f>
        <v>607795.92</v>
      </c>
      <c r="D8" s="150">
        <f t="shared" si="0"/>
        <v>607795.92</v>
      </c>
      <c r="E8" s="151"/>
      <c r="O8" s="140" t="s">
        <v>67</v>
      </c>
      <c r="AE8" s="147" t="s">
        <v>66</v>
      </c>
      <c r="AF8" s="140" t="s">
        <v>67</v>
      </c>
      <c r="AG8" s="138" t="s">
        <v>62</v>
      </c>
    </row>
    <row r="9" spans="1:33">
      <c r="A9" s="140">
        <v>3</v>
      </c>
      <c r="B9" s="148" t="s">
        <v>68</v>
      </c>
      <c r="C9" s="150">
        <f>+C7-C8</f>
        <v>6352204.08</v>
      </c>
      <c r="D9" s="150">
        <f t="shared" si="0"/>
        <v>6352204.08</v>
      </c>
      <c r="O9" s="148" t="s">
        <v>68</v>
      </c>
      <c r="AE9" s="147" t="s">
        <v>69</v>
      </c>
      <c r="AF9" s="148" t="s">
        <v>68</v>
      </c>
      <c r="AG9" s="138" t="s">
        <v>70</v>
      </c>
    </row>
    <row r="10" spans="1:33">
      <c r="A10" s="140">
        <v>4</v>
      </c>
      <c r="B10" s="147" t="s">
        <v>73</v>
      </c>
      <c r="C10" s="150">
        <f>C6*C33</f>
        <v>4535364.19236</v>
      </c>
      <c r="D10" s="150">
        <f t="shared" si="0"/>
        <v>4535364.19236</v>
      </c>
      <c r="O10" s="147" t="s">
        <v>73</v>
      </c>
      <c r="AE10" s="147" t="s">
        <v>72</v>
      </c>
      <c r="AF10" s="147" t="s">
        <v>73</v>
      </c>
      <c r="AG10" s="138" t="s">
        <v>74</v>
      </c>
    </row>
    <row r="11" spans="1:32">
      <c r="A11" s="140">
        <v>5</v>
      </c>
      <c r="B11" s="147" t="s">
        <v>75</v>
      </c>
      <c r="C11" s="150">
        <f>+C6*C36</f>
        <v>299976</v>
      </c>
      <c r="D11" s="150">
        <f t="shared" si="0"/>
        <v>299976</v>
      </c>
      <c r="O11" s="147" t="s">
        <v>75</v>
      </c>
      <c r="AE11" s="147" t="s">
        <v>76</v>
      </c>
      <c r="AF11" s="147" t="s">
        <v>75</v>
      </c>
    </row>
    <row r="12" spans="1:32">
      <c r="A12" s="140">
        <v>6</v>
      </c>
      <c r="B12" s="147" t="s">
        <v>77</v>
      </c>
      <c r="C12" s="150">
        <f>+C6*C37</f>
        <v>151032</v>
      </c>
      <c r="D12" s="150">
        <f t="shared" si="0"/>
        <v>151032</v>
      </c>
      <c r="O12" s="147" t="s">
        <v>77</v>
      </c>
      <c r="AE12" s="147" t="s">
        <v>78</v>
      </c>
      <c r="AF12" s="147" t="s">
        <v>77</v>
      </c>
    </row>
    <row r="13" spans="1:33">
      <c r="A13" s="140">
        <v>7</v>
      </c>
      <c r="B13" s="147" t="s">
        <v>79</v>
      </c>
      <c r="C13" s="150">
        <f>+C6*C38</f>
        <v>306240</v>
      </c>
      <c r="D13" s="150">
        <f t="shared" si="0"/>
        <v>306240</v>
      </c>
      <c r="O13" s="147" t="s">
        <v>79</v>
      </c>
      <c r="AE13" s="147" t="s">
        <v>80</v>
      </c>
      <c r="AF13" s="147" t="s">
        <v>79</v>
      </c>
      <c r="AG13" s="138" t="s">
        <v>62</v>
      </c>
    </row>
    <row r="14" spans="1:32">
      <c r="A14" s="140">
        <v>8</v>
      </c>
      <c r="B14" s="152" t="s">
        <v>81</v>
      </c>
      <c r="C14" s="150">
        <f>SUM(C11:C13)</f>
        <v>757248</v>
      </c>
      <c r="D14" s="150">
        <f t="shared" si="0"/>
        <v>757248</v>
      </c>
      <c r="O14" s="152" t="s">
        <v>81</v>
      </c>
      <c r="AE14" s="147" t="s">
        <v>82</v>
      </c>
      <c r="AF14" s="152" t="s">
        <v>81</v>
      </c>
    </row>
    <row r="15" spans="1:32">
      <c r="A15" s="140">
        <v>9</v>
      </c>
      <c r="B15" s="152" t="s">
        <v>83</v>
      </c>
      <c r="C15" s="150">
        <f>+C9-C10-C14</f>
        <v>1059591.88764</v>
      </c>
      <c r="D15" s="150">
        <f t="shared" si="0"/>
        <v>1059591.88764</v>
      </c>
      <c r="O15" s="152" t="s">
        <v>83</v>
      </c>
      <c r="AE15" s="147" t="s">
        <v>84</v>
      </c>
      <c r="AF15" s="152" t="s">
        <v>83</v>
      </c>
    </row>
    <row r="16" spans="1:32">
      <c r="A16" s="140">
        <v>10</v>
      </c>
      <c r="B16" s="147" t="s">
        <v>85</v>
      </c>
      <c r="C16" s="153">
        <f>+C15/C9</f>
        <v>0.16680696562885</v>
      </c>
      <c r="D16" s="153">
        <f>+D15/D9</f>
        <v>0.16680696562885</v>
      </c>
      <c r="E16" s="154"/>
      <c r="F16" s="154"/>
      <c r="G16" s="154"/>
      <c r="O16" s="147" t="s">
        <v>85</v>
      </c>
      <c r="AE16" s="147" t="s">
        <v>86</v>
      </c>
      <c r="AF16" s="147" t="s">
        <v>85</v>
      </c>
    </row>
    <row r="17" spans="1:32">
      <c r="A17" s="140">
        <v>11</v>
      </c>
      <c r="B17" s="147" t="s">
        <v>87</v>
      </c>
      <c r="C17" s="150">
        <f>C6*C43+C18</f>
        <v>285360</v>
      </c>
      <c r="D17" s="150">
        <f>+SUM(C17:C17)</f>
        <v>285360</v>
      </c>
      <c r="E17" s="151"/>
      <c r="O17" s="147" t="s">
        <v>87</v>
      </c>
      <c r="AE17" s="147" t="s">
        <v>88</v>
      </c>
      <c r="AF17" s="147" t="s">
        <v>87</v>
      </c>
    </row>
    <row r="18" s="136" customFormat="1" spans="1:7">
      <c r="A18" s="140">
        <v>12</v>
      </c>
      <c r="B18" s="155" t="s">
        <v>162</v>
      </c>
      <c r="C18" s="156">
        <f>$D$18/$D$6*C6</f>
        <v>0</v>
      </c>
      <c r="D18" s="150">
        <f>项目投资!F26</f>
        <v>0</v>
      </c>
      <c r="E18" s="157" t="s">
        <v>163</v>
      </c>
      <c r="F18" s="157"/>
      <c r="G18" s="157"/>
    </row>
    <row r="19" spans="1:33">
      <c r="A19" s="140">
        <v>13</v>
      </c>
      <c r="B19" s="147" t="s">
        <v>89</v>
      </c>
      <c r="C19" s="150">
        <f>C6*C44</f>
        <v>48720</v>
      </c>
      <c r="D19" s="150">
        <f>+SUM(C19:C19)</f>
        <v>48720</v>
      </c>
      <c r="E19" s="136"/>
      <c r="O19" s="147" t="s">
        <v>89</v>
      </c>
      <c r="AE19" s="147" t="s">
        <v>90</v>
      </c>
      <c r="AF19" s="147" t="s">
        <v>89</v>
      </c>
      <c r="AG19" s="138" t="s">
        <v>62</v>
      </c>
    </row>
    <row r="20" spans="1:32">
      <c r="A20" s="140">
        <v>14</v>
      </c>
      <c r="B20" s="147" t="s">
        <v>91</v>
      </c>
      <c r="C20" s="150">
        <f>C6*C45</f>
        <v>236640</v>
      </c>
      <c r="D20" s="150">
        <f>+SUM(C20:C20)</f>
        <v>236640</v>
      </c>
      <c r="O20" s="147" t="s">
        <v>91</v>
      </c>
      <c r="AE20" s="147" t="s">
        <v>92</v>
      </c>
      <c r="AF20" s="147" t="s">
        <v>91</v>
      </c>
    </row>
    <row r="21" spans="1:32">
      <c r="A21" s="140">
        <v>15</v>
      </c>
      <c r="B21" s="147" t="s">
        <v>93</v>
      </c>
      <c r="C21" s="158">
        <f>$D$21/$D$6*C6</f>
        <v>0</v>
      </c>
      <c r="D21" s="150">
        <f>项目投资!F27</f>
        <v>0</v>
      </c>
      <c r="O21" s="147" t="s">
        <v>93</v>
      </c>
      <c r="AE21" s="147"/>
      <c r="AF21" s="147"/>
    </row>
    <row r="22" spans="1:32">
      <c r="A22" s="140">
        <v>16</v>
      </c>
      <c r="B22" s="147" t="s">
        <v>94</v>
      </c>
      <c r="C22" s="150">
        <f>C6*C47</f>
        <v>208800</v>
      </c>
      <c r="D22" s="150">
        <f>+SUM(C22:C22)</f>
        <v>208800</v>
      </c>
      <c r="O22" s="147" t="s">
        <v>94</v>
      </c>
      <c r="AE22" s="147" t="s">
        <v>95</v>
      </c>
      <c r="AF22" s="147" t="s">
        <v>94</v>
      </c>
    </row>
    <row r="23" spans="1:32">
      <c r="A23" s="140">
        <v>17</v>
      </c>
      <c r="B23" s="152" t="s">
        <v>96</v>
      </c>
      <c r="C23" s="158">
        <f>+C22+C21+C20+C19+C17</f>
        <v>779520</v>
      </c>
      <c r="D23" s="158">
        <f>+D22+D21+D20+D19+D17</f>
        <v>779520</v>
      </c>
      <c r="O23" s="152" t="s">
        <v>96</v>
      </c>
      <c r="AE23" s="147" t="s">
        <v>97</v>
      </c>
      <c r="AF23" s="152" t="s">
        <v>96</v>
      </c>
    </row>
    <row r="24" spans="1:32">
      <c r="A24" s="140">
        <v>18</v>
      </c>
      <c r="B24" s="159" t="s">
        <v>98</v>
      </c>
      <c r="C24" s="158">
        <f>+C15-C23</f>
        <v>280071.88764</v>
      </c>
      <c r="D24" s="158">
        <f>+D15-D23</f>
        <v>280071.88764</v>
      </c>
      <c r="F24" s="160"/>
      <c r="O24" s="147" t="s">
        <v>98</v>
      </c>
      <c r="AE24" s="147" t="s">
        <v>99</v>
      </c>
      <c r="AF24" s="147" t="s">
        <v>98</v>
      </c>
    </row>
    <row r="25" spans="1:32">
      <c r="A25" s="140">
        <v>19</v>
      </c>
      <c r="B25" s="147" t="s">
        <v>164</v>
      </c>
      <c r="C25" s="158">
        <f>IF(C24&lt;0,0,C24*0.25)</f>
        <v>70017.9719100001</v>
      </c>
      <c r="D25" s="158">
        <f>IF(D24&lt;0,0,D24*0.25)</f>
        <v>70017.9719100001</v>
      </c>
      <c r="E25" s="2"/>
      <c r="F25" s="2"/>
      <c r="G25" s="2"/>
      <c r="O25" s="147" t="s">
        <v>38</v>
      </c>
      <c r="AE25" s="147" t="s">
        <v>100</v>
      </c>
      <c r="AF25" s="147" t="s">
        <v>38</v>
      </c>
    </row>
    <row r="26" spans="1:32">
      <c r="A26" s="140">
        <v>20</v>
      </c>
      <c r="B26" s="147" t="s">
        <v>101</v>
      </c>
      <c r="C26" s="158">
        <f>C24-C25</f>
        <v>210053.91573</v>
      </c>
      <c r="D26" s="150">
        <f>+SUM(C26:C26)</f>
        <v>210053.91573</v>
      </c>
      <c r="E26" s="2"/>
      <c r="F26" s="2"/>
      <c r="G26" s="2"/>
      <c r="O26" s="147" t="s">
        <v>101</v>
      </c>
      <c r="AE26" s="147" t="s">
        <v>102</v>
      </c>
      <c r="AF26" s="147" t="s">
        <v>101</v>
      </c>
    </row>
    <row r="27" spans="1:32">
      <c r="A27" s="140">
        <v>21</v>
      </c>
      <c r="B27" s="147" t="s">
        <v>105</v>
      </c>
      <c r="C27" s="161">
        <f>C26/C7</f>
        <v>0.0301801603060345</v>
      </c>
      <c r="D27" s="161">
        <f>D26/D7</f>
        <v>0.0301801603060345</v>
      </c>
      <c r="E27" s="2"/>
      <c r="F27" s="2"/>
      <c r="G27" s="2"/>
      <c r="O27" s="147" t="s">
        <v>105</v>
      </c>
      <c r="AE27" s="147" t="s">
        <v>104</v>
      </c>
      <c r="AF27" s="147" t="s">
        <v>105</v>
      </c>
    </row>
    <row r="28" spans="5:15">
      <c r="E28" s="2"/>
      <c r="F28" s="2"/>
      <c r="G28" s="2"/>
      <c r="O28" s="147"/>
    </row>
    <row r="29" spans="1:31">
      <c r="A29" s="138" t="s">
        <v>106</v>
      </c>
      <c r="D29" s="139" t="s">
        <v>165</v>
      </c>
      <c r="E29" s="2"/>
      <c r="F29" s="2"/>
      <c r="G29" s="2"/>
      <c r="O29" s="147"/>
      <c r="AE29" s="138" t="s">
        <v>106</v>
      </c>
    </row>
    <row r="30" spans="1:32">
      <c r="A30" s="147" t="s">
        <v>107</v>
      </c>
      <c r="B30" s="152" t="s">
        <v>108</v>
      </c>
      <c r="C30" s="158"/>
      <c r="D30" s="158"/>
      <c r="E30" s="2"/>
      <c r="F30" s="2"/>
      <c r="G30" s="2"/>
      <c r="I30" s="2"/>
      <c r="O30" s="152" t="s">
        <v>108</v>
      </c>
      <c r="AE30" s="147" t="s">
        <v>109</v>
      </c>
      <c r="AF30" s="152" t="s">
        <v>108</v>
      </c>
    </row>
    <row r="31" spans="1:32">
      <c r="A31" s="140">
        <v>1</v>
      </c>
      <c r="B31" s="155" t="s">
        <v>110</v>
      </c>
      <c r="C31" s="162">
        <f>销量!K9</f>
        <v>1058.70068</v>
      </c>
      <c r="D31" s="158"/>
      <c r="E31" s="2"/>
      <c r="F31" s="2"/>
      <c r="G31" s="2"/>
      <c r="I31" s="2"/>
      <c r="O31" s="147" t="s">
        <v>110</v>
      </c>
      <c r="AE31" s="147" t="s">
        <v>64</v>
      </c>
      <c r="AF31" s="147" t="s">
        <v>110</v>
      </c>
    </row>
    <row r="32" spans="1:32">
      <c r="A32" s="140">
        <v>2</v>
      </c>
      <c r="B32" s="147" t="s">
        <v>166</v>
      </c>
      <c r="C32" s="150">
        <f>C31*1</f>
        <v>1058.70068</v>
      </c>
      <c r="D32" s="158"/>
      <c r="E32" s="2"/>
      <c r="F32" s="2"/>
      <c r="G32" s="2"/>
      <c r="H32" s="2"/>
      <c r="I32" s="2"/>
      <c r="J32" s="2"/>
      <c r="K32" s="2"/>
      <c r="AE32" s="147"/>
      <c r="AF32" s="147"/>
    </row>
    <row r="33" spans="1:32">
      <c r="A33" s="140">
        <v>3</v>
      </c>
      <c r="B33" s="155" t="s">
        <v>111</v>
      </c>
      <c r="C33" s="150">
        <f>材料成本!D28</f>
        <v>755.89403206</v>
      </c>
      <c r="D33" s="158"/>
      <c r="F33" s="2"/>
      <c r="G33" s="2"/>
      <c r="H33" s="2"/>
      <c r="I33" s="2"/>
      <c r="J33" s="2"/>
      <c r="K33" s="2"/>
      <c r="O33" s="147" t="s">
        <v>111</v>
      </c>
      <c r="AE33" s="147" t="s">
        <v>66</v>
      </c>
      <c r="AF33" s="147" t="s">
        <v>111</v>
      </c>
    </row>
    <row r="34" ht="17.25" customHeight="1" spans="1:32">
      <c r="A34" s="140">
        <v>4</v>
      </c>
      <c r="B34" s="147" t="s">
        <v>113</v>
      </c>
      <c r="C34" s="163">
        <f>C32-C33</f>
        <v>302.80664794</v>
      </c>
      <c r="D34" s="158"/>
      <c r="F34" s="2"/>
      <c r="G34" s="2"/>
      <c r="H34" s="2"/>
      <c r="I34" s="2"/>
      <c r="J34" s="2"/>
      <c r="K34" s="2"/>
      <c r="O34" s="147" t="s">
        <v>113</v>
      </c>
      <c r="AE34" s="147" t="s">
        <v>112</v>
      </c>
      <c r="AF34" s="147" t="s">
        <v>113</v>
      </c>
    </row>
    <row r="35" spans="1:32">
      <c r="A35" s="147" t="s">
        <v>109</v>
      </c>
      <c r="B35" s="152" t="s">
        <v>10</v>
      </c>
      <c r="C35" s="158"/>
      <c r="D35" s="158"/>
      <c r="E35" s="2"/>
      <c r="F35" s="2"/>
      <c r="G35" s="2"/>
      <c r="H35" s="2"/>
      <c r="I35" s="2"/>
      <c r="J35" s="2"/>
      <c r="K35" s="2"/>
      <c r="L35" s="2"/>
      <c r="M35" s="2"/>
      <c r="N35" s="2"/>
      <c r="O35" s="152" t="s">
        <v>10</v>
      </c>
      <c r="AE35" s="147" t="s">
        <v>115</v>
      </c>
      <c r="AF35" s="152" t="s">
        <v>10</v>
      </c>
    </row>
    <row r="36" spans="1:32">
      <c r="A36" s="140">
        <v>1</v>
      </c>
      <c r="B36" s="147" t="s">
        <v>116</v>
      </c>
      <c r="C36" s="156">
        <f>标准成本!E4</f>
        <v>49.996</v>
      </c>
      <c r="D36" s="162"/>
      <c r="E36" s="2"/>
      <c r="F36" s="2"/>
      <c r="G36" s="2"/>
      <c r="H36" s="2"/>
      <c r="I36" s="2"/>
      <c r="J36" s="2"/>
      <c r="K36" s="2"/>
      <c r="L36" s="2"/>
      <c r="M36" s="2"/>
      <c r="N36" s="2"/>
      <c r="O36" s="147" t="s">
        <v>116</v>
      </c>
      <c r="AE36" s="147" t="s">
        <v>112</v>
      </c>
      <c r="AF36" s="147" t="s">
        <v>116</v>
      </c>
    </row>
    <row r="37" spans="1:32">
      <c r="A37" s="140">
        <v>2</v>
      </c>
      <c r="B37" s="147" t="s">
        <v>117</v>
      </c>
      <c r="C37" s="156">
        <f>标准成本!E6</f>
        <v>25.172</v>
      </c>
      <c r="D37" s="162"/>
      <c r="E37" s="2"/>
      <c r="F37" s="2"/>
      <c r="G37" s="2"/>
      <c r="H37" s="2"/>
      <c r="I37" s="2"/>
      <c r="J37" s="2"/>
      <c r="K37" s="2"/>
      <c r="L37" s="2"/>
      <c r="M37" s="2"/>
      <c r="N37" s="2"/>
      <c r="O37" s="147" t="s">
        <v>117</v>
      </c>
      <c r="AE37" s="147" t="s">
        <v>69</v>
      </c>
      <c r="AF37" s="147" t="s">
        <v>117</v>
      </c>
    </row>
    <row r="38" spans="1:32">
      <c r="A38" s="140">
        <v>3</v>
      </c>
      <c r="B38" s="147" t="s">
        <v>118</v>
      </c>
      <c r="C38" s="156">
        <f>标准成本!E10</f>
        <v>51.04</v>
      </c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147" t="s">
        <v>118</v>
      </c>
      <c r="AE38" s="147" t="s">
        <v>76</v>
      </c>
      <c r="AF38" s="147" t="s">
        <v>118</v>
      </c>
    </row>
    <row r="39" spans="1:32">
      <c r="A39" s="147" t="s">
        <v>115</v>
      </c>
      <c r="B39" s="152" t="s">
        <v>120</v>
      </c>
      <c r="C39" s="158"/>
      <c r="D39" s="158"/>
      <c r="O39" s="152" t="s">
        <v>120</v>
      </c>
      <c r="AE39" s="147" t="s">
        <v>119</v>
      </c>
      <c r="AF39" s="152" t="s">
        <v>120</v>
      </c>
    </row>
    <row r="40" spans="1:32">
      <c r="A40" s="140">
        <v>1</v>
      </c>
      <c r="B40" s="147" t="s">
        <v>122</v>
      </c>
      <c r="C40" s="158">
        <f>C34-C36-C37-C38</f>
        <v>176.59864794</v>
      </c>
      <c r="D40" s="158"/>
      <c r="O40" s="147" t="s">
        <v>122</v>
      </c>
      <c r="AE40" s="147" t="s">
        <v>64</v>
      </c>
      <c r="AF40" s="147" t="s">
        <v>122</v>
      </c>
    </row>
    <row r="41" spans="1:32">
      <c r="A41" s="140">
        <v>2</v>
      </c>
      <c r="B41" s="147" t="s">
        <v>123</v>
      </c>
      <c r="C41" s="158"/>
      <c r="D41" s="158"/>
      <c r="O41" s="147" t="s">
        <v>123</v>
      </c>
      <c r="AE41" s="147" t="s">
        <v>66</v>
      </c>
      <c r="AF41" s="147" t="s">
        <v>123</v>
      </c>
    </row>
    <row r="42" spans="1:32">
      <c r="A42" s="147" t="s">
        <v>119</v>
      </c>
      <c r="B42" s="152" t="s">
        <v>125</v>
      </c>
      <c r="C42" s="158"/>
      <c r="D42" s="158"/>
      <c r="O42" s="152" t="s">
        <v>125</v>
      </c>
      <c r="AE42" s="147" t="s">
        <v>124</v>
      </c>
      <c r="AF42" s="152" t="s">
        <v>125</v>
      </c>
    </row>
    <row r="43" spans="1:32">
      <c r="A43" s="140">
        <v>1</v>
      </c>
      <c r="B43" s="159" t="s">
        <v>126</v>
      </c>
      <c r="C43" s="156">
        <f>标准成本!E5</f>
        <v>47.56</v>
      </c>
      <c r="D43" s="158"/>
      <c r="O43" s="147" t="s">
        <v>126</v>
      </c>
      <c r="AE43" s="147" t="s">
        <v>64</v>
      </c>
      <c r="AF43" s="147" t="s">
        <v>126</v>
      </c>
    </row>
    <row r="44" spans="1:32">
      <c r="A44" s="140">
        <v>2</v>
      </c>
      <c r="B44" s="159" t="s">
        <v>127</v>
      </c>
      <c r="C44" s="156">
        <f>标准成本!E9</f>
        <v>8.12</v>
      </c>
      <c r="D44" s="158"/>
      <c r="O44" s="147" t="s">
        <v>127</v>
      </c>
      <c r="AE44" s="147" t="s">
        <v>66</v>
      </c>
      <c r="AF44" s="147" t="s">
        <v>127</v>
      </c>
    </row>
    <row r="45" spans="1:32">
      <c r="A45" s="140">
        <v>3</v>
      </c>
      <c r="B45" s="159" t="s">
        <v>128</v>
      </c>
      <c r="C45" s="156">
        <f>标准成本!E8</f>
        <v>39.44</v>
      </c>
      <c r="D45" s="158"/>
      <c r="O45" s="147" t="s">
        <v>128</v>
      </c>
      <c r="AE45" s="147" t="s">
        <v>112</v>
      </c>
      <c r="AF45" s="147" t="s">
        <v>128</v>
      </c>
    </row>
    <row r="46" s="137" customFormat="1" spans="1:32">
      <c r="A46" s="140">
        <v>4</v>
      </c>
      <c r="B46" s="159" t="s">
        <v>129</v>
      </c>
      <c r="C46" s="164">
        <f>C21/C6</f>
        <v>0</v>
      </c>
      <c r="D46" s="164"/>
      <c r="O46" s="159" t="s">
        <v>131</v>
      </c>
      <c r="AE46" s="159" t="s">
        <v>72</v>
      </c>
      <c r="AF46" s="159" t="s">
        <v>131</v>
      </c>
    </row>
    <row r="47" s="137" customFormat="1" spans="1:32">
      <c r="A47" s="140">
        <v>5</v>
      </c>
      <c r="B47" s="159" t="s">
        <v>131</v>
      </c>
      <c r="C47" s="164">
        <f>标准成本!E11</f>
        <v>34.8</v>
      </c>
      <c r="D47" s="164"/>
      <c r="O47" s="159" t="s">
        <v>131</v>
      </c>
      <c r="AE47" s="159" t="s">
        <v>72</v>
      </c>
      <c r="AF47" s="159" t="s">
        <v>131</v>
      </c>
    </row>
    <row r="48" spans="1:32">
      <c r="A48" s="147" t="s">
        <v>124</v>
      </c>
      <c r="B48" s="152" t="s">
        <v>142</v>
      </c>
      <c r="C48" s="158">
        <f>C40-C43-C44-C45-C47-C46</f>
        <v>46.6786479400002</v>
      </c>
      <c r="D48" s="158"/>
      <c r="O48" s="152" t="s">
        <v>142</v>
      </c>
      <c r="AE48" s="147" t="s">
        <v>141</v>
      </c>
      <c r="AF48" s="152" t="s">
        <v>142</v>
      </c>
    </row>
    <row r="51" spans="3:3">
      <c r="C51" s="165"/>
    </row>
    <row r="54" spans="2:9">
      <c r="B54" s="2"/>
      <c r="C54" s="166"/>
      <c r="D54" s="166"/>
      <c r="E54" s="2"/>
      <c r="F54" s="2"/>
      <c r="G54" s="2"/>
      <c r="H54" s="2"/>
      <c r="I54" s="2"/>
    </row>
    <row r="55" spans="2:9">
      <c r="B55" s="2"/>
      <c r="C55" s="166"/>
      <c r="D55" s="166"/>
      <c r="E55" s="2"/>
      <c r="F55" s="2"/>
      <c r="G55" s="2"/>
      <c r="H55" s="2"/>
      <c r="I55" s="2"/>
    </row>
    <row r="56" spans="2:9">
      <c r="B56" s="2"/>
      <c r="C56" s="166"/>
      <c r="D56" s="166"/>
      <c r="E56" s="2"/>
      <c r="F56" s="2"/>
      <c r="G56" s="2"/>
      <c r="H56" s="2"/>
      <c r="I56" s="2"/>
    </row>
    <row r="57" spans="2:9">
      <c r="B57" s="2"/>
      <c r="C57" s="166"/>
      <c r="D57" s="166"/>
      <c r="E57" s="2"/>
      <c r="F57" s="2"/>
      <c r="G57" s="2"/>
      <c r="H57" s="2"/>
      <c r="I57" s="2"/>
    </row>
    <row r="58" spans="2:9">
      <c r="B58" s="2"/>
      <c r="C58" s="166"/>
      <c r="D58" s="166"/>
      <c r="E58" s="2"/>
      <c r="F58" s="2"/>
      <c r="G58" s="2"/>
      <c r="H58" s="2"/>
      <c r="I58" s="2"/>
    </row>
    <row r="59" spans="2:9">
      <c r="B59" s="2"/>
      <c r="C59" s="166"/>
      <c r="D59" s="166"/>
      <c r="E59" s="2"/>
      <c r="F59" s="2"/>
      <c r="G59" s="2"/>
      <c r="H59" s="2"/>
      <c r="I59" s="2"/>
    </row>
    <row r="60" spans="2:9">
      <c r="B60" s="2"/>
      <c r="C60" s="166"/>
      <c r="D60" s="166"/>
      <c r="E60" s="2"/>
      <c r="F60" s="2"/>
      <c r="G60" s="2"/>
      <c r="H60" s="2"/>
      <c r="I60" s="2"/>
    </row>
    <row r="61" spans="2:9">
      <c r="B61" s="2"/>
      <c r="C61" s="166"/>
      <c r="D61" s="166"/>
      <c r="E61" s="2"/>
      <c r="F61" s="2"/>
      <c r="G61" s="2"/>
      <c r="H61" s="2"/>
      <c r="I61" s="2"/>
    </row>
    <row r="62" spans="2:9">
      <c r="B62" s="2"/>
      <c r="C62" s="166"/>
      <c r="D62" s="166"/>
      <c r="E62" s="2"/>
      <c r="F62" s="2"/>
      <c r="G62" s="2"/>
      <c r="H62" s="2"/>
      <c r="I62" s="2"/>
    </row>
    <row r="63" spans="2:9">
      <c r="B63" s="2"/>
      <c r="C63" s="166"/>
      <c r="D63" s="166"/>
      <c r="E63" s="2"/>
      <c r="F63" s="2"/>
      <c r="G63" s="2"/>
      <c r="H63" s="2"/>
      <c r="I63" s="2"/>
    </row>
    <row r="64" spans="2:9">
      <c r="B64" s="2"/>
      <c r="C64" s="166"/>
      <c r="D64" s="166"/>
      <c r="E64" s="2"/>
      <c r="F64" s="2"/>
      <c r="G64" s="2"/>
      <c r="H64" s="2"/>
      <c r="I64" s="2"/>
    </row>
    <row r="65" spans="2:9">
      <c r="B65" s="2"/>
      <c r="C65" s="166"/>
      <c r="D65" s="166"/>
      <c r="E65" s="2"/>
      <c r="F65" s="2"/>
      <c r="G65" s="2"/>
      <c r="H65" s="2"/>
      <c r="I65" s="2"/>
    </row>
    <row r="66" spans="2:9">
      <c r="B66" s="2"/>
      <c r="C66" s="166"/>
      <c r="D66" s="166"/>
      <c r="E66" s="2"/>
      <c r="F66" s="2"/>
      <c r="G66" s="2"/>
      <c r="H66" s="2"/>
      <c r="I66" s="2"/>
    </row>
    <row r="67" spans="2:5">
      <c r="B67" s="2"/>
      <c r="C67" s="166"/>
      <c r="D67" s="166"/>
      <c r="E67" s="2"/>
    </row>
    <row r="68" spans="2:5">
      <c r="B68" s="2"/>
      <c r="C68" s="166"/>
      <c r="D68" s="166"/>
      <c r="E68" s="2"/>
    </row>
    <row r="69" spans="2:5">
      <c r="B69" s="2"/>
      <c r="C69" s="166"/>
      <c r="D69" s="166"/>
      <c r="E69" s="2"/>
    </row>
    <row r="70" spans="2:5">
      <c r="B70" s="2"/>
      <c r="C70" s="166"/>
      <c r="D70" s="166"/>
      <c r="E70" s="2"/>
    </row>
    <row r="71" spans="2:5">
      <c r="B71" s="2"/>
      <c r="C71" s="166"/>
      <c r="D71" s="166"/>
      <c r="E71" s="2"/>
    </row>
    <row r="72" spans="2:5">
      <c r="B72" s="2"/>
      <c r="C72" s="166"/>
      <c r="D72" s="166"/>
      <c r="E72" s="2"/>
    </row>
    <row r="73" spans="2:5">
      <c r="B73" s="2"/>
      <c r="C73" s="166"/>
      <c r="D73" s="166"/>
      <c r="E73" s="2"/>
    </row>
    <row r="74" spans="2:5">
      <c r="B74" s="2"/>
      <c r="C74" s="166"/>
      <c r="D74" s="166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tabSelected="1"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5" sqref="C25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39" customWidth="1"/>
    <col min="4" max="4" width="18.7545454545455" style="139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pans="1:4">
      <c r="A1" s="140" t="s">
        <v>152</v>
      </c>
      <c r="B1" s="140"/>
      <c r="C1" s="141" t="s">
        <v>169</v>
      </c>
      <c r="D1" s="142"/>
    </row>
    <row r="2" spans="1:4">
      <c r="A2" s="140" t="s">
        <v>154</v>
      </c>
      <c r="B2" s="140"/>
      <c r="C2" s="143" t="s">
        <v>155</v>
      </c>
      <c r="D2" s="143"/>
    </row>
    <row r="3" ht="33" spans="1:4">
      <c r="A3" s="140" t="s">
        <v>156</v>
      </c>
      <c r="B3" s="140"/>
      <c r="C3" s="21" t="s">
        <v>157</v>
      </c>
      <c r="D3" s="144" t="s">
        <v>60</v>
      </c>
    </row>
    <row r="4" ht="33" spans="1:4">
      <c r="A4" s="140" t="s">
        <v>158</v>
      </c>
      <c r="B4" s="140"/>
      <c r="C4" s="21" t="s">
        <v>159</v>
      </c>
      <c r="D4" s="145"/>
    </row>
    <row r="5" ht="16.5" spans="1:33">
      <c r="A5" s="140" t="s">
        <v>160</v>
      </c>
      <c r="B5" s="140"/>
      <c r="C5" s="81"/>
      <c r="D5" s="146"/>
      <c r="AG5" s="138" t="s">
        <v>61</v>
      </c>
    </row>
    <row r="6" ht="16.5" spans="1:33">
      <c r="A6" s="147" t="s">
        <v>21</v>
      </c>
      <c r="B6" s="148" t="s">
        <v>161</v>
      </c>
      <c r="C6" s="149">
        <f>销量!C13</f>
        <v>6000</v>
      </c>
      <c r="D6" s="150">
        <f t="shared" ref="D6:D15" si="0">+SUM(C6:C6)</f>
        <v>6000</v>
      </c>
      <c r="O6" s="148" t="s">
        <v>3</v>
      </c>
      <c r="AE6" s="147" t="s">
        <v>21</v>
      </c>
      <c r="AF6" s="148" t="s">
        <v>3</v>
      </c>
      <c r="AG6" s="138" t="s">
        <v>62</v>
      </c>
    </row>
    <row r="7" spans="1:33">
      <c r="A7" s="140">
        <v>1</v>
      </c>
      <c r="B7" s="148" t="s">
        <v>63</v>
      </c>
      <c r="C7" s="150">
        <f>C6*销量!C8</f>
        <v>6960000</v>
      </c>
      <c r="D7" s="150">
        <f t="shared" si="0"/>
        <v>6960000</v>
      </c>
      <c r="E7" s="139"/>
      <c r="O7" s="148" t="s">
        <v>63</v>
      </c>
      <c r="AE7" s="147" t="s">
        <v>64</v>
      </c>
      <c r="AF7" s="148" t="s">
        <v>63</v>
      </c>
      <c r="AG7" s="138" t="s">
        <v>62</v>
      </c>
    </row>
    <row r="8" spans="1:33">
      <c r="A8" s="140">
        <v>2</v>
      </c>
      <c r="B8" s="140" t="s">
        <v>65</v>
      </c>
      <c r="C8" s="150">
        <f>C7*(1-销量!$J$10)</f>
        <v>798362.0424</v>
      </c>
      <c r="D8" s="150">
        <f t="shared" si="0"/>
        <v>798362.0424</v>
      </c>
      <c r="E8" s="151"/>
      <c r="O8" s="140" t="s">
        <v>67</v>
      </c>
      <c r="AE8" s="147" t="s">
        <v>66</v>
      </c>
      <c r="AF8" s="140" t="s">
        <v>67</v>
      </c>
      <c r="AG8" s="138" t="s">
        <v>62</v>
      </c>
    </row>
    <row r="9" spans="1:33">
      <c r="A9" s="140">
        <v>3</v>
      </c>
      <c r="B9" s="148" t="s">
        <v>68</v>
      </c>
      <c r="C9" s="150">
        <f>+C7-C8</f>
        <v>6161637.9576</v>
      </c>
      <c r="D9" s="150">
        <f t="shared" si="0"/>
        <v>6161637.9576</v>
      </c>
      <c r="O9" s="148" t="s">
        <v>68</v>
      </c>
      <c r="AE9" s="147" t="s">
        <v>69</v>
      </c>
      <c r="AF9" s="148" t="s">
        <v>68</v>
      </c>
      <c r="AG9" s="138" t="s">
        <v>70</v>
      </c>
    </row>
    <row r="10" spans="1:33">
      <c r="A10" s="140">
        <v>4</v>
      </c>
      <c r="B10" s="147" t="s">
        <v>73</v>
      </c>
      <c r="C10" s="150">
        <f>C6*C33</f>
        <v>4399303.2665892</v>
      </c>
      <c r="D10" s="150">
        <f t="shared" si="0"/>
        <v>4399303.2665892</v>
      </c>
      <c r="O10" s="147" t="s">
        <v>73</v>
      </c>
      <c r="AE10" s="147" t="s">
        <v>72</v>
      </c>
      <c r="AF10" s="147" t="s">
        <v>73</v>
      </c>
      <c r="AG10" s="138" t="s">
        <v>74</v>
      </c>
    </row>
    <row r="11" spans="1:32">
      <c r="A11" s="140">
        <v>5</v>
      </c>
      <c r="B11" s="147" t="s">
        <v>75</v>
      </c>
      <c r="C11" s="150">
        <f>+C6*C36</f>
        <v>299976</v>
      </c>
      <c r="D11" s="150">
        <f t="shared" si="0"/>
        <v>299976</v>
      </c>
      <c r="O11" s="147" t="s">
        <v>75</v>
      </c>
      <c r="AE11" s="147" t="s">
        <v>76</v>
      </c>
      <c r="AF11" s="147" t="s">
        <v>75</v>
      </c>
    </row>
    <row r="12" spans="1:32">
      <c r="A12" s="140">
        <v>6</v>
      </c>
      <c r="B12" s="147" t="s">
        <v>77</v>
      </c>
      <c r="C12" s="150">
        <f>+C6*C37</f>
        <v>151032</v>
      </c>
      <c r="D12" s="150">
        <f t="shared" si="0"/>
        <v>151032</v>
      </c>
      <c r="O12" s="147" t="s">
        <v>77</v>
      </c>
      <c r="AE12" s="147" t="s">
        <v>78</v>
      </c>
      <c r="AF12" s="147" t="s">
        <v>77</v>
      </c>
    </row>
    <row r="13" spans="1:33">
      <c r="A13" s="140">
        <v>7</v>
      </c>
      <c r="B13" s="147" t="s">
        <v>79</v>
      </c>
      <c r="C13" s="150">
        <f>+C6*C38</f>
        <v>306240</v>
      </c>
      <c r="D13" s="150">
        <f t="shared" si="0"/>
        <v>306240</v>
      </c>
      <c r="O13" s="147" t="s">
        <v>79</v>
      </c>
      <c r="AE13" s="147" t="s">
        <v>80</v>
      </c>
      <c r="AF13" s="147" t="s">
        <v>79</v>
      </c>
      <c r="AG13" s="138" t="s">
        <v>62</v>
      </c>
    </row>
    <row r="14" spans="1:32">
      <c r="A14" s="140">
        <v>8</v>
      </c>
      <c r="B14" s="152" t="s">
        <v>81</v>
      </c>
      <c r="C14" s="150">
        <f>SUM(C11:C13)</f>
        <v>757248</v>
      </c>
      <c r="D14" s="150">
        <f t="shared" si="0"/>
        <v>757248</v>
      </c>
      <c r="O14" s="152" t="s">
        <v>81</v>
      </c>
      <c r="AE14" s="147" t="s">
        <v>82</v>
      </c>
      <c r="AF14" s="152" t="s">
        <v>81</v>
      </c>
    </row>
    <row r="15" spans="1:32">
      <c r="A15" s="140">
        <v>9</v>
      </c>
      <c r="B15" s="152" t="s">
        <v>83</v>
      </c>
      <c r="C15" s="150">
        <f>+C9-C10-C14</f>
        <v>1005086.6910108</v>
      </c>
      <c r="D15" s="150">
        <f t="shared" si="0"/>
        <v>1005086.6910108</v>
      </c>
      <c r="O15" s="152" t="s">
        <v>83</v>
      </c>
      <c r="AE15" s="147" t="s">
        <v>84</v>
      </c>
      <c r="AF15" s="152" t="s">
        <v>83</v>
      </c>
    </row>
    <row r="16" spans="1:32">
      <c r="A16" s="140">
        <v>10</v>
      </c>
      <c r="B16" s="147" t="s">
        <v>85</v>
      </c>
      <c r="C16" s="153">
        <f>+C15/C9</f>
        <v>0.16312004988399</v>
      </c>
      <c r="D16" s="153">
        <f>+D15/D9</f>
        <v>0.16312004988399</v>
      </c>
      <c r="E16" s="154"/>
      <c r="F16" s="154"/>
      <c r="G16" s="154"/>
      <c r="O16" s="147" t="s">
        <v>85</v>
      </c>
      <c r="AE16" s="147" t="s">
        <v>86</v>
      </c>
      <c r="AF16" s="147" t="s">
        <v>85</v>
      </c>
    </row>
    <row r="17" spans="1:32">
      <c r="A17" s="140">
        <v>11</v>
      </c>
      <c r="B17" s="147" t="s">
        <v>87</v>
      </c>
      <c r="C17" s="150">
        <f>C6*C43+C18</f>
        <v>285360</v>
      </c>
      <c r="D17" s="150">
        <f>+SUM(C17:C17)</f>
        <v>285360</v>
      </c>
      <c r="E17" s="151"/>
      <c r="O17" s="147" t="s">
        <v>87</v>
      </c>
      <c r="AE17" s="147" t="s">
        <v>88</v>
      </c>
      <c r="AF17" s="147" t="s">
        <v>87</v>
      </c>
    </row>
    <row r="18" s="136" customFormat="1" spans="1:7">
      <c r="A18" s="140">
        <v>12</v>
      </c>
      <c r="B18" s="155" t="s">
        <v>162</v>
      </c>
      <c r="C18" s="156">
        <f>$D$18/$D$6*C6</f>
        <v>0</v>
      </c>
      <c r="D18" s="150">
        <f>项目投资!F26</f>
        <v>0</v>
      </c>
      <c r="E18" s="157" t="s">
        <v>163</v>
      </c>
      <c r="F18" s="157"/>
      <c r="G18" s="157"/>
    </row>
    <row r="19" spans="1:33">
      <c r="A19" s="140">
        <v>13</v>
      </c>
      <c r="B19" s="147" t="s">
        <v>89</v>
      </c>
      <c r="C19" s="150">
        <f>C6*C44</f>
        <v>48720</v>
      </c>
      <c r="D19" s="150">
        <f>+SUM(C19:C19)</f>
        <v>48720</v>
      </c>
      <c r="E19" s="136"/>
      <c r="O19" s="147" t="s">
        <v>89</v>
      </c>
      <c r="AE19" s="147" t="s">
        <v>90</v>
      </c>
      <c r="AF19" s="147" t="s">
        <v>89</v>
      </c>
      <c r="AG19" s="138" t="s">
        <v>62</v>
      </c>
    </row>
    <row r="20" spans="1:32">
      <c r="A20" s="140">
        <v>14</v>
      </c>
      <c r="B20" s="147" t="s">
        <v>91</v>
      </c>
      <c r="C20" s="150">
        <f>C6*C45</f>
        <v>236640</v>
      </c>
      <c r="D20" s="150">
        <f>+SUM(C20:C20)</f>
        <v>236640</v>
      </c>
      <c r="O20" s="147" t="s">
        <v>91</v>
      </c>
      <c r="AE20" s="147" t="s">
        <v>92</v>
      </c>
      <c r="AF20" s="147" t="s">
        <v>91</v>
      </c>
    </row>
    <row r="21" spans="1:32">
      <c r="A21" s="140">
        <v>15</v>
      </c>
      <c r="B21" s="147" t="s">
        <v>93</v>
      </c>
      <c r="C21" s="158">
        <f>$D$21/$D$6*C6</f>
        <v>0</v>
      </c>
      <c r="D21" s="150">
        <f>项目投资!F27</f>
        <v>0</v>
      </c>
      <c r="O21" s="147" t="s">
        <v>93</v>
      </c>
      <c r="AE21" s="147"/>
      <c r="AF21" s="147"/>
    </row>
    <row r="22" spans="1:32">
      <c r="A22" s="140">
        <v>16</v>
      </c>
      <c r="B22" s="147" t="s">
        <v>94</v>
      </c>
      <c r="C22" s="150">
        <f>C6*C47</f>
        <v>208800</v>
      </c>
      <c r="D22" s="150">
        <f>+SUM(C22:C22)</f>
        <v>208800</v>
      </c>
      <c r="O22" s="147" t="s">
        <v>94</v>
      </c>
      <c r="AE22" s="147" t="s">
        <v>95</v>
      </c>
      <c r="AF22" s="147" t="s">
        <v>94</v>
      </c>
    </row>
    <row r="23" spans="1:32">
      <c r="A23" s="140">
        <v>17</v>
      </c>
      <c r="B23" s="152" t="s">
        <v>96</v>
      </c>
      <c r="C23" s="158">
        <f>+C22+C21+C20+C19+C17</f>
        <v>779520</v>
      </c>
      <c r="D23" s="158">
        <f>+D22+D21+D20+D19+D17</f>
        <v>779520</v>
      </c>
      <c r="O23" s="152" t="s">
        <v>96</v>
      </c>
      <c r="AE23" s="147" t="s">
        <v>97</v>
      </c>
      <c r="AF23" s="152" t="s">
        <v>96</v>
      </c>
    </row>
    <row r="24" spans="1:32">
      <c r="A24" s="140">
        <v>18</v>
      </c>
      <c r="B24" s="159" t="s">
        <v>98</v>
      </c>
      <c r="C24" s="158">
        <f>+C15-C23</f>
        <v>225566.691010799</v>
      </c>
      <c r="D24" s="158">
        <f>+D15-D23</f>
        <v>225566.691010799</v>
      </c>
      <c r="F24" s="160"/>
      <c r="O24" s="147" t="s">
        <v>98</v>
      </c>
      <c r="AE24" s="147" t="s">
        <v>99</v>
      </c>
      <c r="AF24" s="147" t="s">
        <v>98</v>
      </c>
    </row>
    <row r="25" spans="1:32">
      <c r="A25" s="140">
        <v>19</v>
      </c>
      <c r="B25" s="147" t="s">
        <v>164</v>
      </c>
      <c r="C25" s="158">
        <f>IF(C24&lt;0,0,C24*0.25)</f>
        <v>56391.6727526998</v>
      </c>
      <c r="D25" s="158">
        <f>IF(D24&lt;0,0,D24*0.25)</f>
        <v>56391.6727526998</v>
      </c>
      <c r="E25" s="2"/>
      <c r="F25" s="2"/>
      <c r="G25" s="2"/>
      <c r="O25" s="147" t="s">
        <v>38</v>
      </c>
      <c r="AE25" s="147" t="s">
        <v>100</v>
      </c>
      <c r="AF25" s="147" t="s">
        <v>38</v>
      </c>
    </row>
    <row r="26" spans="1:32">
      <c r="A26" s="140">
        <v>20</v>
      </c>
      <c r="B26" s="147" t="s">
        <v>101</v>
      </c>
      <c r="C26" s="158">
        <f>C24-C25</f>
        <v>169175.018258099</v>
      </c>
      <c r="D26" s="150">
        <f>+SUM(C26:C26)</f>
        <v>169175.018258099</v>
      </c>
      <c r="E26" s="2"/>
      <c r="F26" s="2"/>
      <c r="G26" s="2"/>
      <c r="O26" s="147" t="s">
        <v>101</v>
      </c>
      <c r="AE26" s="147" t="s">
        <v>102</v>
      </c>
      <c r="AF26" s="147" t="s">
        <v>101</v>
      </c>
    </row>
    <row r="27" spans="1:32">
      <c r="A27" s="140">
        <v>21</v>
      </c>
      <c r="B27" s="147" t="s">
        <v>105</v>
      </c>
      <c r="C27" s="161">
        <f>C26/C7</f>
        <v>0.0243067554968534</v>
      </c>
      <c r="D27" s="161">
        <f>D26/D7</f>
        <v>0.0243067554968534</v>
      </c>
      <c r="E27" s="2"/>
      <c r="F27" s="2"/>
      <c r="G27" s="2"/>
      <c r="O27" s="147" t="s">
        <v>105</v>
      </c>
      <c r="AE27" s="147" t="s">
        <v>104</v>
      </c>
      <c r="AF27" s="147" t="s">
        <v>105</v>
      </c>
    </row>
    <row r="28" spans="5:15">
      <c r="E28" s="2"/>
      <c r="F28" s="2"/>
      <c r="G28" s="2"/>
      <c r="O28" s="147"/>
    </row>
    <row r="29" spans="1:31">
      <c r="A29" s="138" t="s">
        <v>106</v>
      </c>
      <c r="D29" s="139" t="s">
        <v>165</v>
      </c>
      <c r="E29" s="2"/>
      <c r="F29" s="2"/>
      <c r="G29" s="2"/>
      <c r="O29" s="147"/>
      <c r="AE29" s="138" t="s">
        <v>106</v>
      </c>
    </row>
    <row r="30" spans="1:32">
      <c r="A30" s="147" t="s">
        <v>107</v>
      </c>
      <c r="B30" s="152" t="s">
        <v>108</v>
      </c>
      <c r="C30" s="158"/>
      <c r="D30" s="158"/>
      <c r="E30" s="2"/>
      <c r="F30" s="2"/>
      <c r="G30" s="2"/>
      <c r="I30" s="2"/>
      <c r="O30" s="152" t="s">
        <v>108</v>
      </c>
      <c r="AE30" s="147" t="s">
        <v>109</v>
      </c>
      <c r="AF30" s="152" t="s">
        <v>108</v>
      </c>
    </row>
    <row r="31" spans="1:32">
      <c r="A31" s="140">
        <v>1</v>
      </c>
      <c r="B31" s="155" t="s">
        <v>110</v>
      </c>
      <c r="C31" s="162">
        <f>销量!K10</f>
        <v>1026.9396596</v>
      </c>
      <c r="D31" s="158"/>
      <c r="E31" s="2"/>
      <c r="F31" s="2"/>
      <c r="G31" s="2"/>
      <c r="I31" s="2"/>
      <c r="O31" s="147" t="s">
        <v>110</v>
      </c>
      <c r="AE31" s="147" t="s">
        <v>64</v>
      </c>
      <c r="AF31" s="147" t="s">
        <v>110</v>
      </c>
    </row>
    <row r="32" spans="1:32">
      <c r="A32" s="140">
        <v>2</v>
      </c>
      <c r="B32" s="147" t="s">
        <v>166</v>
      </c>
      <c r="C32" s="150">
        <f>C31*1</f>
        <v>1026.9396596</v>
      </c>
      <c r="D32" s="158"/>
      <c r="E32" s="2"/>
      <c r="F32" s="2"/>
      <c r="G32" s="2"/>
      <c r="H32" s="2"/>
      <c r="I32" s="2"/>
      <c r="J32" s="2"/>
      <c r="K32" s="2"/>
      <c r="AE32" s="147"/>
      <c r="AF32" s="147"/>
    </row>
    <row r="33" spans="1:32">
      <c r="A33" s="140">
        <v>3</v>
      </c>
      <c r="B33" s="155" t="s">
        <v>111</v>
      </c>
      <c r="C33" s="150">
        <f>材料成本!D29</f>
        <v>733.2172110982</v>
      </c>
      <c r="D33" s="158"/>
      <c r="F33" s="2"/>
      <c r="G33" s="2"/>
      <c r="H33" s="2"/>
      <c r="I33" s="2"/>
      <c r="J33" s="2"/>
      <c r="K33" s="2"/>
      <c r="O33" s="147" t="s">
        <v>111</v>
      </c>
      <c r="AE33" s="147" t="s">
        <v>66</v>
      </c>
      <c r="AF33" s="147" t="s">
        <v>111</v>
      </c>
    </row>
    <row r="34" ht="17.25" customHeight="1" spans="1:32">
      <c r="A34" s="140">
        <v>4</v>
      </c>
      <c r="B34" s="147" t="s">
        <v>113</v>
      </c>
      <c r="C34" s="163">
        <f>C32-C33</f>
        <v>293.7224485018</v>
      </c>
      <c r="D34" s="158"/>
      <c r="F34" s="2"/>
      <c r="G34" s="2"/>
      <c r="H34" s="2"/>
      <c r="I34" s="2"/>
      <c r="J34" s="2"/>
      <c r="K34" s="2"/>
      <c r="O34" s="147" t="s">
        <v>113</v>
      </c>
      <c r="AE34" s="147" t="s">
        <v>112</v>
      </c>
      <c r="AF34" s="147" t="s">
        <v>113</v>
      </c>
    </row>
    <row r="35" spans="1:32">
      <c r="A35" s="147" t="s">
        <v>109</v>
      </c>
      <c r="B35" s="152" t="s">
        <v>10</v>
      </c>
      <c r="C35" s="158"/>
      <c r="D35" s="158"/>
      <c r="E35" s="2"/>
      <c r="F35" s="2"/>
      <c r="G35" s="2"/>
      <c r="H35" s="2"/>
      <c r="I35" s="2"/>
      <c r="J35" s="2"/>
      <c r="K35" s="2"/>
      <c r="L35" s="2"/>
      <c r="M35" s="2"/>
      <c r="N35" s="2"/>
      <c r="O35" s="152" t="s">
        <v>10</v>
      </c>
      <c r="AE35" s="147" t="s">
        <v>115</v>
      </c>
      <c r="AF35" s="152" t="s">
        <v>10</v>
      </c>
    </row>
    <row r="36" spans="1:32">
      <c r="A36" s="140">
        <v>1</v>
      </c>
      <c r="B36" s="147" t="s">
        <v>116</v>
      </c>
      <c r="C36" s="156">
        <f>标准成本!E4</f>
        <v>49.996</v>
      </c>
      <c r="D36" s="162"/>
      <c r="E36" s="2"/>
      <c r="F36" s="2"/>
      <c r="G36" s="2"/>
      <c r="H36" s="2"/>
      <c r="I36" s="2"/>
      <c r="J36" s="2"/>
      <c r="K36" s="2"/>
      <c r="L36" s="2"/>
      <c r="M36" s="2"/>
      <c r="N36" s="2"/>
      <c r="O36" s="147" t="s">
        <v>116</v>
      </c>
      <c r="AE36" s="147" t="s">
        <v>112</v>
      </c>
      <c r="AF36" s="147" t="s">
        <v>116</v>
      </c>
    </row>
    <row r="37" spans="1:32">
      <c r="A37" s="140">
        <v>2</v>
      </c>
      <c r="B37" s="147" t="s">
        <v>117</v>
      </c>
      <c r="C37" s="156">
        <f>标准成本!E6</f>
        <v>25.172</v>
      </c>
      <c r="D37" s="162"/>
      <c r="E37" s="2"/>
      <c r="F37" s="2"/>
      <c r="G37" s="2"/>
      <c r="H37" s="2"/>
      <c r="I37" s="2"/>
      <c r="J37" s="2"/>
      <c r="K37" s="2"/>
      <c r="L37" s="2"/>
      <c r="M37" s="2"/>
      <c r="N37" s="2"/>
      <c r="O37" s="147" t="s">
        <v>117</v>
      </c>
      <c r="AE37" s="147" t="s">
        <v>69</v>
      </c>
      <c r="AF37" s="147" t="s">
        <v>117</v>
      </c>
    </row>
    <row r="38" spans="1:32">
      <c r="A38" s="140">
        <v>3</v>
      </c>
      <c r="B38" s="147" t="s">
        <v>118</v>
      </c>
      <c r="C38" s="156">
        <f>标准成本!E10</f>
        <v>51.04</v>
      </c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147" t="s">
        <v>118</v>
      </c>
      <c r="AE38" s="147" t="s">
        <v>76</v>
      </c>
      <c r="AF38" s="147" t="s">
        <v>118</v>
      </c>
    </row>
    <row r="39" spans="1:32">
      <c r="A39" s="147" t="s">
        <v>115</v>
      </c>
      <c r="B39" s="152" t="s">
        <v>120</v>
      </c>
      <c r="C39" s="158"/>
      <c r="D39" s="158"/>
      <c r="O39" s="152" t="s">
        <v>120</v>
      </c>
      <c r="AE39" s="147" t="s">
        <v>119</v>
      </c>
      <c r="AF39" s="152" t="s">
        <v>120</v>
      </c>
    </row>
    <row r="40" spans="1:32">
      <c r="A40" s="140">
        <v>1</v>
      </c>
      <c r="B40" s="147" t="s">
        <v>122</v>
      </c>
      <c r="C40" s="158">
        <f>C34-C36-C37-C38</f>
        <v>167.5144485018</v>
      </c>
      <c r="D40" s="158"/>
      <c r="O40" s="147" t="s">
        <v>122</v>
      </c>
      <c r="AE40" s="147" t="s">
        <v>64</v>
      </c>
      <c r="AF40" s="147" t="s">
        <v>122</v>
      </c>
    </row>
    <row r="41" spans="1:32">
      <c r="A41" s="140">
        <v>2</v>
      </c>
      <c r="B41" s="147" t="s">
        <v>123</v>
      </c>
      <c r="C41" s="158"/>
      <c r="D41" s="158"/>
      <c r="O41" s="147" t="s">
        <v>123</v>
      </c>
      <c r="AE41" s="147" t="s">
        <v>66</v>
      </c>
      <c r="AF41" s="147" t="s">
        <v>123</v>
      </c>
    </row>
    <row r="42" spans="1:32">
      <c r="A42" s="147" t="s">
        <v>119</v>
      </c>
      <c r="B42" s="152" t="s">
        <v>125</v>
      </c>
      <c r="C42" s="158"/>
      <c r="D42" s="158"/>
      <c r="O42" s="152" t="s">
        <v>125</v>
      </c>
      <c r="AE42" s="147" t="s">
        <v>124</v>
      </c>
      <c r="AF42" s="152" t="s">
        <v>125</v>
      </c>
    </row>
    <row r="43" spans="1:32">
      <c r="A43" s="140">
        <v>1</v>
      </c>
      <c r="B43" s="159" t="s">
        <v>126</v>
      </c>
      <c r="C43" s="156">
        <f>标准成本!E5</f>
        <v>47.56</v>
      </c>
      <c r="D43" s="158"/>
      <c r="O43" s="147" t="s">
        <v>126</v>
      </c>
      <c r="AE43" s="147" t="s">
        <v>64</v>
      </c>
      <c r="AF43" s="147" t="s">
        <v>126</v>
      </c>
    </row>
    <row r="44" spans="1:32">
      <c r="A44" s="140">
        <v>2</v>
      </c>
      <c r="B44" s="159" t="s">
        <v>127</v>
      </c>
      <c r="C44" s="156">
        <f>标准成本!E9</f>
        <v>8.12</v>
      </c>
      <c r="D44" s="158"/>
      <c r="O44" s="147" t="s">
        <v>127</v>
      </c>
      <c r="AE44" s="147" t="s">
        <v>66</v>
      </c>
      <c r="AF44" s="147" t="s">
        <v>127</v>
      </c>
    </row>
    <row r="45" spans="1:32">
      <c r="A45" s="140">
        <v>3</v>
      </c>
      <c r="B45" s="159" t="s">
        <v>128</v>
      </c>
      <c r="C45" s="156">
        <f>标准成本!E8</f>
        <v>39.44</v>
      </c>
      <c r="D45" s="158"/>
      <c r="O45" s="147" t="s">
        <v>128</v>
      </c>
      <c r="AE45" s="147" t="s">
        <v>112</v>
      </c>
      <c r="AF45" s="147" t="s">
        <v>128</v>
      </c>
    </row>
    <row r="46" s="137" customFormat="1" spans="1:32">
      <c r="A46" s="140">
        <v>4</v>
      </c>
      <c r="B46" s="159" t="s">
        <v>129</v>
      </c>
      <c r="C46" s="164">
        <f>C21/C6</f>
        <v>0</v>
      </c>
      <c r="D46" s="164"/>
      <c r="O46" s="159" t="s">
        <v>131</v>
      </c>
      <c r="AE46" s="159" t="s">
        <v>72</v>
      </c>
      <c r="AF46" s="159" t="s">
        <v>131</v>
      </c>
    </row>
    <row r="47" s="137" customFormat="1" spans="1:32">
      <c r="A47" s="140">
        <v>5</v>
      </c>
      <c r="B47" s="159" t="s">
        <v>131</v>
      </c>
      <c r="C47" s="164">
        <f>标准成本!E11</f>
        <v>34.8</v>
      </c>
      <c r="D47" s="164"/>
      <c r="O47" s="159" t="s">
        <v>131</v>
      </c>
      <c r="AE47" s="159" t="s">
        <v>72</v>
      </c>
      <c r="AF47" s="159" t="s">
        <v>131</v>
      </c>
    </row>
    <row r="48" spans="1:32">
      <c r="A48" s="147" t="s">
        <v>124</v>
      </c>
      <c r="B48" s="152" t="s">
        <v>142</v>
      </c>
      <c r="C48" s="158">
        <f>C40-C43-C44-C45-C47-C46</f>
        <v>37.5944485017999</v>
      </c>
      <c r="D48" s="158"/>
      <c r="O48" s="152" t="s">
        <v>142</v>
      </c>
      <c r="AE48" s="147" t="s">
        <v>141</v>
      </c>
      <c r="AF48" s="152" t="s">
        <v>142</v>
      </c>
    </row>
    <row r="51" spans="3:3">
      <c r="C51" s="165"/>
    </row>
    <row r="54" spans="2:9">
      <c r="B54" s="2"/>
      <c r="C54" s="166"/>
      <c r="D54" s="166"/>
      <c r="E54" s="2"/>
      <c r="F54" s="2"/>
      <c r="G54" s="2"/>
      <c r="H54" s="2"/>
      <c r="I54" s="2"/>
    </row>
    <row r="55" spans="2:9">
      <c r="B55" s="2"/>
      <c r="C55" s="166"/>
      <c r="D55" s="166"/>
      <c r="E55" s="2"/>
      <c r="F55" s="2"/>
      <c r="G55" s="2"/>
      <c r="H55" s="2"/>
      <c r="I55" s="2"/>
    </row>
    <row r="56" spans="2:9">
      <c r="B56" s="2"/>
      <c r="C56" s="166"/>
      <c r="D56" s="166"/>
      <c r="E56" s="2"/>
      <c r="F56" s="2"/>
      <c r="G56" s="2"/>
      <c r="H56" s="2"/>
      <c r="I56" s="2"/>
    </row>
    <row r="57" spans="2:9">
      <c r="B57" s="2"/>
      <c r="C57" s="166"/>
      <c r="D57" s="166"/>
      <c r="E57" s="2"/>
      <c r="F57" s="2"/>
      <c r="G57" s="2"/>
      <c r="H57" s="2"/>
      <c r="I57" s="2"/>
    </row>
    <row r="58" spans="2:9">
      <c r="B58" s="2"/>
      <c r="C58" s="166"/>
      <c r="D58" s="166"/>
      <c r="E58" s="2"/>
      <c r="F58" s="2"/>
      <c r="G58" s="2"/>
      <c r="H58" s="2"/>
      <c r="I58" s="2"/>
    </row>
    <row r="59" spans="2:9">
      <c r="B59" s="2"/>
      <c r="C59" s="166"/>
      <c r="D59" s="166"/>
      <c r="E59" s="2"/>
      <c r="F59" s="2"/>
      <c r="G59" s="2"/>
      <c r="H59" s="2"/>
      <c r="I59" s="2"/>
    </row>
    <row r="60" spans="2:9">
      <c r="B60" s="2"/>
      <c r="C60" s="166"/>
      <c r="D60" s="166"/>
      <c r="E60" s="2"/>
      <c r="F60" s="2"/>
      <c r="G60" s="2"/>
      <c r="H60" s="2"/>
      <c r="I60" s="2"/>
    </row>
    <row r="61" spans="2:9">
      <c r="B61" s="2"/>
      <c r="C61" s="166"/>
      <c r="D61" s="166"/>
      <c r="E61" s="2"/>
      <c r="F61" s="2"/>
      <c r="G61" s="2"/>
      <c r="H61" s="2"/>
      <c r="I61" s="2"/>
    </row>
    <row r="62" spans="2:9">
      <c r="B62" s="2"/>
      <c r="C62" s="166"/>
      <c r="D62" s="166"/>
      <c r="E62" s="2"/>
      <c r="F62" s="2"/>
      <c r="G62" s="2"/>
      <c r="H62" s="2"/>
      <c r="I62" s="2"/>
    </row>
    <row r="63" spans="2:9">
      <c r="B63" s="2"/>
      <c r="C63" s="166"/>
      <c r="D63" s="166"/>
      <c r="E63" s="2"/>
      <c r="F63" s="2"/>
      <c r="G63" s="2"/>
      <c r="H63" s="2"/>
      <c r="I63" s="2"/>
    </row>
    <row r="64" spans="2:9">
      <c r="B64" s="2"/>
      <c r="C64" s="166"/>
      <c r="D64" s="166"/>
      <c r="E64" s="2"/>
      <c r="F64" s="2"/>
      <c r="G64" s="2"/>
      <c r="H64" s="2"/>
      <c r="I64" s="2"/>
    </row>
    <row r="65" spans="2:9">
      <c r="B65" s="2"/>
      <c r="C65" s="166"/>
      <c r="D65" s="166"/>
      <c r="E65" s="2"/>
      <c r="F65" s="2"/>
      <c r="G65" s="2"/>
      <c r="H65" s="2"/>
      <c r="I65" s="2"/>
    </row>
    <row r="66" spans="2:9">
      <c r="B66" s="2"/>
      <c r="C66" s="166"/>
      <c r="D66" s="166"/>
      <c r="E66" s="2"/>
      <c r="F66" s="2"/>
      <c r="G66" s="2"/>
      <c r="H66" s="2"/>
      <c r="I66" s="2"/>
    </row>
    <row r="67" spans="2:5">
      <c r="B67" s="2"/>
      <c r="C67" s="166"/>
      <c r="D67" s="166"/>
      <c r="E67" s="2"/>
    </row>
    <row r="68" spans="2:5">
      <c r="B68" s="2"/>
      <c r="C68" s="166"/>
      <c r="D68" s="166"/>
      <c r="E68" s="2"/>
    </row>
    <row r="69" spans="2:5">
      <c r="B69" s="2"/>
      <c r="C69" s="166"/>
      <c r="D69" s="166"/>
      <c r="E69" s="2"/>
    </row>
    <row r="70" spans="2:5">
      <c r="B70" s="2"/>
      <c r="C70" s="166"/>
      <c r="D70" s="166"/>
      <c r="E70" s="2"/>
    </row>
    <row r="71" spans="2:5">
      <c r="B71" s="2"/>
      <c r="C71" s="166"/>
      <c r="D71" s="166"/>
      <c r="E71" s="2"/>
    </row>
    <row r="72" spans="2:5">
      <c r="B72" s="2"/>
      <c r="C72" s="166"/>
      <c r="D72" s="166"/>
      <c r="E72" s="2"/>
    </row>
    <row r="73" spans="2:5">
      <c r="B73" s="2"/>
      <c r="C73" s="166"/>
      <c r="D73" s="166"/>
      <c r="E73" s="2"/>
    </row>
    <row r="74" spans="2:5">
      <c r="B74" s="2"/>
      <c r="C74" s="166"/>
      <c r="D74" s="166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25" sqref="C25"/>
    </sheetView>
  </sheetViews>
  <sheetFormatPr defaultColWidth="9" defaultRowHeight="14.5"/>
  <cols>
    <col min="1" max="1" width="5.12727272727273" style="138" customWidth="1"/>
    <col min="2" max="2" width="17.5" style="138" customWidth="1"/>
    <col min="3" max="3" width="14.3636363636364" style="139" customWidth="1"/>
    <col min="4" max="4" width="18.7545454545455" style="139" customWidth="1"/>
    <col min="5" max="5" width="12.3727272727273" style="138" customWidth="1"/>
    <col min="6" max="6" width="10.1272727272727" style="138" customWidth="1"/>
    <col min="7" max="13" width="9" style="138" customWidth="1"/>
    <col min="14" max="30" width="9" style="138"/>
    <col min="31" max="31" width="4.37272727272727" style="138" customWidth="1"/>
    <col min="32" max="32" width="13.8727272727273" style="138" customWidth="1"/>
    <col min="33" max="16384" width="9" style="138"/>
  </cols>
  <sheetData>
    <row r="1" spans="1:4">
      <c r="A1" s="140" t="s">
        <v>152</v>
      </c>
      <c r="B1" s="140"/>
      <c r="C1" s="141" t="s">
        <v>170</v>
      </c>
      <c r="D1" s="142"/>
    </row>
    <row r="2" spans="1:4">
      <c r="A2" s="140" t="s">
        <v>154</v>
      </c>
      <c r="B2" s="140"/>
      <c r="C2" s="143" t="s">
        <v>155</v>
      </c>
      <c r="D2" s="143"/>
    </row>
    <row r="3" ht="33" spans="1:4">
      <c r="A3" s="140" t="s">
        <v>156</v>
      </c>
      <c r="B3" s="140"/>
      <c r="C3" s="21" t="s">
        <v>157</v>
      </c>
      <c r="D3" s="144" t="s">
        <v>60</v>
      </c>
    </row>
    <row r="4" ht="33" spans="1:4">
      <c r="A4" s="140" t="s">
        <v>158</v>
      </c>
      <c r="B4" s="140"/>
      <c r="C4" s="21" t="s">
        <v>159</v>
      </c>
      <c r="D4" s="145"/>
    </row>
    <row r="5" ht="16.5" spans="1:33">
      <c r="A5" s="140" t="s">
        <v>160</v>
      </c>
      <c r="B5" s="140"/>
      <c r="C5" s="81"/>
      <c r="D5" s="146"/>
      <c r="AG5" s="138" t="s">
        <v>61</v>
      </c>
    </row>
    <row r="6" ht="16.5" spans="1:33">
      <c r="A6" s="147" t="s">
        <v>21</v>
      </c>
      <c r="B6" s="148" t="s">
        <v>161</v>
      </c>
      <c r="C6" s="149">
        <f>销量!C14</f>
        <v>6000</v>
      </c>
      <c r="D6" s="150">
        <f t="shared" ref="D6:D15" si="0">+SUM(C6:C6)</f>
        <v>6000</v>
      </c>
      <c r="O6" s="148" t="s">
        <v>3</v>
      </c>
      <c r="AE6" s="147" t="s">
        <v>21</v>
      </c>
      <c r="AF6" s="148" t="s">
        <v>3</v>
      </c>
      <c r="AG6" s="138" t="s">
        <v>62</v>
      </c>
    </row>
    <row r="7" spans="1:33">
      <c r="A7" s="140">
        <v>1</v>
      </c>
      <c r="B7" s="148" t="s">
        <v>63</v>
      </c>
      <c r="C7" s="150">
        <f>C6*销量!C8</f>
        <v>6960000</v>
      </c>
      <c r="D7" s="150">
        <f t="shared" si="0"/>
        <v>6960000</v>
      </c>
      <c r="E7" s="139"/>
      <c r="O7" s="148" t="s">
        <v>63</v>
      </c>
      <c r="AE7" s="147" t="s">
        <v>64</v>
      </c>
      <c r="AF7" s="148" t="s">
        <v>63</v>
      </c>
      <c r="AG7" s="138" t="s">
        <v>62</v>
      </c>
    </row>
    <row r="8" spans="1:33">
      <c r="A8" s="140">
        <v>2</v>
      </c>
      <c r="B8" s="140" t="s">
        <v>65</v>
      </c>
      <c r="C8" s="150">
        <f>C7*(1-销量!$J$11)</f>
        <v>983211.181128</v>
      </c>
      <c r="D8" s="150">
        <f t="shared" si="0"/>
        <v>983211.181128</v>
      </c>
      <c r="E8" s="151"/>
      <c r="O8" s="140" t="s">
        <v>67</v>
      </c>
      <c r="AE8" s="147" t="s">
        <v>66</v>
      </c>
      <c r="AF8" s="140" t="s">
        <v>67</v>
      </c>
      <c r="AG8" s="138" t="s">
        <v>62</v>
      </c>
    </row>
    <row r="9" spans="1:33">
      <c r="A9" s="140">
        <v>3</v>
      </c>
      <c r="B9" s="148" t="s">
        <v>68</v>
      </c>
      <c r="C9" s="150">
        <f>+C7-C8</f>
        <v>5976788.818872</v>
      </c>
      <c r="D9" s="150">
        <f t="shared" si="0"/>
        <v>5976788.818872</v>
      </c>
      <c r="O9" s="148" t="s">
        <v>68</v>
      </c>
      <c r="AE9" s="147" t="s">
        <v>69</v>
      </c>
      <c r="AF9" s="148" t="s">
        <v>68</v>
      </c>
      <c r="AG9" s="138" t="s">
        <v>70</v>
      </c>
    </row>
    <row r="10" spans="1:33">
      <c r="A10" s="140">
        <v>4</v>
      </c>
      <c r="B10" s="147" t="s">
        <v>73</v>
      </c>
      <c r="C10" s="150">
        <f>C6*C33</f>
        <v>4267324.16859152</v>
      </c>
      <c r="D10" s="150">
        <f t="shared" si="0"/>
        <v>4267324.16859152</v>
      </c>
      <c r="O10" s="147" t="s">
        <v>73</v>
      </c>
      <c r="AE10" s="147" t="s">
        <v>72</v>
      </c>
      <c r="AF10" s="147" t="s">
        <v>73</v>
      </c>
      <c r="AG10" s="138" t="s">
        <v>74</v>
      </c>
    </row>
    <row r="11" spans="1:32">
      <c r="A11" s="140">
        <v>5</v>
      </c>
      <c r="B11" s="147" t="s">
        <v>75</v>
      </c>
      <c r="C11" s="150">
        <f>+C6*C36</f>
        <v>299976</v>
      </c>
      <c r="D11" s="150">
        <f t="shared" si="0"/>
        <v>299976</v>
      </c>
      <c r="O11" s="147" t="s">
        <v>75</v>
      </c>
      <c r="AE11" s="147" t="s">
        <v>76</v>
      </c>
      <c r="AF11" s="147" t="s">
        <v>75</v>
      </c>
    </row>
    <row r="12" spans="1:32">
      <c r="A12" s="140">
        <v>6</v>
      </c>
      <c r="B12" s="147" t="s">
        <v>77</v>
      </c>
      <c r="C12" s="150">
        <f>+C6*C37</f>
        <v>151032</v>
      </c>
      <c r="D12" s="150">
        <f t="shared" si="0"/>
        <v>151032</v>
      </c>
      <c r="O12" s="147" t="s">
        <v>77</v>
      </c>
      <c r="AE12" s="147" t="s">
        <v>78</v>
      </c>
      <c r="AF12" s="147" t="s">
        <v>77</v>
      </c>
    </row>
    <row r="13" spans="1:33">
      <c r="A13" s="140">
        <v>7</v>
      </c>
      <c r="B13" s="147" t="s">
        <v>79</v>
      </c>
      <c r="C13" s="150">
        <f>+C6*C38</f>
        <v>306240</v>
      </c>
      <c r="D13" s="150">
        <f t="shared" si="0"/>
        <v>306240</v>
      </c>
      <c r="O13" s="147" t="s">
        <v>79</v>
      </c>
      <c r="AE13" s="147" t="s">
        <v>80</v>
      </c>
      <c r="AF13" s="147" t="s">
        <v>79</v>
      </c>
      <c r="AG13" s="138" t="s">
        <v>62</v>
      </c>
    </row>
    <row r="14" spans="1:32">
      <c r="A14" s="140">
        <v>8</v>
      </c>
      <c r="B14" s="152" t="s">
        <v>81</v>
      </c>
      <c r="C14" s="150">
        <f>SUM(C11:C13)</f>
        <v>757248</v>
      </c>
      <c r="D14" s="150">
        <f t="shared" si="0"/>
        <v>757248</v>
      </c>
      <c r="O14" s="152" t="s">
        <v>81</v>
      </c>
      <c r="AE14" s="147" t="s">
        <v>82</v>
      </c>
      <c r="AF14" s="152" t="s">
        <v>81</v>
      </c>
    </row>
    <row r="15" spans="1:32">
      <c r="A15" s="140">
        <v>9</v>
      </c>
      <c r="B15" s="152" t="s">
        <v>83</v>
      </c>
      <c r="C15" s="150">
        <f>+C9-C10-C14</f>
        <v>952216.650280477</v>
      </c>
      <c r="D15" s="150">
        <f t="shared" si="0"/>
        <v>952216.650280477</v>
      </c>
      <c r="O15" s="152" t="s">
        <v>83</v>
      </c>
      <c r="AE15" s="147" t="s">
        <v>84</v>
      </c>
      <c r="AF15" s="152" t="s">
        <v>83</v>
      </c>
    </row>
    <row r="16" spans="1:32">
      <c r="A16" s="140">
        <v>10</v>
      </c>
      <c r="B16" s="147" t="s">
        <v>85</v>
      </c>
      <c r="C16" s="153">
        <f>+C15/C9</f>
        <v>0.159319105817125</v>
      </c>
      <c r="D16" s="153">
        <f>+D15/D9</f>
        <v>0.159319105817125</v>
      </c>
      <c r="E16" s="154"/>
      <c r="F16" s="154"/>
      <c r="G16" s="154"/>
      <c r="O16" s="147" t="s">
        <v>85</v>
      </c>
      <c r="AE16" s="147" t="s">
        <v>86</v>
      </c>
      <c r="AF16" s="147" t="s">
        <v>85</v>
      </c>
    </row>
    <row r="17" spans="1:32">
      <c r="A17" s="140">
        <v>11</v>
      </c>
      <c r="B17" s="147" t="s">
        <v>87</v>
      </c>
      <c r="C17" s="150">
        <f>C6*C43+C18</f>
        <v>285360</v>
      </c>
      <c r="D17" s="150">
        <f>+SUM(C17:C17)</f>
        <v>285360</v>
      </c>
      <c r="E17" s="151"/>
      <c r="O17" s="147" t="s">
        <v>87</v>
      </c>
      <c r="AE17" s="147" t="s">
        <v>88</v>
      </c>
      <c r="AF17" s="147" t="s">
        <v>87</v>
      </c>
    </row>
    <row r="18" s="136" customFormat="1" spans="1:7">
      <c r="A18" s="140">
        <v>12</v>
      </c>
      <c r="B18" s="155" t="s">
        <v>162</v>
      </c>
      <c r="C18" s="156">
        <f>$D$18/$D$6*C6</f>
        <v>0</v>
      </c>
      <c r="D18" s="150">
        <f>项目投资!F26</f>
        <v>0</v>
      </c>
      <c r="E18" s="157" t="s">
        <v>163</v>
      </c>
      <c r="F18" s="157"/>
      <c r="G18" s="157"/>
    </row>
    <row r="19" spans="1:33">
      <c r="A19" s="140">
        <v>13</v>
      </c>
      <c r="B19" s="147" t="s">
        <v>89</v>
      </c>
      <c r="C19" s="150">
        <f>C6*C44</f>
        <v>48720</v>
      </c>
      <c r="D19" s="150">
        <f>+SUM(C19:C19)</f>
        <v>48720</v>
      </c>
      <c r="E19" s="136"/>
      <c r="O19" s="147" t="s">
        <v>89</v>
      </c>
      <c r="AE19" s="147" t="s">
        <v>90</v>
      </c>
      <c r="AF19" s="147" t="s">
        <v>89</v>
      </c>
      <c r="AG19" s="138" t="s">
        <v>62</v>
      </c>
    </row>
    <row r="20" spans="1:32">
      <c r="A20" s="140">
        <v>14</v>
      </c>
      <c r="B20" s="147" t="s">
        <v>91</v>
      </c>
      <c r="C20" s="150">
        <f>C6*C45</f>
        <v>236640</v>
      </c>
      <c r="D20" s="150">
        <f>+SUM(C20:C20)</f>
        <v>236640</v>
      </c>
      <c r="O20" s="147" t="s">
        <v>91</v>
      </c>
      <c r="AE20" s="147" t="s">
        <v>92</v>
      </c>
      <c r="AF20" s="147" t="s">
        <v>91</v>
      </c>
    </row>
    <row r="21" spans="1:32">
      <c r="A21" s="140">
        <v>15</v>
      </c>
      <c r="B21" s="147" t="s">
        <v>93</v>
      </c>
      <c r="C21" s="158">
        <f>$D$21/$D$6*C6</f>
        <v>0</v>
      </c>
      <c r="D21" s="150">
        <f>项目投资!F27</f>
        <v>0</v>
      </c>
      <c r="O21" s="147" t="s">
        <v>93</v>
      </c>
      <c r="AE21" s="147"/>
      <c r="AF21" s="147"/>
    </row>
    <row r="22" spans="1:32">
      <c r="A22" s="140">
        <v>16</v>
      </c>
      <c r="B22" s="147" t="s">
        <v>94</v>
      </c>
      <c r="C22" s="150">
        <f>C6*C47</f>
        <v>208800</v>
      </c>
      <c r="D22" s="150">
        <f>+SUM(C22:C22)</f>
        <v>208800</v>
      </c>
      <c r="O22" s="147" t="s">
        <v>94</v>
      </c>
      <c r="AE22" s="147" t="s">
        <v>95</v>
      </c>
      <c r="AF22" s="147" t="s">
        <v>94</v>
      </c>
    </row>
    <row r="23" spans="1:32">
      <c r="A23" s="140">
        <v>17</v>
      </c>
      <c r="B23" s="152" t="s">
        <v>96</v>
      </c>
      <c r="C23" s="158">
        <f>+C22+C21+C20+C19+C17</f>
        <v>779520</v>
      </c>
      <c r="D23" s="158">
        <f>+D22+D21+D20+D19+D17</f>
        <v>779520</v>
      </c>
      <c r="O23" s="152" t="s">
        <v>96</v>
      </c>
      <c r="AE23" s="147" t="s">
        <v>97</v>
      </c>
      <c r="AF23" s="152" t="s">
        <v>96</v>
      </c>
    </row>
    <row r="24" spans="1:32">
      <c r="A24" s="140">
        <v>18</v>
      </c>
      <c r="B24" s="159" t="s">
        <v>98</v>
      </c>
      <c r="C24" s="158">
        <f>+C15-C23</f>
        <v>172696.650280477</v>
      </c>
      <c r="D24" s="158">
        <f>+D15-D23</f>
        <v>172696.650280477</v>
      </c>
      <c r="F24" s="160"/>
      <c r="O24" s="147" t="s">
        <v>98</v>
      </c>
      <c r="AE24" s="147" t="s">
        <v>99</v>
      </c>
      <c r="AF24" s="147" t="s">
        <v>98</v>
      </c>
    </row>
    <row r="25" spans="1:32">
      <c r="A25" s="140">
        <v>19</v>
      </c>
      <c r="B25" s="147" t="s">
        <v>164</v>
      </c>
      <c r="C25" s="158">
        <f>IF(C24&lt;0,0,C24*0.25)</f>
        <v>43174.1625701191</v>
      </c>
      <c r="D25" s="158">
        <f>IF(D24&lt;0,0,D24*0.25)</f>
        <v>43174.1625701191</v>
      </c>
      <c r="E25" s="2"/>
      <c r="F25" s="2"/>
      <c r="G25" s="2"/>
      <c r="O25" s="147" t="s">
        <v>38</v>
      </c>
      <c r="AE25" s="147" t="s">
        <v>100</v>
      </c>
      <c r="AF25" s="147" t="s">
        <v>38</v>
      </c>
    </row>
    <row r="26" spans="1:32">
      <c r="A26" s="140">
        <v>20</v>
      </c>
      <c r="B26" s="147" t="s">
        <v>101</v>
      </c>
      <c r="C26" s="158">
        <f>C24-C25</f>
        <v>129522.487710357</v>
      </c>
      <c r="D26" s="150">
        <f>+SUM(C26:C26)</f>
        <v>129522.487710357</v>
      </c>
      <c r="E26" s="2"/>
      <c r="F26" s="2"/>
      <c r="G26" s="2"/>
      <c r="O26" s="147" t="s">
        <v>101</v>
      </c>
      <c r="AE26" s="147" t="s">
        <v>102</v>
      </c>
      <c r="AF26" s="147" t="s">
        <v>101</v>
      </c>
    </row>
    <row r="27" spans="1:32">
      <c r="A27" s="140">
        <v>21</v>
      </c>
      <c r="B27" s="147" t="s">
        <v>105</v>
      </c>
      <c r="C27" s="161">
        <f>C26/C7</f>
        <v>0.0186095528319479</v>
      </c>
      <c r="D27" s="161">
        <f>D26/D7</f>
        <v>0.0186095528319479</v>
      </c>
      <c r="E27" s="2"/>
      <c r="F27" s="2"/>
      <c r="G27" s="2"/>
      <c r="O27" s="147" t="s">
        <v>105</v>
      </c>
      <c r="AE27" s="147" t="s">
        <v>104</v>
      </c>
      <c r="AF27" s="147" t="s">
        <v>105</v>
      </c>
    </row>
    <row r="28" spans="5:15">
      <c r="E28" s="2"/>
      <c r="F28" s="2"/>
      <c r="G28" s="2"/>
      <c r="O28" s="147"/>
    </row>
    <row r="29" spans="1:31">
      <c r="A29" s="138" t="s">
        <v>106</v>
      </c>
      <c r="D29" s="139" t="s">
        <v>165</v>
      </c>
      <c r="E29" s="2"/>
      <c r="F29" s="2"/>
      <c r="G29" s="2"/>
      <c r="O29" s="147"/>
      <c r="AE29" s="138" t="s">
        <v>106</v>
      </c>
    </row>
    <row r="30" spans="1:32">
      <c r="A30" s="147" t="s">
        <v>107</v>
      </c>
      <c r="B30" s="152" t="s">
        <v>108</v>
      </c>
      <c r="C30" s="158"/>
      <c r="D30" s="158"/>
      <c r="E30" s="2"/>
      <c r="F30" s="2"/>
      <c r="G30" s="2"/>
      <c r="I30" s="2"/>
      <c r="O30" s="152" t="s">
        <v>108</v>
      </c>
      <c r="AE30" s="147" t="s">
        <v>109</v>
      </c>
      <c r="AF30" s="152" t="s">
        <v>108</v>
      </c>
    </row>
    <row r="31" spans="1:32">
      <c r="A31" s="140">
        <v>1</v>
      </c>
      <c r="B31" s="155" t="s">
        <v>110</v>
      </c>
      <c r="C31" s="162">
        <f>销量!K11</f>
        <v>996.131469812</v>
      </c>
      <c r="D31" s="158"/>
      <c r="E31" s="2"/>
      <c r="F31" s="2"/>
      <c r="G31" s="2"/>
      <c r="I31" s="2"/>
      <c r="O31" s="147" t="s">
        <v>110</v>
      </c>
      <c r="AE31" s="147" t="s">
        <v>64</v>
      </c>
      <c r="AF31" s="147" t="s">
        <v>110</v>
      </c>
    </row>
    <row r="32" spans="1:32">
      <c r="A32" s="140">
        <v>2</v>
      </c>
      <c r="B32" s="147" t="s">
        <v>166</v>
      </c>
      <c r="C32" s="150">
        <f>C31*1</f>
        <v>996.131469812</v>
      </c>
      <c r="D32" s="158"/>
      <c r="E32" s="2"/>
      <c r="F32" s="2"/>
      <c r="G32" s="2"/>
      <c r="H32" s="2"/>
      <c r="I32" s="2"/>
      <c r="J32" s="2"/>
      <c r="K32" s="2"/>
      <c r="AE32" s="147"/>
      <c r="AF32" s="147"/>
    </row>
    <row r="33" spans="1:32">
      <c r="A33" s="140">
        <v>3</v>
      </c>
      <c r="B33" s="155" t="s">
        <v>111</v>
      </c>
      <c r="C33" s="150">
        <f>材料成本!D30</f>
        <v>711.220694765254</v>
      </c>
      <c r="D33" s="158"/>
      <c r="F33" s="2"/>
      <c r="G33" s="2"/>
      <c r="H33" s="2"/>
      <c r="I33" s="2"/>
      <c r="J33" s="2"/>
      <c r="K33" s="2"/>
      <c r="O33" s="147" t="s">
        <v>111</v>
      </c>
      <c r="AE33" s="147" t="s">
        <v>66</v>
      </c>
      <c r="AF33" s="147" t="s">
        <v>111</v>
      </c>
    </row>
    <row r="34" ht="17.25" customHeight="1" spans="1:32">
      <c r="A34" s="140">
        <v>4</v>
      </c>
      <c r="B34" s="147" t="s">
        <v>113</v>
      </c>
      <c r="C34" s="163">
        <f>C32-C33</f>
        <v>284.910775046746</v>
      </c>
      <c r="D34" s="158"/>
      <c r="F34" s="2"/>
      <c r="G34" s="2"/>
      <c r="H34" s="2"/>
      <c r="I34" s="2"/>
      <c r="J34" s="2"/>
      <c r="K34" s="2"/>
      <c r="O34" s="147" t="s">
        <v>113</v>
      </c>
      <c r="AE34" s="147" t="s">
        <v>112</v>
      </c>
      <c r="AF34" s="147" t="s">
        <v>113</v>
      </c>
    </row>
    <row r="35" spans="1:32">
      <c r="A35" s="147" t="s">
        <v>109</v>
      </c>
      <c r="B35" s="152" t="s">
        <v>10</v>
      </c>
      <c r="C35" s="158"/>
      <c r="D35" s="158"/>
      <c r="E35" s="2"/>
      <c r="F35" s="2"/>
      <c r="G35" s="2"/>
      <c r="H35" s="2"/>
      <c r="I35" s="2"/>
      <c r="J35" s="2"/>
      <c r="K35" s="2"/>
      <c r="L35" s="2"/>
      <c r="M35" s="2"/>
      <c r="N35" s="2"/>
      <c r="O35" s="152" t="s">
        <v>10</v>
      </c>
      <c r="AE35" s="147" t="s">
        <v>115</v>
      </c>
      <c r="AF35" s="152" t="s">
        <v>10</v>
      </c>
    </row>
    <row r="36" spans="1:32">
      <c r="A36" s="140">
        <v>1</v>
      </c>
      <c r="B36" s="147" t="s">
        <v>116</v>
      </c>
      <c r="C36" s="156">
        <f>标准成本!E4</f>
        <v>49.996</v>
      </c>
      <c r="D36" s="162"/>
      <c r="E36" s="2"/>
      <c r="F36" s="2"/>
      <c r="G36" s="2"/>
      <c r="H36" s="2"/>
      <c r="I36" s="2"/>
      <c r="J36" s="2"/>
      <c r="K36" s="2"/>
      <c r="L36" s="2"/>
      <c r="M36" s="2"/>
      <c r="N36" s="2"/>
      <c r="O36" s="147" t="s">
        <v>116</v>
      </c>
      <c r="AE36" s="147" t="s">
        <v>112</v>
      </c>
      <c r="AF36" s="147" t="s">
        <v>116</v>
      </c>
    </row>
    <row r="37" spans="1:32">
      <c r="A37" s="140">
        <v>2</v>
      </c>
      <c r="B37" s="147" t="s">
        <v>117</v>
      </c>
      <c r="C37" s="156">
        <f>标准成本!E6</f>
        <v>25.172</v>
      </c>
      <c r="D37" s="162"/>
      <c r="E37" s="2"/>
      <c r="F37" s="2"/>
      <c r="G37" s="2"/>
      <c r="H37" s="2"/>
      <c r="I37" s="2"/>
      <c r="J37" s="2"/>
      <c r="K37" s="2"/>
      <c r="L37" s="2"/>
      <c r="M37" s="2"/>
      <c r="N37" s="2"/>
      <c r="O37" s="147" t="s">
        <v>117</v>
      </c>
      <c r="AE37" s="147" t="s">
        <v>69</v>
      </c>
      <c r="AF37" s="147" t="s">
        <v>117</v>
      </c>
    </row>
    <row r="38" spans="1:32">
      <c r="A38" s="140">
        <v>3</v>
      </c>
      <c r="B38" s="147" t="s">
        <v>118</v>
      </c>
      <c r="C38" s="156">
        <f>标准成本!E10</f>
        <v>51.04</v>
      </c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147" t="s">
        <v>118</v>
      </c>
      <c r="AE38" s="147" t="s">
        <v>76</v>
      </c>
      <c r="AF38" s="147" t="s">
        <v>118</v>
      </c>
    </row>
    <row r="39" spans="1:32">
      <c r="A39" s="147" t="s">
        <v>115</v>
      </c>
      <c r="B39" s="152" t="s">
        <v>120</v>
      </c>
      <c r="C39" s="158"/>
      <c r="D39" s="158"/>
      <c r="O39" s="152" t="s">
        <v>120</v>
      </c>
      <c r="AE39" s="147" t="s">
        <v>119</v>
      </c>
      <c r="AF39" s="152" t="s">
        <v>120</v>
      </c>
    </row>
    <row r="40" spans="1:32">
      <c r="A40" s="140">
        <v>1</v>
      </c>
      <c r="B40" s="147" t="s">
        <v>122</v>
      </c>
      <c r="C40" s="158">
        <f>C34-C36-C37-C38</f>
        <v>158.702775046746</v>
      </c>
      <c r="D40" s="158"/>
      <c r="O40" s="147" t="s">
        <v>122</v>
      </c>
      <c r="AE40" s="147" t="s">
        <v>64</v>
      </c>
      <c r="AF40" s="147" t="s">
        <v>122</v>
      </c>
    </row>
    <row r="41" spans="1:32">
      <c r="A41" s="140">
        <v>2</v>
      </c>
      <c r="B41" s="147" t="s">
        <v>123</v>
      </c>
      <c r="C41" s="158"/>
      <c r="D41" s="158"/>
      <c r="O41" s="147" t="s">
        <v>123</v>
      </c>
      <c r="AE41" s="147" t="s">
        <v>66</v>
      </c>
      <c r="AF41" s="147" t="s">
        <v>123</v>
      </c>
    </row>
    <row r="42" spans="1:32">
      <c r="A42" s="147" t="s">
        <v>119</v>
      </c>
      <c r="B42" s="152" t="s">
        <v>125</v>
      </c>
      <c r="C42" s="158"/>
      <c r="D42" s="158"/>
      <c r="O42" s="152" t="s">
        <v>125</v>
      </c>
      <c r="AE42" s="147" t="s">
        <v>124</v>
      </c>
      <c r="AF42" s="152" t="s">
        <v>125</v>
      </c>
    </row>
    <row r="43" spans="1:32">
      <c r="A43" s="140">
        <v>1</v>
      </c>
      <c r="B43" s="159" t="s">
        <v>126</v>
      </c>
      <c r="C43" s="156">
        <f>标准成本!E5</f>
        <v>47.56</v>
      </c>
      <c r="D43" s="158"/>
      <c r="O43" s="147" t="s">
        <v>126</v>
      </c>
      <c r="AE43" s="147" t="s">
        <v>64</v>
      </c>
      <c r="AF43" s="147" t="s">
        <v>126</v>
      </c>
    </row>
    <row r="44" spans="1:32">
      <c r="A44" s="140">
        <v>2</v>
      </c>
      <c r="B44" s="159" t="s">
        <v>127</v>
      </c>
      <c r="C44" s="156">
        <f>标准成本!E9</f>
        <v>8.12</v>
      </c>
      <c r="D44" s="158"/>
      <c r="O44" s="147" t="s">
        <v>127</v>
      </c>
      <c r="AE44" s="147" t="s">
        <v>66</v>
      </c>
      <c r="AF44" s="147" t="s">
        <v>127</v>
      </c>
    </row>
    <row r="45" spans="1:32">
      <c r="A45" s="140">
        <v>3</v>
      </c>
      <c r="B45" s="159" t="s">
        <v>128</v>
      </c>
      <c r="C45" s="156">
        <f>标准成本!E8</f>
        <v>39.44</v>
      </c>
      <c r="D45" s="158"/>
      <c r="O45" s="147" t="s">
        <v>128</v>
      </c>
      <c r="AE45" s="147" t="s">
        <v>112</v>
      </c>
      <c r="AF45" s="147" t="s">
        <v>128</v>
      </c>
    </row>
    <row r="46" s="137" customFormat="1" spans="1:32">
      <c r="A46" s="140">
        <v>4</v>
      </c>
      <c r="B46" s="159" t="s">
        <v>129</v>
      </c>
      <c r="C46" s="164">
        <f>C21/C6</f>
        <v>0</v>
      </c>
      <c r="D46" s="164"/>
      <c r="O46" s="159" t="s">
        <v>131</v>
      </c>
      <c r="AE46" s="159" t="s">
        <v>72</v>
      </c>
      <c r="AF46" s="159" t="s">
        <v>131</v>
      </c>
    </row>
    <row r="47" s="137" customFormat="1" spans="1:32">
      <c r="A47" s="140">
        <v>5</v>
      </c>
      <c r="B47" s="159" t="s">
        <v>131</v>
      </c>
      <c r="C47" s="164">
        <f>标准成本!E11</f>
        <v>34.8</v>
      </c>
      <c r="D47" s="164"/>
      <c r="O47" s="159" t="s">
        <v>131</v>
      </c>
      <c r="AE47" s="159" t="s">
        <v>72</v>
      </c>
      <c r="AF47" s="159" t="s">
        <v>131</v>
      </c>
    </row>
    <row r="48" spans="1:32">
      <c r="A48" s="147" t="s">
        <v>124</v>
      </c>
      <c r="B48" s="152" t="s">
        <v>142</v>
      </c>
      <c r="C48" s="158">
        <f>C40-C43-C44-C45-C47-C46</f>
        <v>28.782775046746</v>
      </c>
      <c r="D48" s="158"/>
      <c r="O48" s="152" t="s">
        <v>142</v>
      </c>
      <c r="AE48" s="147" t="s">
        <v>141</v>
      </c>
      <c r="AF48" s="152" t="s">
        <v>142</v>
      </c>
    </row>
    <row r="51" spans="3:3">
      <c r="C51" s="165"/>
    </row>
    <row r="54" spans="2:9">
      <c r="B54" s="2"/>
      <c r="C54" s="166"/>
      <c r="D54" s="166"/>
      <c r="E54" s="2"/>
      <c r="F54" s="2"/>
      <c r="G54" s="2"/>
      <c r="H54" s="2"/>
      <c r="I54" s="2"/>
    </row>
    <row r="55" spans="2:9">
      <c r="B55" s="2"/>
      <c r="C55" s="166"/>
      <c r="D55" s="166"/>
      <c r="E55" s="2"/>
      <c r="F55" s="2"/>
      <c r="G55" s="2"/>
      <c r="H55" s="2"/>
      <c r="I55" s="2"/>
    </row>
    <row r="56" spans="2:9">
      <c r="B56" s="2"/>
      <c r="C56" s="166"/>
      <c r="D56" s="166"/>
      <c r="E56" s="2"/>
      <c r="F56" s="2"/>
      <c r="G56" s="2"/>
      <c r="H56" s="2"/>
      <c r="I56" s="2"/>
    </row>
    <row r="57" spans="2:9">
      <c r="B57" s="2"/>
      <c r="C57" s="166"/>
      <c r="D57" s="166"/>
      <c r="E57" s="2"/>
      <c r="F57" s="2"/>
      <c r="G57" s="2"/>
      <c r="H57" s="2"/>
      <c r="I57" s="2"/>
    </row>
    <row r="58" spans="2:9">
      <c r="B58" s="2"/>
      <c r="C58" s="166"/>
      <c r="D58" s="166"/>
      <c r="E58" s="2"/>
      <c r="F58" s="2"/>
      <c r="G58" s="2"/>
      <c r="H58" s="2"/>
      <c r="I58" s="2"/>
    </row>
    <row r="59" spans="2:9">
      <c r="B59" s="2"/>
      <c r="C59" s="166"/>
      <c r="D59" s="166"/>
      <c r="E59" s="2"/>
      <c r="F59" s="2"/>
      <c r="G59" s="2"/>
      <c r="H59" s="2"/>
      <c r="I59" s="2"/>
    </row>
    <row r="60" spans="2:9">
      <c r="B60" s="2"/>
      <c r="C60" s="166"/>
      <c r="D60" s="166"/>
      <c r="E60" s="2"/>
      <c r="F60" s="2"/>
      <c r="G60" s="2"/>
      <c r="H60" s="2"/>
      <c r="I60" s="2"/>
    </row>
    <row r="61" spans="2:9">
      <c r="B61" s="2"/>
      <c r="C61" s="166"/>
      <c r="D61" s="166"/>
      <c r="E61" s="2"/>
      <c r="F61" s="2"/>
      <c r="G61" s="2"/>
      <c r="H61" s="2"/>
      <c r="I61" s="2"/>
    </row>
    <row r="62" spans="2:9">
      <c r="B62" s="2"/>
      <c r="C62" s="166"/>
      <c r="D62" s="166"/>
      <c r="E62" s="2"/>
      <c r="F62" s="2"/>
      <c r="G62" s="2"/>
      <c r="H62" s="2"/>
      <c r="I62" s="2"/>
    </row>
    <row r="63" spans="2:9">
      <c r="B63" s="2"/>
      <c r="C63" s="166"/>
      <c r="D63" s="166"/>
      <c r="E63" s="2"/>
      <c r="F63" s="2"/>
      <c r="G63" s="2"/>
      <c r="H63" s="2"/>
      <c r="I63" s="2"/>
    </row>
    <row r="64" spans="2:9">
      <c r="B64" s="2"/>
      <c r="C64" s="166"/>
      <c r="D64" s="166"/>
      <c r="E64" s="2"/>
      <c r="F64" s="2"/>
      <c r="G64" s="2"/>
      <c r="H64" s="2"/>
      <c r="I64" s="2"/>
    </row>
    <row r="65" spans="2:9">
      <c r="B65" s="2"/>
      <c r="C65" s="166"/>
      <c r="D65" s="166"/>
      <c r="E65" s="2"/>
      <c r="F65" s="2"/>
      <c r="G65" s="2"/>
      <c r="H65" s="2"/>
      <c r="I65" s="2"/>
    </row>
    <row r="66" spans="2:9">
      <c r="B66" s="2"/>
      <c r="C66" s="166"/>
      <c r="D66" s="166"/>
      <c r="E66" s="2"/>
      <c r="F66" s="2"/>
      <c r="G66" s="2"/>
      <c r="H66" s="2"/>
      <c r="I66" s="2"/>
    </row>
    <row r="67" spans="2:5">
      <c r="B67" s="2"/>
      <c r="C67" s="166"/>
      <c r="D67" s="166"/>
      <c r="E67" s="2"/>
    </row>
    <row r="68" spans="2:5">
      <c r="B68" s="2"/>
      <c r="C68" s="166"/>
      <c r="D68" s="166"/>
      <c r="E68" s="2"/>
    </row>
    <row r="69" spans="2:5">
      <c r="B69" s="2"/>
      <c r="C69" s="166"/>
      <c r="D69" s="166"/>
      <c r="E69" s="2"/>
    </row>
    <row r="70" spans="2:5">
      <c r="B70" s="2"/>
      <c r="C70" s="166"/>
      <c r="D70" s="166"/>
      <c r="E70" s="2"/>
    </row>
    <row r="71" spans="2:5">
      <c r="B71" s="2"/>
      <c r="C71" s="166"/>
      <c r="D71" s="166"/>
      <c r="E71" s="2"/>
    </row>
    <row r="72" spans="2:5">
      <c r="B72" s="2"/>
      <c r="C72" s="166"/>
      <c r="D72" s="166"/>
      <c r="E72" s="2"/>
    </row>
    <row r="73" spans="2:5">
      <c r="B73" s="2"/>
      <c r="C73" s="166"/>
      <c r="D73" s="166"/>
      <c r="E73" s="2"/>
    </row>
    <row r="74" spans="2:5">
      <c r="B74" s="2"/>
      <c r="C74" s="166"/>
      <c r="D74" s="166"/>
      <c r="E74" s="2"/>
    </row>
  </sheetData>
  <mergeCells count="8">
    <mergeCell ref="A1:B1"/>
    <mergeCell ref="C1:D1"/>
    <mergeCell ref="A2:B2"/>
    <mergeCell ref="C2:D2"/>
    <mergeCell ref="A3:B3"/>
    <mergeCell ref="A4:B4"/>
    <mergeCell ref="A5:B5"/>
    <mergeCell ref="D3:D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假设条件</vt:lpstr>
      <vt:lpstr>现金</vt:lpstr>
      <vt:lpstr>损益表</vt:lpstr>
      <vt:lpstr>2024年</vt:lpstr>
      <vt:lpstr>2025年</vt:lpstr>
      <vt:lpstr>2026年</vt:lpstr>
      <vt:lpstr>2027年</vt:lpstr>
      <vt:lpstr>2028年</vt:lpstr>
      <vt:lpstr>2029年</vt:lpstr>
      <vt:lpstr>2030年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2024-07-17T07:53:19Z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9545D4B7266740A89BCEAE7E60B7E103</vt:lpwstr>
  </property>
</Properties>
</file>