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3515"/>
  </bookViews>
  <sheets>
    <sheet name="报价单" sheetId="5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<sst xmlns="http://schemas.openxmlformats.org/spreadsheetml/2006/main" count="268" uniqueCount="126">
  <si>
    <t>M4骨架焊接总成报价表</t>
  </si>
  <si>
    <t>序号</t>
  </si>
  <si>
    <t>名称</t>
  </si>
  <si>
    <t>图片</t>
  </si>
  <si>
    <t>单件物料号</t>
  </si>
  <si>
    <t>零件名称</t>
  </si>
  <si>
    <t>耗用量</t>
  </si>
  <si>
    <t>材质</t>
  </si>
  <si>
    <t>未税单价</t>
  </si>
  <si>
    <r>
      <rPr>
        <b/>
        <sz val="11"/>
        <color theme="1"/>
        <rFont val="等线"/>
        <charset val="134"/>
      </rPr>
      <t>重量</t>
    </r>
    <r>
      <rPr>
        <b/>
        <sz val="11"/>
        <color theme="1"/>
        <rFont val="Arial"/>
        <charset val="134"/>
      </rPr>
      <t>kg</t>
    </r>
  </si>
  <si>
    <t>材料费</t>
  </si>
  <si>
    <t>加工成本</t>
  </si>
  <si>
    <t>包装运输</t>
  </si>
  <si>
    <t>系数</t>
  </si>
  <si>
    <t>未税目标价</t>
  </si>
  <si>
    <t>材料</t>
  </si>
  <si>
    <t>废铁</t>
  </si>
  <si>
    <t>毛重</t>
  </si>
  <si>
    <t>净重</t>
  </si>
  <si>
    <t>工序</t>
  </si>
  <si>
    <t>吨位</t>
  </si>
  <si>
    <t>工序费</t>
  </si>
  <si>
    <t>出件数</t>
  </si>
  <si>
    <t>合计</t>
  </si>
  <si>
    <t>靠背下横管电泳总成</t>
  </si>
  <si>
    <t>6801103X2001A</t>
  </si>
  <si>
    <t>驾驶员座垫固定支架</t>
  </si>
  <si>
    <t>QStE420TM 2.0</t>
  </si>
  <si>
    <t>下料</t>
  </si>
  <si>
    <t>剪板机</t>
  </si>
  <si>
    <t>落料冲孔</t>
  </si>
  <si>
    <t>80T</t>
  </si>
  <si>
    <r>
      <rPr>
        <sz val="9"/>
        <rFont val="宋体"/>
        <charset val="134"/>
      </rPr>
      <t>成型</t>
    </r>
    <r>
      <rPr>
        <sz val="9"/>
        <rFont val="Arial"/>
        <charset val="134"/>
      </rPr>
      <t>1</t>
    </r>
  </si>
  <si>
    <t>63T</t>
  </si>
  <si>
    <r>
      <rPr>
        <sz val="9"/>
        <rFont val="宋体"/>
        <charset val="134"/>
      </rPr>
      <t>成型</t>
    </r>
    <r>
      <rPr>
        <sz val="9"/>
        <rFont val="Arial"/>
        <charset val="134"/>
      </rPr>
      <t>2</t>
    </r>
  </si>
  <si>
    <t>SLT0010911</t>
  </si>
  <si>
    <t>靠背下横管</t>
  </si>
  <si>
    <t>Q235 φ25×1.5</t>
  </si>
  <si>
    <t>圆切机</t>
  </si>
  <si>
    <t>成型</t>
  </si>
  <si>
    <t>100T</t>
  </si>
  <si>
    <t>拍扁</t>
  </si>
  <si>
    <t>SLT0010912</t>
  </si>
  <si>
    <t>座垫支撑钢丝</t>
  </si>
  <si>
    <t>Q235  φ5</t>
  </si>
  <si>
    <t>焊接总成</t>
  </si>
  <si>
    <t>保护焊</t>
  </si>
  <si>
    <t>mm</t>
  </si>
  <si>
    <t>电泳</t>
  </si>
  <si>
    <t>电泳设备</t>
  </si>
  <si>
    <t>材料成本合计：</t>
  </si>
  <si>
    <t>加工成本合计：</t>
  </si>
  <si>
    <t>靠背管架总成</t>
  </si>
  <si>
    <t>SLT0010913</t>
  </si>
  <si>
    <t>主驾靠背弯管</t>
  </si>
  <si>
    <t>弯管</t>
  </si>
  <si>
    <t>弯管机</t>
  </si>
  <si>
    <t>125T</t>
  </si>
  <si>
    <t>钻工艺孔</t>
  </si>
  <si>
    <t>台钻</t>
  </si>
  <si>
    <t>320121300100</t>
  </si>
  <si>
    <r>
      <rPr>
        <sz val="9"/>
        <color theme="1"/>
        <rFont val="宋体"/>
        <charset val="134"/>
      </rPr>
      <t>头枕导管</t>
    </r>
    <r>
      <rPr>
        <sz val="9"/>
        <color theme="1"/>
        <rFont val="Arial"/>
        <charset val="134"/>
      </rPr>
      <t>A</t>
    </r>
  </si>
  <si>
    <t>320121300200</t>
  </si>
  <si>
    <r>
      <rPr>
        <sz val="9"/>
        <color theme="1"/>
        <rFont val="宋体"/>
        <charset val="134"/>
      </rPr>
      <t>头枕导管</t>
    </r>
    <r>
      <rPr>
        <sz val="9"/>
        <color theme="1"/>
        <rFont val="Arial"/>
        <charset val="134"/>
      </rPr>
      <t>B</t>
    </r>
  </si>
  <si>
    <t>SLT0010920</t>
  </si>
  <si>
    <t>肩部前支撑钢丝</t>
  </si>
  <si>
    <t>SLT0010882</t>
  </si>
  <si>
    <t>主驾靠背侧翼支撑钢丝</t>
  </si>
  <si>
    <t>SLT0010754</t>
  </si>
  <si>
    <t>驾驶员靠背网簧固定钣金</t>
  </si>
  <si>
    <t>Q235  1.0T</t>
  </si>
  <si>
    <t>SLT0010885</t>
  </si>
  <si>
    <r>
      <rPr>
        <sz val="9"/>
        <color theme="1"/>
        <rFont val="宋体"/>
        <charset val="134"/>
      </rPr>
      <t>主驾背板支撑钢丝</t>
    </r>
    <r>
      <rPr>
        <sz val="9"/>
        <color theme="1"/>
        <rFont val="Arial"/>
        <charset val="134"/>
      </rPr>
      <t>A</t>
    </r>
  </si>
  <si>
    <t>SLT0010997</t>
  </si>
  <si>
    <r>
      <rPr>
        <sz val="9"/>
        <color theme="1"/>
        <rFont val="宋体"/>
        <charset val="134"/>
      </rPr>
      <t>风机固定钢丝</t>
    </r>
    <r>
      <rPr>
        <sz val="9"/>
        <color theme="1"/>
        <rFont val="Arial"/>
        <charset val="134"/>
      </rPr>
      <t>A</t>
    </r>
  </si>
  <si>
    <t>SLT0010921</t>
  </si>
  <si>
    <t>肩部后支撑钢丝</t>
  </si>
  <si>
    <t>SLT0010753</t>
  </si>
  <si>
    <t>驾驶员靠背网簧</t>
  </si>
  <si>
    <t>挂网簧</t>
  </si>
  <si>
    <t>人工</t>
  </si>
  <si>
    <t>主架减震通风靠背1249</t>
  </si>
  <si>
    <t>SLT0010883</t>
  </si>
  <si>
    <t>靠背侧翼气袋支撑钢丝</t>
  </si>
  <si>
    <t>SLT0011259</t>
  </si>
  <si>
    <t>腰托支撑钢丝</t>
  </si>
  <si>
    <t>副驾靠背装配总成1027</t>
  </si>
  <si>
    <t>SLT0011037/SLT002887</t>
  </si>
  <si>
    <t>副驾靠背管架</t>
  </si>
  <si>
    <t>拍扁1</t>
  </si>
  <si>
    <t>拍扁2</t>
  </si>
  <si>
    <t>拍扁3</t>
  </si>
  <si>
    <t>冲孔</t>
  </si>
  <si>
    <t>切边</t>
  </si>
  <si>
    <t>SLT0011038/ SLT002887</t>
  </si>
  <si>
    <t>副驾靠背管架连接管</t>
  </si>
  <si>
    <t>SLT0011049</t>
  </si>
  <si>
    <t>背板支撑钢丝A</t>
  </si>
  <si>
    <t>SLT0011691</t>
  </si>
  <si>
    <t>背板支撑钢丝C</t>
  </si>
  <si>
    <t>SLT0011050</t>
  </si>
  <si>
    <t>背板支撑钢丝B</t>
  </si>
  <si>
    <t>SLT0011039</t>
  </si>
  <si>
    <t>侧翼支撑钢丝</t>
  </si>
  <si>
    <t>副驾小背骨架焊接总成1080</t>
  </si>
  <si>
    <t>SLT0011082</t>
  </si>
  <si>
    <t>副驾小背弯管</t>
  </si>
  <si>
    <t>SLT0011092</t>
  </si>
  <si>
    <t>小背下横管</t>
  </si>
  <si>
    <t>SLT0011093</t>
  </si>
  <si>
    <t>小背下支撑钢丝</t>
  </si>
  <si>
    <t>SLT0011684</t>
  </si>
  <si>
    <t>小靠背背板支撑钢丝</t>
  </si>
  <si>
    <t>SLT0011083</t>
  </si>
  <si>
    <t>小背背板后支撑钢丝A</t>
  </si>
  <si>
    <t>SLT0011079</t>
  </si>
  <si>
    <t>小背侧翼支撑钢丝</t>
  </si>
  <si>
    <t>SLT0011095</t>
  </si>
  <si>
    <t xml:space="preserve"> 小背支撑钢丝A</t>
  </si>
  <si>
    <t>SLT0011096</t>
  </si>
  <si>
    <t xml:space="preserve"> 小背支撑钢丝B</t>
  </si>
  <si>
    <t>SLT0011084</t>
  </si>
  <si>
    <t>小背面套卡接钢丝</t>
  </si>
  <si>
    <t>副驾小背骨架焊接总成1165</t>
  </si>
  <si>
    <t>报价单位：湖南凌天汽车零部件有限公司</t>
  </si>
  <si>
    <t>报价时间：2024年7月22日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</si>
</sst>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  <numFmt numFmtId="178" formatCode="0.00_);[Red]\(0.00\)"/>
    <numFmt numFmtId="179" formatCode="0.000_);[Red]\(0.000\)"/>
    <numFmt numFmtId="180" formatCode="0_ "/>
    <numFmt numFmtId="181" formatCode="0.0_);[Red]\(0.0\)"/>
  </numFmts>
  <fonts count="35">
    <font>
      <sz val="11"/>
      <color theme="1"/>
      <name val="宋体"/>
      <charset val="134"/>
      <scheme val="minor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等线"/>
      <charset val="134"/>
    </font>
    <font>
      <sz val="10"/>
      <name val="Arial"/>
      <charset val="134"/>
    </font>
    <font>
      <sz val="10"/>
      <name val="宋体"/>
      <charset val="134"/>
    </font>
    <font>
      <sz val="9"/>
      <name val="Arial"/>
      <charset val="134"/>
    </font>
    <font>
      <sz val="9"/>
      <name val="宋体"/>
      <charset val="134"/>
    </font>
    <font>
      <sz val="9"/>
      <color theme="1"/>
      <name val="Arial"/>
      <charset val="134"/>
    </font>
    <font>
      <sz val="9"/>
      <color theme="1"/>
      <name val="宋体"/>
      <charset val="134"/>
    </font>
    <font>
      <sz val="9"/>
      <color theme="1"/>
      <name val="等线"/>
      <charset val="134"/>
    </font>
    <font>
      <b/>
      <sz val="11"/>
      <color theme="1"/>
      <name val="宋体"/>
      <charset val="134"/>
    </font>
    <font>
      <sz val="10"/>
      <color theme="1"/>
      <name val="Arial"/>
      <charset val="134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9" applyNumberFormat="0" applyAlignment="0" applyProtection="0">
      <alignment vertical="center"/>
    </xf>
    <xf numFmtId="0" fontId="24" fillId="5" borderId="20" applyNumberFormat="0" applyAlignment="0" applyProtection="0">
      <alignment vertical="center"/>
    </xf>
    <xf numFmtId="0" fontId="25" fillId="5" borderId="19" applyNumberFormat="0" applyAlignment="0" applyProtection="0">
      <alignment vertical="center"/>
    </xf>
    <xf numFmtId="0" fontId="26" fillId="6" borderId="21" applyNumberFormat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7" fillId="0" borderId="2" applyNumberFormat="0" applyFill="0" applyBorder="0" applyAlignment="0" applyProtection="0">
      <alignment vertical="center"/>
    </xf>
    <xf numFmtId="0" fontId="34" fillId="0" borderId="0">
      <alignment vertical="center"/>
    </xf>
  </cellStyleXfs>
  <cellXfs count="97">
    <xf numFmtId="0" fontId="0" fillId="0" borderId="0" xfId="0">
      <alignment vertical="center"/>
    </xf>
    <xf numFmtId="0" fontId="1" fillId="0" borderId="0" xfId="49" applyFont="1" applyFill="1" applyAlignment="1">
      <alignment vertical="center"/>
    </xf>
    <xf numFmtId="0" fontId="2" fillId="0" borderId="0" xfId="0" applyFont="1" applyFill="1" applyAlignmen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 shrinkToFit="1"/>
    </xf>
    <xf numFmtId="0" fontId="4" fillId="0" borderId="1" xfId="49" applyFont="1" applyFill="1" applyBorder="1" applyAlignment="1">
      <alignment horizontal="center" vertical="center" shrinkToFit="1"/>
    </xf>
    <xf numFmtId="178" fontId="4" fillId="0" borderId="2" xfId="49" applyNumberFormat="1" applyFont="1" applyFill="1" applyBorder="1" applyAlignment="1">
      <alignment horizontal="center" vertical="center"/>
    </xf>
    <xf numFmtId="0" fontId="1" fillId="0" borderId="3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 shrinkToFit="1"/>
    </xf>
    <xf numFmtId="0" fontId="1" fillId="0" borderId="3" xfId="49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78" fontId="7" fillId="0" borderId="2" xfId="5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178" fontId="7" fillId="2" borderId="2" xfId="50" applyNumberFormat="1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78" fontId="9" fillId="2" borderId="2" xfId="0" applyNumberFormat="1" applyFont="1" applyFill="1" applyBorder="1" applyAlignment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/>
    </xf>
    <xf numFmtId="178" fontId="1" fillId="0" borderId="2" xfId="49" applyNumberFormat="1" applyFont="1" applyFill="1" applyBorder="1" applyAlignment="1">
      <alignment horizontal="center" vertical="center"/>
    </xf>
    <xf numFmtId="179" fontId="4" fillId="0" borderId="2" xfId="49" applyNumberFormat="1" applyFont="1" applyFill="1" applyBorder="1" applyAlignment="1">
      <alignment horizontal="center" vertical="center" shrinkToFit="1"/>
    </xf>
    <xf numFmtId="179" fontId="1" fillId="0" borderId="2" xfId="49" applyNumberFormat="1" applyFont="1" applyFill="1" applyBorder="1" applyAlignment="1">
      <alignment horizontal="center" vertical="center" shrinkToFit="1"/>
    </xf>
    <xf numFmtId="176" fontId="1" fillId="0" borderId="2" xfId="49" applyNumberFormat="1" applyFont="1" applyFill="1" applyBorder="1" applyAlignment="1">
      <alignment horizontal="center" vertical="center"/>
    </xf>
    <xf numFmtId="178" fontId="4" fillId="0" borderId="2" xfId="49" applyNumberFormat="1" applyFont="1" applyFill="1" applyBorder="1" applyAlignment="1">
      <alignment horizontal="center" vertical="center" wrapText="1"/>
    </xf>
    <xf numFmtId="176" fontId="4" fillId="0" borderId="2" xfId="49" applyNumberFormat="1" applyFont="1" applyFill="1" applyBorder="1" applyAlignment="1">
      <alignment horizontal="center" vertical="center"/>
    </xf>
    <xf numFmtId="179" fontId="7" fillId="0" borderId="2" xfId="51" applyNumberFormat="1" applyFont="1" applyFill="1" applyBorder="1" applyAlignment="1">
      <alignment horizontal="center" vertical="center"/>
    </xf>
    <xf numFmtId="179" fontId="7" fillId="0" borderId="2" xfId="0" applyNumberFormat="1" applyFont="1" applyFill="1" applyBorder="1" applyAlignment="1">
      <alignment horizontal="center" vertical="center" wrapText="1"/>
    </xf>
    <xf numFmtId="179" fontId="7" fillId="0" borderId="2" xfId="50" applyNumberFormat="1" applyFont="1" applyFill="1" applyBorder="1" applyAlignment="1" applyProtection="1">
      <alignment horizontal="center" vertical="center" wrapText="1"/>
      <protection locked="0"/>
    </xf>
    <xf numFmtId="177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179" fontId="7" fillId="2" borderId="2" xfId="51" applyNumberFormat="1" applyFont="1" applyFill="1" applyBorder="1" applyAlignment="1">
      <alignment horizontal="center" vertical="center"/>
    </xf>
    <xf numFmtId="179" fontId="7" fillId="2" borderId="2" xfId="0" applyNumberFormat="1" applyFont="1" applyFill="1" applyBorder="1" applyAlignment="1">
      <alignment horizontal="center" vertical="center" wrapText="1"/>
    </xf>
    <xf numFmtId="179" fontId="7" fillId="2" borderId="2" xfId="50" applyNumberFormat="1" applyFont="1" applyFill="1" applyBorder="1" applyAlignment="1" applyProtection="1">
      <alignment horizontal="center" vertical="center" wrapText="1"/>
      <protection locked="0"/>
    </xf>
    <xf numFmtId="177" fontId="8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180" fontId="7" fillId="2" borderId="2" xfId="0" applyNumberFormat="1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179" fontId="9" fillId="2" borderId="2" xfId="0" applyNumberFormat="1" applyFont="1" applyFill="1" applyBorder="1" applyAlignment="1">
      <alignment horizontal="center" vertical="center"/>
    </xf>
    <xf numFmtId="179" fontId="9" fillId="0" borderId="2" xfId="0" applyNumberFormat="1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/>
    </xf>
    <xf numFmtId="176" fontId="12" fillId="0" borderId="1" xfId="49" applyNumberFormat="1" applyFont="1" applyFill="1" applyBorder="1" applyAlignment="1">
      <alignment horizontal="center" vertical="center"/>
    </xf>
    <xf numFmtId="177" fontId="4" fillId="0" borderId="2" xfId="1" applyNumberFormat="1" applyFont="1" applyFill="1" applyBorder="1" applyAlignment="1">
      <alignment horizontal="center" vertical="center" wrapText="1"/>
    </xf>
    <xf numFmtId="181" fontId="4" fillId="0" borderId="2" xfId="49" applyNumberFormat="1" applyFont="1" applyFill="1" applyBorder="1" applyAlignment="1">
      <alignment horizontal="center" vertical="center" wrapText="1"/>
    </xf>
    <xf numFmtId="176" fontId="4" fillId="0" borderId="2" xfId="49" applyNumberFormat="1" applyFont="1" applyFill="1" applyBorder="1" applyAlignment="1">
      <alignment horizontal="center" vertical="center" shrinkToFit="1"/>
    </xf>
    <xf numFmtId="176" fontId="1" fillId="0" borderId="3" xfId="49" applyNumberFormat="1" applyFont="1" applyFill="1" applyBorder="1" applyAlignment="1">
      <alignment horizontal="center" vertical="center"/>
    </xf>
    <xf numFmtId="177" fontId="1" fillId="0" borderId="2" xfId="1" applyNumberFormat="1" applyFont="1" applyFill="1" applyBorder="1" applyAlignment="1">
      <alignment horizontal="center" vertical="center" wrapText="1"/>
    </xf>
    <xf numFmtId="181" fontId="7" fillId="0" borderId="2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9" fontId="13" fillId="0" borderId="2" xfId="0" applyNumberFormat="1" applyFont="1" applyFill="1" applyBorder="1" applyAlignment="1">
      <alignment horizontal="center" vertical="center" wrapText="1"/>
    </xf>
    <xf numFmtId="177" fontId="2" fillId="0" borderId="1" xfId="1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177" fontId="2" fillId="0" borderId="4" xfId="1" applyNumberFormat="1" applyFont="1" applyFill="1" applyBorder="1" applyAlignment="1">
      <alignment horizontal="center" vertical="center"/>
    </xf>
    <xf numFmtId="181" fontId="7" fillId="2" borderId="2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177" fontId="2" fillId="0" borderId="3" xfId="1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9" fillId="2" borderId="2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BOM_Level_Below3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50800</xdr:colOff>
      <xdr:row>7</xdr:row>
      <xdr:rowOff>116840</xdr:rowOff>
    </xdr:from>
    <xdr:to>
      <xdr:col>2</xdr:col>
      <xdr:colOff>606425</xdr:colOff>
      <xdr:row>8</xdr:row>
      <xdr:rowOff>127000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22400" y="1815465"/>
          <a:ext cx="555625" cy="19113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20</xdr:row>
      <xdr:rowOff>28575</xdr:rowOff>
    </xdr:from>
    <xdr:to>
      <xdr:col>2</xdr:col>
      <xdr:colOff>604520</xdr:colOff>
      <xdr:row>22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90650" y="4489450"/>
          <a:ext cx="585470" cy="591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28575</xdr:colOff>
      <xdr:row>38</xdr:row>
      <xdr:rowOff>152400</xdr:rowOff>
    </xdr:from>
    <xdr:to>
      <xdr:col>2</xdr:col>
      <xdr:colOff>635635</xdr:colOff>
      <xdr:row>40</xdr:row>
      <xdr:rowOff>181610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00175" y="9163050"/>
          <a:ext cx="607060" cy="619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28575</xdr:colOff>
      <xdr:row>57</xdr:row>
      <xdr:rowOff>180975</xdr:rowOff>
    </xdr:from>
    <xdr:to>
      <xdr:col>2</xdr:col>
      <xdr:colOff>618490</xdr:colOff>
      <xdr:row>60</xdr:row>
      <xdr:rowOff>146050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400175" y="13811250"/>
          <a:ext cx="589915" cy="612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0"/>
  <sheetViews>
    <sheetView tabSelected="1" workbookViewId="0">
      <pane ySplit="3" topLeftCell="A4" activePane="bottomLeft" state="frozen"/>
      <selection/>
      <selection pane="bottomLeft" activeCell="U85" sqref="U85:U97"/>
    </sheetView>
  </sheetViews>
  <sheetFormatPr defaultColWidth="9" defaultRowHeight="13.5"/>
  <cols>
    <col min="4" max="4" width="10" customWidth="1"/>
    <col min="5" max="5" width="9.88333333333333" customWidth="1"/>
    <col min="6" max="6" width="7.65" customWidth="1"/>
    <col min="7" max="7" width="10.625" customWidth="1"/>
    <col min="8" max="8" width="8.125" customWidth="1"/>
    <col min="9" max="10" width="8.11666666666667" customWidth="1"/>
    <col min="11" max="11" width="8.125" customWidth="1"/>
    <col min="12" max="12" width="8.43333333333333" customWidth="1"/>
    <col min="13" max="13" width="7.875" customWidth="1"/>
    <col min="16" max="16" width="9" style="3" customWidth="1"/>
    <col min="18" max="18" width="9.875" style="3" customWidth="1"/>
    <col min="19" max="19" width="10.125" style="3" customWidth="1"/>
    <col min="20" max="20" width="10.15" customWidth="1"/>
    <col min="21" max="21" width="9" style="4"/>
  </cols>
  <sheetData>
    <row r="1" ht="34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47"/>
      <c r="Q1" s="5"/>
      <c r="R1" s="47"/>
      <c r="S1" s="47"/>
      <c r="T1" s="5"/>
      <c r="U1" s="79"/>
    </row>
    <row r="2" s="1" customFormat="1" ht="15" spans="1:21">
      <c r="A2" s="6" t="s">
        <v>1</v>
      </c>
      <c r="B2" s="7" t="s">
        <v>2</v>
      </c>
      <c r="C2" s="8" t="s">
        <v>3</v>
      </c>
      <c r="D2" s="7" t="s">
        <v>4</v>
      </c>
      <c r="E2" s="9" t="s">
        <v>5</v>
      </c>
      <c r="F2" s="7" t="s">
        <v>6</v>
      </c>
      <c r="G2" s="10" t="s">
        <v>7</v>
      </c>
      <c r="H2" s="11" t="s">
        <v>8</v>
      </c>
      <c r="I2" s="48"/>
      <c r="J2" s="49" t="s">
        <v>9</v>
      </c>
      <c r="K2" s="50"/>
      <c r="L2" s="50"/>
      <c r="M2" s="11" t="s">
        <v>10</v>
      </c>
      <c r="N2" s="11" t="s">
        <v>11</v>
      </c>
      <c r="O2" s="48"/>
      <c r="P2" s="51"/>
      <c r="Q2" s="48"/>
      <c r="R2" s="51"/>
      <c r="S2" s="80" t="s">
        <v>12</v>
      </c>
      <c r="T2" s="11" t="s">
        <v>13</v>
      </c>
      <c r="U2" s="81" t="s">
        <v>14</v>
      </c>
    </row>
    <row r="3" s="1" customFormat="1" ht="15" spans="1:21">
      <c r="A3" s="12"/>
      <c r="B3" s="13"/>
      <c r="C3" s="14"/>
      <c r="D3" s="13"/>
      <c r="E3" s="15"/>
      <c r="F3" s="13"/>
      <c r="G3" s="16"/>
      <c r="H3" s="11" t="s">
        <v>15</v>
      </c>
      <c r="I3" s="11" t="s">
        <v>16</v>
      </c>
      <c r="J3" s="49" t="s">
        <v>17</v>
      </c>
      <c r="K3" s="49" t="s">
        <v>18</v>
      </c>
      <c r="L3" s="49" t="s">
        <v>16</v>
      </c>
      <c r="M3" s="48"/>
      <c r="N3" s="52" t="s">
        <v>19</v>
      </c>
      <c r="O3" s="11" t="s">
        <v>20</v>
      </c>
      <c r="P3" s="53" t="s">
        <v>21</v>
      </c>
      <c r="Q3" s="82" t="s">
        <v>22</v>
      </c>
      <c r="R3" s="83" t="s">
        <v>23</v>
      </c>
      <c r="S3" s="84"/>
      <c r="T3" s="48"/>
      <c r="U3" s="85"/>
    </row>
    <row r="4" s="2" customFormat="1" ht="27" customHeight="1" spans="1:21">
      <c r="A4" s="17">
        <v>1</v>
      </c>
      <c r="B4" s="18" t="s">
        <v>24</v>
      </c>
      <c r="C4" s="17"/>
      <c r="D4" s="19" t="s">
        <v>25</v>
      </c>
      <c r="E4" s="20" t="s">
        <v>26</v>
      </c>
      <c r="F4" s="21">
        <v>2</v>
      </c>
      <c r="G4" s="22" t="s">
        <v>27</v>
      </c>
      <c r="H4" s="23">
        <v>4.5</v>
      </c>
      <c r="I4" s="23">
        <v>2.1</v>
      </c>
      <c r="J4" s="54">
        <f>0.071*F4</f>
        <v>0.142</v>
      </c>
      <c r="K4" s="55">
        <f>0.037*F4</f>
        <v>0.074</v>
      </c>
      <c r="L4" s="56">
        <f>J4-K4</f>
        <v>0.068</v>
      </c>
      <c r="M4" s="23">
        <f>J4*H4-I4*L4</f>
        <v>0.4962</v>
      </c>
      <c r="N4" s="57" t="s">
        <v>28</v>
      </c>
      <c r="O4" s="58" t="s">
        <v>29</v>
      </c>
      <c r="P4" s="59">
        <v>0.1</v>
      </c>
      <c r="Q4" s="86">
        <v>1</v>
      </c>
      <c r="R4" s="59">
        <f>(P4*Q4)*F4</f>
        <v>0.2</v>
      </c>
      <c r="S4" s="87"/>
      <c r="T4" s="88">
        <v>1.12</v>
      </c>
      <c r="U4" s="89">
        <f>(M14+R14+S14)*T4</f>
        <v>8.3137152</v>
      </c>
    </row>
    <row r="5" s="2" customFormat="1" ht="14.25" spans="1:21">
      <c r="A5" s="24"/>
      <c r="B5" s="24"/>
      <c r="C5" s="24"/>
      <c r="D5" s="25"/>
      <c r="E5" s="26"/>
      <c r="F5" s="26"/>
      <c r="G5" s="26"/>
      <c r="H5" s="26"/>
      <c r="I5" s="26"/>
      <c r="J5" s="26"/>
      <c r="K5" s="26"/>
      <c r="L5" s="26"/>
      <c r="M5" s="60"/>
      <c r="N5" s="57" t="s">
        <v>30</v>
      </c>
      <c r="O5" s="61" t="s">
        <v>31</v>
      </c>
      <c r="P5" s="59">
        <v>0.09</v>
      </c>
      <c r="Q5" s="86">
        <v>1</v>
      </c>
      <c r="R5" s="59">
        <f>(P5*Q5)*F4</f>
        <v>0.18</v>
      </c>
      <c r="S5" s="90"/>
      <c r="T5" s="88"/>
      <c r="U5" s="91"/>
    </row>
    <row r="6" s="2" customFormat="1" ht="14.25" spans="1:21">
      <c r="A6" s="24"/>
      <c r="B6" s="24"/>
      <c r="C6" s="24"/>
      <c r="D6" s="27"/>
      <c r="E6" s="28"/>
      <c r="F6" s="28"/>
      <c r="G6" s="28"/>
      <c r="H6" s="28"/>
      <c r="I6" s="28"/>
      <c r="J6" s="28"/>
      <c r="K6" s="28"/>
      <c r="L6" s="28"/>
      <c r="M6" s="62"/>
      <c r="N6" s="57" t="s">
        <v>32</v>
      </c>
      <c r="O6" s="61" t="s">
        <v>33</v>
      </c>
      <c r="P6" s="59">
        <v>0.08</v>
      </c>
      <c r="Q6" s="86">
        <v>1</v>
      </c>
      <c r="R6" s="59">
        <f>(P6*Q6)*F4</f>
        <v>0.16</v>
      </c>
      <c r="S6" s="90"/>
      <c r="T6" s="88"/>
      <c r="U6" s="91"/>
    </row>
    <row r="7" s="2" customFormat="1" ht="14.25" spans="1:21">
      <c r="A7" s="24"/>
      <c r="B7" s="24"/>
      <c r="C7" s="24"/>
      <c r="D7" s="29"/>
      <c r="E7" s="30"/>
      <c r="F7" s="30"/>
      <c r="G7" s="30"/>
      <c r="H7" s="30"/>
      <c r="I7" s="30"/>
      <c r="J7" s="30"/>
      <c r="K7" s="30"/>
      <c r="L7" s="30"/>
      <c r="M7" s="63"/>
      <c r="N7" s="57" t="s">
        <v>34</v>
      </c>
      <c r="O7" s="61" t="s">
        <v>33</v>
      </c>
      <c r="P7" s="59">
        <v>0.08</v>
      </c>
      <c r="Q7" s="86">
        <v>1</v>
      </c>
      <c r="R7" s="59">
        <f>(P7*Q7)*F4</f>
        <v>0.16</v>
      </c>
      <c r="S7" s="90"/>
      <c r="T7" s="88"/>
      <c r="U7" s="91"/>
    </row>
    <row r="8" s="2" customFormat="1" ht="14.25" spans="1:21">
      <c r="A8" s="24"/>
      <c r="B8" s="24"/>
      <c r="C8" s="24"/>
      <c r="D8" s="22" t="s">
        <v>35</v>
      </c>
      <c r="E8" s="31" t="s">
        <v>36</v>
      </c>
      <c r="F8" s="21">
        <v>1</v>
      </c>
      <c r="G8" s="22" t="s">
        <v>37</v>
      </c>
      <c r="H8" s="23">
        <v>4.9</v>
      </c>
      <c r="I8" s="23">
        <v>2.1</v>
      </c>
      <c r="J8" s="54">
        <f>K8*1.15</f>
        <v>0.4002</v>
      </c>
      <c r="K8" s="55">
        <v>0.348</v>
      </c>
      <c r="L8" s="56">
        <f>J8-K8</f>
        <v>0.0522</v>
      </c>
      <c r="M8" s="23">
        <f>J8*H8-I8*L8</f>
        <v>1.85136</v>
      </c>
      <c r="N8" s="57" t="s">
        <v>28</v>
      </c>
      <c r="O8" s="58" t="s">
        <v>38</v>
      </c>
      <c r="P8" s="59">
        <v>0.12</v>
      </c>
      <c r="Q8" s="86">
        <v>1</v>
      </c>
      <c r="R8" s="59">
        <f t="shared" ref="R8:R10" si="0">P8*Q8</f>
        <v>0.12</v>
      </c>
      <c r="S8" s="90"/>
      <c r="T8" s="88"/>
      <c r="U8" s="91"/>
    </row>
    <row r="9" s="2" customFormat="1" ht="14.25" spans="1:21">
      <c r="A9" s="24"/>
      <c r="B9" s="24"/>
      <c r="C9" s="24"/>
      <c r="D9" s="25"/>
      <c r="E9" s="26"/>
      <c r="F9" s="26"/>
      <c r="G9" s="26"/>
      <c r="H9" s="26"/>
      <c r="I9" s="26"/>
      <c r="J9" s="26"/>
      <c r="K9" s="26"/>
      <c r="L9" s="26"/>
      <c r="M9" s="60"/>
      <c r="N9" s="57" t="s">
        <v>39</v>
      </c>
      <c r="O9" s="61" t="s">
        <v>40</v>
      </c>
      <c r="P9" s="59">
        <v>0.11</v>
      </c>
      <c r="Q9" s="86">
        <v>1</v>
      </c>
      <c r="R9" s="59">
        <f t="shared" si="0"/>
        <v>0.11</v>
      </c>
      <c r="S9" s="90"/>
      <c r="T9" s="88"/>
      <c r="U9" s="91"/>
    </row>
    <row r="10" s="2" customFormat="1" ht="14.25" spans="1:21">
      <c r="A10" s="24"/>
      <c r="B10" s="24"/>
      <c r="C10" s="24"/>
      <c r="D10" s="29"/>
      <c r="E10" s="30"/>
      <c r="F10" s="30"/>
      <c r="G10" s="30"/>
      <c r="H10" s="30"/>
      <c r="I10" s="30"/>
      <c r="J10" s="30"/>
      <c r="K10" s="30"/>
      <c r="L10" s="30"/>
      <c r="M10" s="63"/>
      <c r="N10" s="57" t="s">
        <v>41</v>
      </c>
      <c r="O10" s="61" t="s">
        <v>40</v>
      </c>
      <c r="P10" s="59">
        <v>0.11</v>
      </c>
      <c r="Q10" s="86">
        <v>1</v>
      </c>
      <c r="R10" s="59">
        <f t="shared" si="0"/>
        <v>0.11</v>
      </c>
      <c r="S10" s="90"/>
      <c r="T10" s="88"/>
      <c r="U10" s="91"/>
    </row>
    <row r="11" s="2" customFormat="1" ht="14.25" spans="1:21">
      <c r="A11" s="24"/>
      <c r="B11" s="24"/>
      <c r="C11" s="24"/>
      <c r="D11" s="32" t="s">
        <v>42</v>
      </c>
      <c r="E11" s="33" t="s">
        <v>43</v>
      </c>
      <c r="F11" s="34">
        <v>1</v>
      </c>
      <c r="G11" s="32" t="s">
        <v>44</v>
      </c>
      <c r="H11" s="35">
        <v>8</v>
      </c>
      <c r="I11" s="35"/>
      <c r="J11" s="64"/>
      <c r="K11" s="65">
        <v>0.094</v>
      </c>
      <c r="L11" s="66"/>
      <c r="M11" s="35">
        <f>H11*K11</f>
        <v>0.752</v>
      </c>
      <c r="N11" s="67"/>
      <c r="O11" s="68"/>
      <c r="P11" s="69"/>
      <c r="Q11" s="92"/>
      <c r="R11" s="69"/>
      <c r="S11" s="90"/>
      <c r="T11" s="88"/>
      <c r="U11" s="91"/>
    </row>
    <row r="12" s="2" customFormat="1" ht="14.25" spans="1:21">
      <c r="A12" s="24"/>
      <c r="B12" s="24"/>
      <c r="C12" s="24"/>
      <c r="D12" s="36"/>
      <c r="E12" s="37"/>
      <c r="F12" s="37"/>
      <c r="G12" s="37"/>
      <c r="H12" s="37"/>
      <c r="I12" s="37"/>
      <c r="J12" s="37"/>
      <c r="K12" s="37"/>
      <c r="L12" s="37"/>
      <c r="M12" s="70"/>
      <c r="N12" s="67" t="s">
        <v>45</v>
      </c>
      <c r="O12" s="71" t="s">
        <v>46</v>
      </c>
      <c r="P12" s="72">
        <v>140</v>
      </c>
      <c r="Q12" s="92" t="s">
        <v>47</v>
      </c>
      <c r="R12" s="69">
        <f>P12*0.012</f>
        <v>1.68</v>
      </c>
      <c r="S12" s="90"/>
      <c r="T12" s="88"/>
      <c r="U12" s="91"/>
    </row>
    <row r="13" s="2" customFormat="1" ht="14.25" spans="1:21">
      <c r="A13" s="24"/>
      <c r="B13" s="24"/>
      <c r="C13" s="24"/>
      <c r="D13" s="38"/>
      <c r="E13" s="39"/>
      <c r="F13" s="39"/>
      <c r="G13" s="39"/>
      <c r="H13" s="39"/>
      <c r="I13" s="39"/>
      <c r="J13" s="39"/>
      <c r="K13" s="39"/>
      <c r="L13" s="39"/>
      <c r="M13" s="73"/>
      <c r="N13" s="67" t="s">
        <v>48</v>
      </c>
      <c r="O13" s="71" t="s">
        <v>49</v>
      </c>
      <c r="P13" s="69"/>
      <c r="Q13" s="92"/>
      <c r="R13" s="69">
        <v>1.5</v>
      </c>
      <c r="S13" s="93"/>
      <c r="T13" s="88"/>
      <c r="U13" s="91"/>
    </row>
    <row r="14" s="2" customFormat="1" ht="24" spans="1:21">
      <c r="A14" s="40"/>
      <c r="B14" s="40"/>
      <c r="C14" s="40"/>
      <c r="D14" s="41" t="s">
        <v>50</v>
      </c>
      <c r="E14" s="22"/>
      <c r="F14" s="21"/>
      <c r="G14" s="21"/>
      <c r="H14" s="21"/>
      <c r="I14" s="21"/>
      <c r="J14" s="21"/>
      <c r="K14" s="21"/>
      <c r="L14" s="21"/>
      <c r="M14" s="43">
        <f>SUM(M4:M13)</f>
        <v>3.09956</v>
      </c>
      <c r="N14" s="74" t="s">
        <v>51</v>
      </c>
      <c r="O14" s="21"/>
      <c r="P14" s="75"/>
      <c r="Q14" s="21"/>
      <c r="R14" s="75">
        <f>SUM(R4:R13)</f>
        <v>4.22</v>
      </c>
      <c r="S14" s="75">
        <f>0.517*0.2</f>
        <v>0.1034</v>
      </c>
      <c r="T14" s="88"/>
      <c r="U14" s="94"/>
    </row>
    <row r="15" s="2" customFormat="1" ht="27" customHeight="1" spans="1:21">
      <c r="A15" s="17">
        <v>2</v>
      </c>
      <c r="B15" s="18" t="s">
        <v>52</v>
      </c>
      <c r="C15" s="17"/>
      <c r="D15" s="19" t="s">
        <v>53</v>
      </c>
      <c r="E15" s="20" t="s">
        <v>54</v>
      </c>
      <c r="F15" s="21">
        <v>1</v>
      </c>
      <c r="G15" s="22" t="s">
        <v>37</v>
      </c>
      <c r="H15" s="23">
        <v>4.9</v>
      </c>
      <c r="I15" s="23">
        <v>2.1</v>
      </c>
      <c r="J15" s="54">
        <f>K15*1.15</f>
        <v>1.5272</v>
      </c>
      <c r="K15" s="55">
        <v>1.328</v>
      </c>
      <c r="L15" s="56">
        <f>J15-K15</f>
        <v>0.1992</v>
      </c>
      <c r="M15" s="23">
        <f>H15*J15-I15*L15</f>
        <v>7.06496</v>
      </c>
      <c r="N15" s="57" t="s">
        <v>28</v>
      </c>
      <c r="O15" s="58" t="s">
        <v>38</v>
      </c>
      <c r="P15" s="59">
        <v>0.2</v>
      </c>
      <c r="Q15" s="86">
        <v>1</v>
      </c>
      <c r="R15" s="59">
        <f t="shared" ref="R15:R23" si="1">P15*Q15</f>
        <v>0.2</v>
      </c>
      <c r="S15" s="87"/>
      <c r="T15" s="88">
        <v>1.12</v>
      </c>
      <c r="U15" s="89">
        <f>(M32+R32+S32)*T15</f>
        <v>29.9014912</v>
      </c>
    </row>
    <row r="16" s="2" customFormat="1" ht="14.25" spans="1:21">
      <c r="A16" s="24"/>
      <c r="B16" s="24"/>
      <c r="C16" s="24"/>
      <c r="D16" s="25"/>
      <c r="E16" s="26"/>
      <c r="F16" s="26"/>
      <c r="G16" s="26"/>
      <c r="H16" s="26"/>
      <c r="I16" s="26"/>
      <c r="J16" s="26"/>
      <c r="K16" s="26"/>
      <c r="L16" s="26"/>
      <c r="M16" s="60"/>
      <c r="N16" s="57" t="s">
        <v>55</v>
      </c>
      <c r="O16" s="58" t="s">
        <v>56</v>
      </c>
      <c r="P16" s="59">
        <v>0.24</v>
      </c>
      <c r="Q16" s="86">
        <v>8</v>
      </c>
      <c r="R16" s="59">
        <f t="shared" si="1"/>
        <v>1.92</v>
      </c>
      <c r="S16" s="90"/>
      <c r="T16" s="88"/>
      <c r="U16" s="91"/>
    </row>
    <row r="17" s="2" customFormat="1" ht="14.25" spans="1:21">
      <c r="A17" s="24"/>
      <c r="B17" s="24"/>
      <c r="C17" s="24"/>
      <c r="D17" s="27"/>
      <c r="E17" s="28"/>
      <c r="F17" s="28"/>
      <c r="G17" s="28"/>
      <c r="H17" s="28"/>
      <c r="I17" s="28"/>
      <c r="J17" s="28"/>
      <c r="K17" s="28"/>
      <c r="L17" s="28"/>
      <c r="M17" s="62"/>
      <c r="N17" s="57" t="s">
        <v>39</v>
      </c>
      <c r="O17" s="61" t="s">
        <v>57</v>
      </c>
      <c r="P17" s="59">
        <v>0.12</v>
      </c>
      <c r="Q17" s="86">
        <v>1</v>
      </c>
      <c r="R17" s="59">
        <f t="shared" si="1"/>
        <v>0.12</v>
      </c>
      <c r="S17" s="90"/>
      <c r="T17" s="88"/>
      <c r="U17" s="91"/>
    </row>
    <row r="18" s="2" customFormat="1" ht="14.25" spans="1:21">
      <c r="A18" s="24"/>
      <c r="B18" s="24"/>
      <c r="C18" s="24"/>
      <c r="D18" s="27"/>
      <c r="E18" s="28"/>
      <c r="F18" s="28"/>
      <c r="G18" s="28"/>
      <c r="H18" s="28"/>
      <c r="I18" s="28"/>
      <c r="J18" s="28"/>
      <c r="K18" s="28"/>
      <c r="L18" s="28"/>
      <c r="M18" s="62"/>
      <c r="N18" s="57" t="s">
        <v>41</v>
      </c>
      <c r="O18" s="61" t="s">
        <v>57</v>
      </c>
      <c r="P18" s="59">
        <v>0.12</v>
      </c>
      <c r="Q18" s="86">
        <v>1</v>
      </c>
      <c r="R18" s="59">
        <f t="shared" si="1"/>
        <v>0.12</v>
      </c>
      <c r="S18" s="90"/>
      <c r="T18" s="88"/>
      <c r="U18" s="91"/>
    </row>
    <row r="19" s="2" customFormat="1" ht="14.25" spans="1:21">
      <c r="A19" s="24"/>
      <c r="B19" s="24"/>
      <c r="C19" s="24"/>
      <c r="D19" s="29"/>
      <c r="E19" s="30"/>
      <c r="F19" s="30"/>
      <c r="G19" s="30"/>
      <c r="H19" s="30"/>
      <c r="I19" s="30"/>
      <c r="J19" s="30"/>
      <c r="K19" s="30"/>
      <c r="L19" s="30"/>
      <c r="M19" s="63"/>
      <c r="N19" s="57" t="s">
        <v>58</v>
      </c>
      <c r="O19" s="58" t="s">
        <v>59</v>
      </c>
      <c r="P19" s="59">
        <v>0.17</v>
      </c>
      <c r="Q19" s="86">
        <v>2</v>
      </c>
      <c r="R19" s="59">
        <f t="shared" si="1"/>
        <v>0.34</v>
      </c>
      <c r="S19" s="90"/>
      <c r="T19" s="88"/>
      <c r="U19" s="91"/>
    </row>
    <row r="20" s="2" customFormat="1" ht="24" spans="1:21">
      <c r="A20" s="24"/>
      <c r="B20" s="24"/>
      <c r="C20" s="24"/>
      <c r="D20" s="97" t="s">
        <v>60</v>
      </c>
      <c r="E20" s="33" t="s">
        <v>61</v>
      </c>
      <c r="F20" s="34">
        <v>1</v>
      </c>
      <c r="G20" s="34"/>
      <c r="H20" s="42"/>
      <c r="I20" s="42"/>
      <c r="J20" s="76"/>
      <c r="K20" s="76">
        <v>0.04</v>
      </c>
      <c r="L20" s="76"/>
      <c r="M20" s="42">
        <v>0.88</v>
      </c>
      <c r="N20" s="67"/>
      <c r="O20" s="68"/>
      <c r="P20" s="69"/>
      <c r="Q20" s="92"/>
      <c r="R20" s="69">
        <f t="shared" si="1"/>
        <v>0</v>
      </c>
      <c r="S20" s="90"/>
      <c r="T20" s="88"/>
      <c r="U20" s="91"/>
    </row>
    <row r="21" s="2" customFormat="1" ht="24" spans="1:21">
      <c r="A21" s="24"/>
      <c r="B21" s="24"/>
      <c r="C21" s="24"/>
      <c r="D21" s="97" t="s">
        <v>62</v>
      </c>
      <c r="E21" s="33" t="s">
        <v>63</v>
      </c>
      <c r="F21" s="34">
        <v>1</v>
      </c>
      <c r="G21" s="34"/>
      <c r="H21" s="42"/>
      <c r="I21" s="42"/>
      <c r="J21" s="76"/>
      <c r="K21" s="76">
        <v>0.04</v>
      </c>
      <c r="L21" s="76"/>
      <c r="M21" s="42">
        <v>0.88</v>
      </c>
      <c r="N21" s="67"/>
      <c r="O21" s="68"/>
      <c r="P21" s="69"/>
      <c r="Q21" s="92"/>
      <c r="R21" s="69">
        <f t="shared" si="1"/>
        <v>0</v>
      </c>
      <c r="S21" s="90"/>
      <c r="T21" s="88"/>
      <c r="U21" s="91"/>
    </row>
    <row r="22" s="2" customFormat="1" ht="22.5" spans="1:21">
      <c r="A22" s="24"/>
      <c r="B22" s="24"/>
      <c r="C22" s="24"/>
      <c r="D22" s="32" t="s">
        <v>64</v>
      </c>
      <c r="E22" s="33" t="s">
        <v>65</v>
      </c>
      <c r="F22" s="34">
        <v>2</v>
      </c>
      <c r="G22" s="34"/>
      <c r="H22" s="42">
        <v>8</v>
      </c>
      <c r="I22" s="42"/>
      <c r="J22" s="76"/>
      <c r="K22" s="76">
        <f>0.065*F22</f>
        <v>0.13</v>
      </c>
      <c r="L22" s="76"/>
      <c r="M22" s="42">
        <f t="shared" ref="M22:M30" si="2">H22*K22</f>
        <v>1.04</v>
      </c>
      <c r="N22" s="67"/>
      <c r="O22" s="68"/>
      <c r="P22" s="69"/>
      <c r="Q22" s="92"/>
      <c r="R22" s="69">
        <f t="shared" si="1"/>
        <v>0</v>
      </c>
      <c r="S22" s="90"/>
      <c r="T22" s="88"/>
      <c r="U22" s="91"/>
    </row>
    <row r="23" s="2" customFormat="1" ht="22.5" spans="1:21">
      <c r="A23" s="24"/>
      <c r="B23" s="24"/>
      <c r="C23" s="24"/>
      <c r="D23" s="32" t="s">
        <v>66</v>
      </c>
      <c r="E23" s="33" t="s">
        <v>67</v>
      </c>
      <c r="F23" s="34">
        <v>2</v>
      </c>
      <c r="G23" s="34"/>
      <c r="H23" s="42">
        <v>8</v>
      </c>
      <c r="I23" s="42"/>
      <c r="J23" s="76"/>
      <c r="K23" s="76">
        <f>0.074*F23</f>
        <v>0.148</v>
      </c>
      <c r="L23" s="76"/>
      <c r="M23" s="42">
        <f t="shared" si="2"/>
        <v>1.184</v>
      </c>
      <c r="N23" s="67"/>
      <c r="O23" s="68"/>
      <c r="P23" s="69"/>
      <c r="Q23" s="92"/>
      <c r="R23" s="69">
        <f t="shared" si="1"/>
        <v>0</v>
      </c>
      <c r="S23" s="90"/>
      <c r="T23" s="88"/>
      <c r="U23" s="91"/>
    </row>
    <row r="24" s="2" customFormat="1" ht="22.5" spans="1:21">
      <c r="A24" s="24"/>
      <c r="B24" s="24"/>
      <c r="C24" s="24"/>
      <c r="D24" s="22" t="s">
        <v>68</v>
      </c>
      <c r="E24" s="31" t="s">
        <v>69</v>
      </c>
      <c r="F24" s="21">
        <v>4</v>
      </c>
      <c r="G24" s="21" t="s">
        <v>70</v>
      </c>
      <c r="H24" s="43">
        <v>4.5</v>
      </c>
      <c r="I24" s="43">
        <v>2.1</v>
      </c>
      <c r="J24" s="77">
        <f>0.009*F24</f>
        <v>0.036</v>
      </c>
      <c r="K24" s="77">
        <f>0.006*F24</f>
        <v>0.024</v>
      </c>
      <c r="L24" s="56">
        <f>J24-K24</f>
        <v>0.012</v>
      </c>
      <c r="M24" s="23">
        <f>H24*J24-I24*L24</f>
        <v>0.1368</v>
      </c>
      <c r="N24" s="57" t="s">
        <v>28</v>
      </c>
      <c r="O24" s="58" t="s">
        <v>29</v>
      </c>
      <c r="P24" s="59">
        <v>0.05</v>
      </c>
      <c r="Q24" s="86">
        <v>1</v>
      </c>
      <c r="R24" s="59">
        <f>(P24*Q24)*F24</f>
        <v>0.2</v>
      </c>
      <c r="S24" s="90"/>
      <c r="T24" s="88"/>
      <c r="U24" s="91"/>
    </row>
    <row r="25" s="2" customFormat="1" ht="14.25" spans="1:21">
      <c r="A25" s="24"/>
      <c r="B25" s="24"/>
      <c r="C25" s="24"/>
      <c r="D25" s="25"/>
      <c r="E25" s="26"/>
      <c r="F25" s="26"/>
      <c r="G25" s="26"/>
      <c r="H25" s="26"/>
      <c r="I25" s="26"/>
      <c r="J25" s="26"/>
      <c r="K25" s="26"/>
      <c r="L25" s="26"/>
      <c r="M25" s="60"/>
      <c r="N25" s="57" t="s">
        <v>30</v>
      </c>
      <c r="O25" s="61" t="s">
        <v>33</v>
      </c>
      <c r="P25" s="59">
        <v>0.08</v>
      </c>
      <c r="Q25" s="86">
        <v>1</v>
      </c>
      <c r="R25" s="59">
        <f>(P25*Q25)*F24</f>
        <v>0.32</v>
      </c>
      <c r="S25" s="90"/>
      <c r="T25" s="88"/>
      <c r="U25" s="91"/>
    </row>
    <row r="26" s="2" customFormat="1" ht="14.25" spans="1:21">
      <c r="A26" s="24"/>
      <c r="B26" s="24"/>
      <c r="C26" s="24"/>
      <c r="D26" s="29"/>
      <c r="E26" s="30"/>
      <c r="F26" s="30"/>
      <c r="G26" s="30"/>
      <c r="H26" s="30"/>
      <c r="I26" s="30"/>
      <c r="J26" s="30"/>
      <c r="K26" s="30"/>
      <c r="L26" s="30"/>
      <c r="M26" s="63"/>
      <c r="N26" s="57" t="s">
        <v>32</v>
      </c>
      <c r="O26" s="61" t="s">
        <v>33</v>
      </c>
      <c r="P26" s="59">
        <v>0.08</v>
      </c>
      <c r="Q26" s="86">
        <v>1</v>
      </c>
      <c r="R26" s="59">
        <f>(P26*Q26)*F24</f>
        <v>0.32</v>
      </c>
      <c r="S26" s="90"/>
      <c r="T26" s="88"/>
      <c r="U26" s="91"/>
    </row>
    <row r="27" s="2" customFormat="1" ht="23.25" spans="1:21">
      <c r="A27" s="24"/>
      <c r="B27" s="24"/>
      <c r="C27" s="24"/>
      <c r="D27" s="32" t="s">
        <v>71</v>
      </c>
      <c r="E27" s="33" t="s">
        <v>72</v>
      </c>
      <c r="F27" s="34">
        <v>3</v>
      </c>
      <c r="G27" s="34"/>
      <c r="H27" s="42">
        <v>8</v>
      </c>
      <c r="I27" s="42"/>
      <c r="J27" s="76"/>
      <c r="K27" s="76">
        <f>0.063*F27</f>
        <v>0.189</v>
      </c>
      <c r="L27" s="76"/>
      <c r="M27" s="42">
        <f t="shared" si="2"/>
        <v>1.512</v>
      </c>
      <c r="N27" s="67"/>
      <c r="O27" s="68"/>
      <c r="P27" s="69"/>
      <c r="Q27" s="92"/>
      <c r="R27" s="69"/>
      <c r="S27" s="90"/>
      <c r="T27" s="88"/>
      <c r="U27" s="91"/>
    </row>
    <row r="28" s="2" customFormat="1" ht="23.25" spans="1:21">
      <c r="A28" s="24"/>
      <c r="B28" s="24"/>
      <c r="C28" s="24"/>
      <c r="D28" s="32" t="s">
        <v>73</v>
      </c>
      <c r="E28" s="33" t="s">
        <v>74</v>
      </c>
      <c r="F28" s="34">
        <v>2</v>
      </c>
      <c r="G28" s="34"/>
      <c r="H28" s="42">
        <v>8</v>
      </c>
      <c r="I28" s="42"/>
      <c r="J28" s="76"/>
      <c r="K28" s="76">
        <f>0.061*F28</f>
        <v>0.122</v>
      </c>
      <c r="L28" s="76"/>
      <c r="M28" s="42">
        <f t="shared" si="2"/>
        <v>0.976</v>
      </c>
      <c r="N28" s="67"/>
      <c r="O28" s="68"/>
      <c r="P28" s="69"/>
      <c r="Q28" s="92"/>
      <c r="R28" s="69"/>
      <c r="S28" s="90"/>
      <c r="T28" s="88"/>
      <c r="U28" s="91"/>
    </row>
    <row r="29" s="2" customFormat="1" ht="22.5" spans="1:21">
      <c r="A29" s="24"/>
      <c r="B29" s="24"/>
      <c r="C29" s="24"/>
      <c r="D29" s="32" t="s">
        <v>75</v>
      </c>
      <c r="E29" s="33" t="s">
        <v>76</v>
      </c>
      <c r="F29" s="34">
        <v>2</v>
      </c>
      <c r="G29" s="34"/>
      <c r="H29" s="42">
        <v>8</v>
      </c>
      <c r="I29" s="42"/>
      <c r="J29" s="76"/>
      <c r="K29" s="76">
        <f>0.048*F29</f>
        <v>0.096</v>
      </c>
      <c r="L29" s="76"/>
      <c r="M29" s="42">
        <f t="shared" si="2"/>
        <v>0.768</v>
      </c>
      <c r="N29" s="67"/>
      <c r="O29" s="68"/>
      <c r="P29" s="69"/>
      <c r="Q29" s="92"/>
      <c r="R29" s="69"/>
      <c r="S29" s="90"/>
      <c r="T29" s="88"/>
      <c r="U29" s="91"/>
    </row>
    <row r="30" s="2" customFormat="1" ht="23" customHeight="1" spans="1:21">
      <c r="A30" s="24"/>
      <c r="B30" s="24"/>
      <c r="C30" s="24"/>
      <c r="D30" s="32" t="s">
        <v>77</v>
      </c>
      <c r="E30" s="33" t="s">
        <v>78</v>
      </c>
      <c r="F30" s="34">
        <v>2</v>
      </c>
      <c r="G30" s="34"/>
      <c r="H30" s="42"/>
      <c r="I30" s="42"/>
      <c r="J30" s="76"/>
      <c r="K30" s="76"/>
      <c r="L30" s="76"/>
      <c r="M30" s="42">
        <f>1.4*F30</f>
        <v>2.8</v>
      </c>
      <c r="N30" s="67" t="s">
        <v>79</v>
      </c>
      <c r="O30" s="71" t="s">
        <v>80</v>
      </c>
      <c r="P30" s="69">
        <v>0.1</v>
      </c>
      <c r="Q30" s="92">
        <v>1</v>
      </c>
      <c r="R30" s="59">
        <f>(P30*Q30)*F28</f>
        <v>0.2</v>
      </c>
      <c r="S30" s="90"/>
      <c r="T30" s="88"/>
      <c r="U30" s="91"/>
    </row>
    <row r="31" s="2" customFormat="1" ht="14.25" spans="1:21">
      <c r="A31" s="24"/>
      <c r="B31" s="24"/>
      <c r="C31" s="24"/>
      <c r="D31" s="32"/>
      <c r="E31" s="32"/>
      <c r="F31" s="34"/>
      <c r="G31" s="34"/>
      <c r="H31" s="42"/>
      <c r="I31" s="42"/>
      <c r="J31" s="76"/>
      <c r="K31" s="76"/>
      <c r="L31" s="76"/>
      <c r="M31" s="42"/>
      <c r="N31" s="67" t="s">
        <v>45</v>
      </c>
      <c r="O31" s="71" t="s">
        <v>46</v>
      </c>
      <c r="P31" s="72">
        <v>440</v>
      </c>
      <c r="Q31" s="92" t="s">
        <v>47</v>
      </c>
      <c r="R31" s="69">
        <f>P31*0.012</f>
        <v>5.28</v>
      </c>
      <c r="S31" s="93"/>
      <c r="T31" s="88"/>
      <c r="U31" s="91"/>
    </row>
    <row r="32" s="2" customFormat="1" ht="24" spans="1:21">
      <c r="A32" s="40"/>
      <c r="B32" s="40"/>
      <c r="C32" s="40"/>
      <c r="D32" s="41" t="s">
        <v>50</v>
      </c>
      <c r="E32" s="22"/>
      <c r="F32" s="21"/>
      <c r="G32" s="21"/>
      <c r="H32" s="21"/>
      <c r="I32" s="21"/>
      <c r="J32" s="21"/>
      <c r="K32" s="21"/>
      <c r="L32" s="21"/>
      <c r="M32" s="43">
        <f>SUM(M15:M31)</f>
        <v>17.24176</v>
      </c>
      <c r="N32" s="74" t="s">
        <v>51</v>
      </c>
      <c r="O32" s="21"/>
      <c r="P32" s="75"/>
      <c r="Q32" s="21"/>
      <c r="R32" s="75">
        <f>SUM(R15:R31)</f>
        <v>9.02</v>
      </c>
      <c r="S32" s="75">
        <f>2.18*0.2</f>
        <v>0.436</v>
      </c>
      <c r="T32" s="88"/>
      <c r="U32" s="94"/>
    </row>
    <row r="33" s="2" customFormat="1" ht="27" customHeight="1" spans="1:21">
      <c r="A33" s="17">
        <v>3</v>
      </c>
      <c r="B33" s="18" t="s">
        <v>81</v>
      </c>
      <c r="C33" s="17"/>
      <c r="D33" s="19" t="s">
        <v>53</v>
      </c>
      <c r="E33" s="20" t="s">
        <v>54</v>
      </c>
      <c r="F33" s="21">
        <v>1</v>
      </c>
      <c r="G33" s="22" t="s">
        <v>37</v>
      </c>
      <c r="H33" s="23">
        <v>4.9</v>
      </c>
      <c r="I33" s="23">
        <v>2.1</v>
      </c>
      <c r="J33" s="54">
        <f>K33*1.15</f>
        <v>1.5272</v>
      </c>
      <c r="K33" s="55">
        <v>1.328</v>
      </c>
      <c r="L33" s="56">
        <f>J33-K33</f>
        <v>0.1992</v>
      </c>
      <c r="M33" s="23">
        <f>H33*J33-I33*L33</f>
        <v>7.06496</v>
      </c>
      <c r="N33" s="57" t="s">
        <v>28</v>
      </c>
      <c r="O33" s="58" t="s">
        <v>38</v>
      </c>
      <c r="P33" s="59">
        <v>0.2</v>
      </c>
      <c r="Q33" s="86">
        <v>1</v>
      </c>
      <c r="R33" s="59">
        <f t="shared" ref="R33:R37" si="3">P33*Q33</f>
        <v>0.2</v>
      </c>
      <c r="S33" s="87"/>
      <c r="T33" s="88">
        <v>1.12</v>
      </c>
      <c r="U33" s="89">
        <f>(M48+R48+S48)*T33</f>
        <v>27.3469952</v>
      </c>
    </row>
    <row r="34" s="2" customFormat="1" ht="14.25" spans="1:21">
      <c r="A34" s="24"/>
      <c r="B34" s="24"/>
      <c r="C34" s="24"/>
      <c r="D34" s="25"/>
      <c r="E34" s="26"/>
      <c r="F34" s="26"/>
      <c r="G34" s="26"/>
      <c r="H34" s="26"/>
      <c r="I34" s="26"/>
      <c r="J34" s="26"/>
      <c r="K34" s="26"/>
      <c r="L34" s="26"/>
      <c r="M34" s="60"/>
      <c r="N34" s="57" t="s">
        <v>55</v>
      </c>
      <c r="O34" s="58" t="s">
        <v>56</v>
      </c>
      <c r="P34" s="59">
        <v>0.24</v>
      </c>
      <c r="Q34" s="86">
        <v>8</v>
      </c>
      <c r="R34" s="59">
        <f t="shared" si="3"/>
        <v>1.92</v>
      </c>
      <c r="S34" s="90"/>
      <c r="T34" s="88"/>
      <c r="U34" s="91"/>
    </row>
    <row r="35" s="2" customFormat="1" ht="14.25" spans="1:21">
      <c r="A35" s="24"/>
      <c r="B35" s="24"/>
      <c r="C35" s="24"/>
      <c r="D35" s="27"/>
      <c r="E35" s="28"/>
      <c r="F35" s="28"/>
      <c r="G35" s="28"/>
      <c r="H35" s="28"/>
      <c r="I35" s="28"/>
      <c r="J35" s="28"/>
      <c r="K35" s="28"/>
      <c r="L35" s="28"/>
      <c r="M35" s="62"/>
      <c r="N35" s="57" t="s">
        <v>39</v>
      </c>
      <c r="O35" s="61" t="s">
        <v>57</v>
      </c>
      <c r="P35" s="59">
        <v>0.12</v>
      </c>
      <c r="Q35" s="86">
        <v>1</v>
      </c>
      <c r="R35" s="59">
        <f t="shared" si="3"/>
        <v>0.12</v>
      </c>
      <c r="S35" s="90"/>
      <c r="T35" s="88"/>
      <c r="U35" s="91"/>
    </row>
    <row r="36" s="2" customFormat="1" ht="14.25" spans="1:21">
      <c r="A36" s="24"/>
      <c r="B36" s="24"/>
      <c r="C36" s="24"/>
      <c r="D36" s="27"/>
      <c r="E36" s="28"/>
      <c r="F36" s="28"/>
      <c r="G36" s="28"/>
      <c r="H36" s="28"/>
      <c r="I36" s="28"/>
      <c r="J36" s="28"/>
      <c r="K36" s="28"/>
      <c r="L36" s="28"/>
      <c r="M36" s="62"/>
      <c r="N36" s="57" t="s">
        <v>41</v>
      </c>
      <c r="O36" s="61" t="s">
        <v>57</v>
      </c>
      <c r="P36" s="59">
        <v>0.12</v>
      </c>
      <c r="Q36" s="86">
        <v>1</v>
      </c>
      <c r="R36" s="59">
        <f t="shared" si="3"/>
        <v>0.12</v>
      </c>
      <c r="S36" s="90"/>
      <c r="T36" s="88"/>
      <c r="U36" s="91"/>
    </row>
    <row r="37" s="2" customFormat="1" ht="14.25" spans="1:21">
      <c r="A37" s="24"/>
      <c r="B37" s="24"/>
      <c r="C37" s="24"/>
      <c r="D37" s="29"/>
      <c r="E37" s="30"/>
      <c r="F37" s="30"/>
      <c r="G37" s="30"/>
      <c r="H37" s="30"/>
      <c r="I37" s="30"/>
      <c r="J37" s="30"/>
      <c r="K37" s="30"/>
      <c r="L37" s="30"/>
      <c r="M37" s="63"/>
      <c r="N37" s="57" t="s">
        <v>58</v>
      </c>
      <c r="O37" s="58" t="s">
        <v>59</v>
      </c>
      <c r="P37" s="59">
        <v>0.17</v>
      </c>
      <c r="Q37" s="86">
        <v>2</v>
      </c>
      <c r="R37" s="59">
        <f t="shared" si="3"/>
        <v>0.34</v>
      </c>
      <c r="S37" s="90"/>
      <c r="T37" s="88"/>
      <c r="U37" s="91"/>
    </row>
    <row r="38" s="2" customFormat="1" ht="24" spans="1:21">
      <c r="A38" s="24"/>
      <c r="B38" s="24"/>
      <c r="C38" s="24"/>
      <c r="D38" s="97" t="s">
        <v>60</v>
      </c>
      <c r="E38" s="33" t="s">
        <v>61</v>
      </c>
      <c r="F38" s="34">
        <v>1</v>
      </c>
      <c r="G38" s="34"/>
      <c r="H38" s="42"/>
      <c r="I38" s="42"/>
      <c r="J38" s="76"/>
      <c r="K38" s="76">
        <v>0.04</v>
      </c>
      <c r="L38" s="76"/>
      <c r="M38" s="42">
        <v>0.88</v>
      </c>
      <c r="N38" s="67"/>
      <c r="O38" s="68"/>
      <c r="P38" s="69"/>
      <c r="Q38" s="92"/>
      <c r="R38" s="69"/>
      <c r="S38" s="90"/>
      <c r="T38" s="88"/>
      <c r="U38" s="91"/>
    </row>
    <row r="39" s="2" customFormat="1" ht="24" spans="1:21">
      <c r="A39" s="24"/>
      <c r="B39" s="24"/>
      <c r="C39" s="24"/>
      <c r="D39" s="97" t="s">
        <v>62</v>
      </c>
      <c r="E39" s="33" t="s">
        <v>63</v>
      </c>
      <c r="F39" s="34">
        <v>1</v>
      </c>
      <c r="G39" s="34"/>
      <c r="H39" s="42"/>
      <c r="I39" s="42"/>
      <c r="J39" s="76"/>
      <c r="K39" s="76">
        <v>0.04</v>
      </c>
      <c r="L39" s="76"/>
      <c r="M39" s="42">
        <v>0.88</v>
      </c>
      <c r="N39" s="67"/>
      <c r="O39" s="68"/>
      <c r="P39" s="69"/>
      <c r="Q39" s="92"/>
      <c r="R39" s="69"/>
      <c r="S39" s="90"/>
      <c r="T39" s="88"/>
      <c r="U39" s="91"/>
    </row>
    <row r="40" s="2" customFormat="1" ht="22.5" spans="1:21">
      <c r="A40" s="24"/>
      <c r="B40" s="24"/>
      <c r="C40" s="24"/>
      <c r="D40" s="32" t="s">
        <v>82</v>
      </c>
      <c r="E40" s="33" t="s">
        <v>83</v>
      </c>
      <c r="F40" s="34">
        <v>2</v>
      </c>
      <c r="G40" s="34"/>
      <c r="H40" s="42">
        <v>8</v>
      </c>
      <c r="I40" s="42"/>
      <c r="J40" s="76"/>
      <c r="K40" s="76">
        <f>0.018*F40</f>
        <v>0.036</v>
      </c>
      <c r="L40" s="76"/>
      <c r="M40" s="42">
        <f t="shared" ref="M40:M46" si="4">H40*K40</f>
        <v>0.288</v>
      </c>
      <c r="N40" s="67"/>
      <c r="O40" s="68"/>
      <c r="P40" s="69"/>
      <c r="Q40" s="92"/>
      <c r="R40" s="69"/>
      <c r="S40" s="90"/>
      <c r="T40" s="88"/>
      <c r="U40" s="91"/>
    </row>
    <row r="41" s="2" customFormat="1" ht="22.5" spans="1:21">
      <c r="A41" s="24"/>
      <c r="B41" s="24"/>
      <c r="C41" s="24"/>
      <c r="D41" s="32" t="s">
        <v>66</v>
      </c>
      <c r="E41" s="33" t="s">
        <v>67</v>
      </c>
      <c r="F41" s="34">
        <v>2</v>
      </c>
      <c r="G41" s="34"/>
      <c r="H41" s="42">
        <v>8</v>
      </c>
      <c r="I41" s="42"/>
      <c r="J41" s="76"/>
      <c r="K41" s="76">
        <f>0.074*F41</f>
        <v>0.148</v>
      </c>
      <c r="L41" s="76"/>
      <c r="M41" s="42">
        <f t="shared" si="4"/>
        <v>1.184</v>
      </c>
      <c r="N41" s="67"/>
      <c r="O41" s="68"/>
      <c r="P41" s="69"/>
      <c r="Q41" s="92"/>
      <c r="R41" s="69"/>
      <c r="S41" s="90"/>
      <c r="T41" s="88"/>
      <c r="U41" s="91"/>
    </row>
    <row r="42" s="2" customFormat="1" ht="23.25" spans="1:21">
      <c r="A42" s="24"/>
      <c r="B42" s="24"/>
      <c r="C42" s="24"/>
      <c r="D42" s="32" t="s">
        <v>71</v>
      </c>
      <c r="E42" s="33" t="s">
        <v>72</v>
      </c>
      <c r="F42" s="34">
        <v>3</v>
      </c>
      <c r="G42" s="34"/>
      <c r="H42" s="42">
        <v>8</v>
      </c>
      <c r="I42" s="42"/>
      <c r="J42" s="76"/>
      <c r="K42" s="76">
        <f>0.063*F42</f>
        <v>0.189</v>
      </c>
      <c r="L42" s="76"/>
      <c r="M42" s="42">
        <f t="shared" si="4"/>
        <v>1.512</v>
      </c>
      <c r="N42" s="67"/>
      <c r="O42" s="68"/>
      <c r="P42" s="69"/>
      <c r="Q42" s="92"/>
      <c r="R42" s="69"/>
      <c r="S42" s="90"/>
      <c r="T42" s="88"/>
      <c r="U42" s="91"/>
    </row>
    <row r="43" s="2" customFormat="1" ht="23.25" spans="1:21">
      <c r="A43" s="24"/>
      <c r="B43" s="24"/>
      <c r="C43" s="24"/>
      <c r="D43" s="32" t="s">
        <v>73</v>
      </c>
      <c r="E43" s="33" t="s">
        <v>74</v>
      </c>
      <c r="F43" s="34">
        <v>2</v>
      </c>
      <c r="G43" s="34"/>
      <c r="H43" s="42">
        <v>8</v>
      </c>
      <c r="I43" s="42"/>
      <c r="J43" s="76"/>
      <c r="K43" s="76">
        <f>0.061*F43</f>
        <v>0.122</v>
      </c>
      <c r="L43" s="76"/>
      <c r="M43" s="42">
        <f t="shared" si="4"/>
        <v>0.976</v>
      </c>
      <c r="N43" s="67"/>
      <c r="O43" s="68"/>
      <c r="P43" s="69"/>
      <c r="Q43" s="92"/>
      <c r="R43" s="69"/>
      <c r="S43" s="90"/>
      <c r="T43" s="88"/>
      <c r="U43" s="91"/>
    </row>
    <row r="44" s="2" customFormat="1" ht="22.5" spans="1:21">
      <c r="A44" s="24"/>
      <c r="B44" s="24"/>
      <c r="C44" s="24"/>
      <c r="D44" s="32" t="s">
        <v>75</v>
      </c>
      <c r="E44" s="33" t="s">
        <v>76</v>
      </c>
      <c r="F44" s="34">
        <v>2</v>
      </c>
      <c r="G44" s="34"/>
      <c r="H44" s="42">
        <v>8</v>
      </c>
      <c r="I44" s="42"/>
      <c r="J44" s="76"/>
      <c r="K44" s="76">
        <f>0.048*F44</f>
        <v>0.096</v>
      </c>
      <c r="L44" s="76"/>
      <c r="M44" s="42">
        <f t="shared" si="4"/>
        <v>0.768</v>
      </c>
      <c r="N44" s="67"/>
      <c r="O44" s="68"/>
      <c r="P44" s="69"/>
      <c r="Q44" s="92"/>
      <c r="R44" s="69"/>
      <c r="S44" s="90"/>
      <c r="T44" s="88"/>
      <c r="U44" s="91"/>
    </row>
    <row r="45" s="2" customFormat="1" ht="22.5" spans="1:21">
      <c r="A45" s="24"/>
      <c r="B45" s="24"/>
      <c r="C45" s="24"/>
      <c r="D45" s="32" t="s">
        <v>64</v>
      </c>
      <c r="E45" s="33" t="s">
        <v>65</v>
      </c>
      <c r="F45" s="34">
        <v>2</v>
      </c>
      <c r="G45" s="34"/>
      <c r="H45" s="42">
        <v>8</v>
      </c>
      <c r="I45" s="42"/>
      <c r="J45" s="76"/>
      <c r="K45" s="76">
        <f>0.065*F45</f>
        <v>0.13</v>
      </c>
      <c r="L45" s="76"/>
      <c r="M45" s="42">
        <f t="shared" si="4"/>
        <v>1.04</v>
      </c>
      <c r="N45" s="67"/>
      <c r="O45" s="68"/>
      <c r="P45" s="69"/>
      <c r="Q45" s="92"/>
      <c r="R45" s="69"/>
      <c r="S45" s="90"/>
      <c r="T45" s="88"/>
      <c r="U45" s="91"/>
    </row>
    <row r="46" s="2" customFormat="1" ht="14.25" spans="1:21">
      <c r="A46" s="24"/>
      <c r="B46" s="24"/>
      <c r="C46" s="24"/>
      <c r="D46" s="32" t="s">
        <v>84</v>
      </c>
      <c r="E46" s="33" t="s">
        <v>85</v>
      </c>
      <c r="F46" s="34">
        <v>2</v>
      </c>
      <c r="G46" s="34"/>
      <c r="H46" s="42">
        <v>8</v>
      </c>
      <c r="I46" s="42"/>
      <c r="J46" s="76"/>
      <c r="K46" s="76">
        <f>0.088*F46</f>
        <v>0.176</v>
      </c>
      <c r="L46" s="76"/>
      <c r="M46" s="42">
        <f t="shared" si="4"/>
        <v>1.408</v>
      </c>
      <c r="N46" s="67"/>
      <c r="O46" s="68"/>
      <c r="P46" s="69"/>
      <c r="Q46" s="92"/>
      <c r="R46" s="69"/>
      <c r="S46" s="90"/>
      <c r="T46" s="88"/>
      <c r="U46" s="91"/>
    </row>
    <row r="47" s="2" customFormat="1" ht="14.25" spans="1:21">
      <c r="A47" s="24"/>
      <c r="B47" s="24"/>
      <c r="C47" s="24"/>
      <c r="D47" s="32"/>
      <c r="E47" s="33"/>
      <c r="F47" s="34"/>
      <c r="G47" s="34"/>
      <c r="H47" s="42"/>
      <c r="I47" s="42"/>
      <c r="J47" s="76"/>
      <c r="K47" s="76"/>
      <c r="L47" s="76"/>
      <c r="M47" s="42"/>
      <c r="N47" s="67" t="s">
        <v>45</v>
      </c>
      <c r="O47" s="71" t="s">
        <v>46</v>
      </c>
      <c r="P47" s="72">
        <v>440</v>
      </c>
      <c r="Q47" s="92" t="s">
        <v>47</v>
      </c>
      <c r="R47" s="69">
        <f>P47*0.012</f>
        <v>5.28</v>
      </c>
      <c r="S47" s="93"/>
      <c r="T47" s="88"/>
      <c r="U47" s="91"/>
    </row>
    <row r="48" s="2" customFormat="1" ht="24" spans="1:21">
      <c r="A48" s="40"/>
      <c r="B48" s="40"/>
      <c r="C48" s="40"/>
      <c r="D48" s="41" t="s">
        <v>50</v>
      </c>
      <c r="E48" s="22"/>
      <c r="F48" s="21"/>
      <c r="G48" s="21"/>
      <c r="H48" s="21"/>
      <c r="I48" s="21"/>
      <c r="J48" s="21"/>
      <c r="K48" s="21"/>
      <c r="L48" s="21"/>
      <c r="M48" s="43">
        <f>SUM(M33:M47)</f>
        <v>16.00096</v>
      </c>
      <c r="N48" s="74" t="s">
        <v>51</v>
      </c>
      <c r="O48" s="21"/>
      <c r="P48" s="75"/>
      <c r="Q48" s="21"/>
      <c r="R48" s="75">
        <f>SUM(R33:R47)</f>
        <v>7.98</v>
      </c>
      <c r="S48" s="75">
        <f>2.18*0.2</f>
        <v>0.436</v>
      </c>
      <c r="T48" s="88"/>
      <c r="U48" s="94"/>
    </row>
    <row r="49" s="2" customFormat="1" ht="27" customHeight="1" spans="1:21">
      <c r="A49" s="24">
        <v>4</v>
      </c>
      <c r="B49" s="44" t="s">
        <v>86</v>
      </c>
      <c r="C49" s="24"/>
      <c r="D49" s="19" t="s">
        <v>87</v>
      </c>
      <c r="E49" s="20" t="s">
        <v>88</v>
      </c>
      <c r="F49" s="21">
        <v>1</v>
      </c>
      <c r="G49" s="22" t="s">
        <v>37</v>
      </c>
      <c r="H49" s="23">
        <v>4.9</v>
      </c>
      <c r="I49" s="23">
        <v>2.1</v>
      </c>
      <c r="J49" s="54">
        <f>K49*1.15</f>
        <v>1.17645</v>
      </c>
      <c r="K49" s="55">
        <v>1.023</v>
      </c>
      <c r="L49" s="56">
        <f>J49-K49</f>
        <v>0.15345</v>
      </c>
      <c r="M49" s="23">
        <f>H49*J49-I49*L49</f>
        <v>5.44236</v>
      </c>
      <c r="N49" s="57" t="s">
        <v>28</v>
      </c>
      <c r="O49" s="58" t="s">
        <v>38</v>
      </c>
      <c r="P49" s="59">
        <v>0.2</v>
      </c>
      <c r="Q49" s="86">
        <v>1</v>
      </c>
      <c r="R49" s="59">
        <f t="shared" ref="R49:R57" si="5">P49*Q49</f>
        <v>0.2</v>
      </c>
      <c r="S49" s="87"/>
      <c r="T49" s="88">
        <v>1.12</v>
      </c>
      <c r="U49" s="89">
        <f>(M71+R71+S71)*T49</f>
        <v>28.7883008</v>
      </c>
    </row>
    <row r="50" s="2" customFormat="1" ht="14.25" spans="1:21">
      <c r="A50" s="24"/>
      <c r="B50" s="44"/>
      <c r="C50" s="24"/>
      <c r="D50" s="25"/>
      <c r="E50" s="26"/>
      <c r="F50" s="26"/>
      <c r="G50" s="26"/>
      <c r="H50" s="26"/>
      <c r="I50" s="26"/>
      <c r="J50" s="26"/>
      <c r="K50" s="26"/>
      <c r="L50" s="26"/>
      <c r="M50" s="60"/>
      <c r="N50" s="57" t="s">
        <v>55</v>
      </c>
      <c r="O50" s="58" t="s">
        <v>56</v>
      </c>
      <c r="P50" s="59">
        <v>0.24</v>
      </c>
      <c r="Q50" s="86">
        <v>5</v>
      </c>
      <c r="R50" s="59">
        <f t="shared" si="5"/>
        <v>1.2</v>
      </c>
      <c r="S50" s="90"/>
      <c r="T50" s="88"/>
      <c r="U50" s="91"/>
    </row>
    <row r="51" s="2" customFormat="1" ht="14.25" spans="1:21">
      <c r="A51" s="24"/>
      <c r="B51" s="44"/>
      <c r="C51" s="24"/>
      <c r="D51" s="27"/>
      <c r="E51" s="28"/>
      <c r="F51" s="28"/>
      <c r="G51" s="28"/>
      <c r="H51" s="28"/>
      <c r="I51" s="28"/>
      <c r="J51" s="28"/>
      <c r="K51" s="28"/>
      <c r="L51" s="28"/>
      <c r="M51" s="62"/>
      <c r="N51" s="57" t="s">
        <v>89</v>
      </c>
      <c r="O51" s="61" t="s">
        <v>57</v>
      </c>
      <c r="P51" s="59">
        <v>0.12</v>
      </c>
      <c r="Q51" s="86">
        <v>1</v>
      </c>
      <c r="R51" s="59">
        <f t="shared" si="5"/>
        <v>0.12</v>
      </c>
      <c r="S51" s="90"/>
      <c r="T51" s="88"/>
      <c r="U51" s="91"/>
    </row>
    <row r="52" s="2" customFormat="1" ht="14.25" spans="1:21">
      <c r="A52" s="24"/>
      <c r="B52" s="44"/>
      <c r="C52" s="24"/>
      <c r="D52" s="27"/>
      <c r="E52" s="28"/>
      <c r="F52" s="28"/>
      <c r="G52" s="28"/>
      <c r="H52" s="28"/>
      <c r="I52" s="28"/>
      <c r="J52" s="28"/>
      <c r="K52" s="28"/>
      <c r="L52" s="28"/>
      <c r="M52" s="62"/>
      <c r="N52" s="57" t="s">
        <v>90</v>
      </c>
      <c r="O52" s="61" t="s">
        <v>57</v>
      </c>
      <c r="P52" s="59">
        <v>0.12</v>
      </c>
      <c r="Q52" s="86">
        <v>1</v>
      </c>
      <c r="R52" s="59">
        <f t="shared" si="5"/>
        <v>0.12</v>
      </c>
      <c r="S52" s="90"/>
      <c r="T52" s="88"/>
      <c r="U52" s="91"/>
    </row>
    <row r="53" s="2" customFormat="1" ht="14.25" spans="1:21">
      <c r="A53" s="24"/>
      <c r="B53" s="44"/>
      <c r="C53" s="24"/>
      <c r="D53" s="27"/>
      <c r="E53" s="28"/>
      <c r="F53" s="28"/>
      <c r="G53" s="28"/>
      <c r="H53" s="28"/>
      <c r="I53" s="28"/>
      <c r="J53" s="28"/>
      <c r="K53" s="28"/>
      <c r="L53" s="28"/>
      <c r="M53" s="62"/>
      <c r="N53" s="57" t="s">
        <v>91</v>
      </c>
      <c r="O53" s="61" t="s">
        <v>57</v>
      </c>
      <c r="P53" s="59">
        <v>0.12</v>
      </c>
      <c r="Q53" s="86">
        <v>1</v>
      </c>
      <c r="R53" s="59">
        <f t="shared" si="5"/>
        <v>0.12</v>
      </c>
      <c r="S53" s="90"/>
      <c r="T53" s="88"/>
      <c r="U53" s="91"/>
    </row>
    <row r="54" s="2" customFormat="1" ht="14.25" spans="1:21">
      <c r="A54" s="24"/>
      <c r="B54" s="44"/>
      <c r="C54" s="24"/>
      <c r="D54" s="27"/>
      <c r="E54" s="28"/>
      <c r="F54" s="28"/>
      <c r="G54" s="28"/>
      <c r="H54" s="28"/>
      <c r="I54" s="28"/>
      <c r="J54" s="28"/>
      <c r="K54" s="28"/>
      <c r="L54" s="28"/>
      <c r="M54" s="62"/>
      <c r="N54" s="57" t="s">
        <v>92</v>
      </c>
      <c r="O54" s="58" t="s">
        <v>40</v>
      </c>
      <c r="P54" s="59">
        <v>0.11</v>
      </c>
      <c r="Q54" s="86">
        <v>1</v>
      </c>
      <c r="R54" s="59">
        <f t="shared" si="5"/>
        <v>0.11</v>
      </c>
      <c r="S54" s="90"/>
      <c r="T54" s="88"/>
      <c r="U54" s="91"/>
    </row>
    <row r="55" s="2" customFormat="1" ht="14.25" spans="1:21">
      <c r="A55" s="24"/>
      <c r="B55" s="44"/>
      <c r="C55" s="24"/>
      <c r="D55" s="29"/>
      <c r="E55" s="30"/>
      <c r="F55" s="30"/>
      <c r="G55" s="30"/>
      <c r="H55" s="30"/>
      <c r="I55" s="30"/>
      <c r="J55" s="30"/>
      <c r="K55" s="30"/>
      <c r="L55" s="30"/>
      <c r="M55" s="63"/>
      <c r="N55" s="57" t="s">
        <v>93</v>
      </c>
      <c r="O55" s="58" t="s">
        <v>57</v>
      </c>
      <c r="P55" s="59">
        <v>0.12</v>
      </c>
      <c r="Q55" s="86">
        <v>1</v>
      </c>
      <c r="R55" s="59">
        <f t="shared" si="5"/>
        <v>0.12</v>
      </c>
      <c r="S55" s="90"/>
      <c r="T55" s="88"/>
      <c r="U55" s="91"/>
    </row>
    <row r="56" s="2" customFormat="1" ht="24" spans="1:21">
      <c r="A56" s="24"/>
      <c r="B56" s="44"/>
      <c r="C56" s="24"/>
      <c r="D56" s="22" t="s">
        <v>94</v>
      </c>
      <c r="E56" s="31" t="s">
        <v>95</v>
      </c>
      <c r="F56" s="21">
        <v>1</v>
      </c>
      <c r="G56" s="21" t="s">
        <v>37</v>
      </c>
      <c r="H56" s="43">
        <v>4.9</v>
      </c>
      <c r="I56" s="23">
        <v>2.1</v>
      </c>
      <c r="J56" s="54">
        <f>K56*1.15</f>
        <v>0.34385</v>
      </c>
      <c r="K56" s="55">
        <v>0.299</v>
      </c>
      <c r="L56" s="56">
        <f>J56-K56</f>
        <v>0.0448499999999999</v>
      </c>
      <c r="M56" s="23">
        <f>H56*J56-I56*L56</f>
        <v>1.59068</v>
      </c>
      <c r="N56" s="57" t="s">
        <v>28</v>
      </c>
      <c r="O56" s="58" t="s">
        <v>38</v>
      </c>
      <c r="P56" s="59">
        <v>0.12</v>
      </c>
      <c r="Q56" s="86">
        <v>1</v>
      </c>
      <c r="R56" s="59">
        <f t="shared" si="5"/>
        <v>0.12</v>
      </c>
      <c r="S56" s="90"/>
      <c r="T56" s="88"/>
      <c r="U56" s="91"/>
    </row>
    <row r="57" s="2" customFormat="1" ht="14.25" spans="1:21">
      <c r="A57" s="24"/>
      <c r="B57" s="44"/>
      <c r="C57" s="24"/>
      <c r="D57" s="45"/>
      <c r="E57" s="46"/>
      <c r="F57" s="46"/>
      <c r="G57" s="46"/>
      <c r="H57" s="46"/>
      <c r="I57" s="46"/>
      <c r="J57" s="46"/>
      <c r="K57" s="46"/>
      <c r="L57" s="46"/>
      <c r="M57" s="78"/>
      <c r="N57" s="57" t="s">
        <v>89</v>
      </c>
      <c r="O57" s="61" t="s">
        <v>57</v>
      </c>
      <c r="P57" s="59">
        <v>0.12</v>
      </c>
      <c r="Q57" s="86">
        <v>1</v>
      </c>
      <c r="R57" s="59">
        <f t="shared" si="5"/>
        <v>0.12</v>
      </c>
      <c r="S57" s="90"/>
      <c r="T57" s="88"/>
      <c r="U57" s="91"/>
    </row>
    <row r="58" s="2" customFormat="1" ht="22.5" spans="1:21">
      <c r="A58" s="24"/>
      <c r="B58" s="44"/>
      <c r="C58" s="24"/>
      <c r="D58" s="22" t="s">
        <v>68</v>
      </c>
      <c r="E58" s="31" t="s">
        <v>69</v>
      </c>
      <c r="F58" s="21">
        <v>4</v>
      </c>
      <c r="G58" s="21" t="s">
        <v>70</v>
      </c>
      <c r="H58" s="43">
        <v>4.5</v>
      </c>
      <c r="I58" s="43">
        <v>2.1</v>
      </c>
      <c r="J58" s="77">
        <f>0.009*F58</f>
        <v>0.036</v>
      </c>
      <c r="K58" s="77">
        <f>0.006*F58</f>
        <v>0.024</v>
      </c>
      <c r="L58" s="56">
        <f>J58-K58</f>
        <v>0.012</v>
      </c>
      <c r="M58" s="23">
        <f>H58*J58-I58*L58</f>
        <v>0.1368</v>
      </c>
      <c r="N58" s="57" t="s">
        <v>28</v>
      </c>
      <c r="O58" s="58" t="s">
        <v>29</v>
      </c>
      <c r="P58" s="59">
        <v>0.05</v>
      </c>
      <c r="Q58" s="86">
        <v>1</v>
      </c>
      <c r="R58" s="59">
        <f>(P58*Q58)*F58</f>
        <v>0.2</v>
      </c>
      <c r="S58" s="90"/>
      <c r="T58" s="88"/>
      <c r="U58" s="91"/>
    </row>
    <row r="59" s="2" customFormat="1" ht="14.25" spans="1:21">
      <c r="A59" s="24"/>
      <c r="B59" s="44"/>
      <c r="C59" s="24"/>
      <c r="D59" s="25"/>
      <c r="E59" s="26"/>
      <c r="F59" s="26"/>
      <c r="G59" s="26"/>
      <c r="H59" s="26"/>
      <c r="I59" s="26"/>
      <c r="J59" s="26"/>
      <c r="K59" s="26"/>
      <c r="L59" s="26"/>
      <c r="M59" s="60"/>
      <c r="N59" s="57" t="s">
        <v>30</v>
      </c>
      <c r="O59" s="61" t="s">
        <v>33</v>
      </c>
      <c r="P59" s="59">
        <v>0.08</v>
      </c>
      <c r="Q59" s="86">
        <v>1</v>
      </c>
      <c r="R59" s="59">
        <f>(P59*Q59)*F58</f>
        <v>0.32</v>
      </c>
      <c r="S59" s="90"/>
      <c r="T59" s="88"/>
      <c r="U59" s="91"/>
    </row>
    <row r="60" s="2" customFormat="1" ht="14.25" spans="1:21">
      <c r="A60" s="24"/>
      <c r="B60" s="44"/>
      <c r="C60" s="24"/>
      <c r="D60" s="29"/>
      <c r="E60" s="30"/>
      <c r="F60" s="30"/>
      <c r="G60" s="30"/>
      <c r="H60" s="30"/>
      <c r="I60" s="30"/>
      <c r="J60" s="30"/>
      <c r="K60" s="30"/>
      <c r="L60" s="30"/>
      <c r="M60" s="63"/>
      <c r="N60" s="57" t="s">
        <v>32</v>
      </c>
      <c r="O60" s="61" t="s">
        <v>33</v>
      </c>
      <c r="P60" s="59">
        <v>0.08</v>
      </c>
      <c r="Q60" s="86">
        <v>1</v>
      </c>
      <c r="R60" s="59">
        <f>(P60*Q60)*F58</f>
        <v>0.32</v>
      </c>
      <c r="S60" s="90"/>
      <c r="T60" s="88"/>
      <c r="U60" s="91"/>
    </row>
    <row r="61" s="2" customFormat="1" ht="24" spans="1:21">
      <c r="A61" s="24"/>
      <c r="B61" s="44"/>
      <c r="C61" s="24"/>
      <c r="D61" s="97" t="s">
        <v>60</v>
      </c>
      <c r="E61" s="33" t="s">
        <v>61</v>
      </c>
      <c r="F61" s="34">
        <v>1</v>
      </c>
      <c r="G61" s="34"/>
      <c r="H61" s="42"/>
      <c r="I61" s="42"/>
      <c r="J61" s="76"/>
      <c r="K61" s="76">
        <v>0.04</v>
      </c>
      <c r="L61" s="76"/>
      <c r="M61" s="42">
        <v>0.88</v>
      </c>
      <c r="N61" s="67"/>
      <c r="O61" s="68"/>
      <c r="P61" s="69"/>
      <c r="Q61" s="92"/>
      <c r="R61" s="69"/>
      <c r="S61" s="90"/>
      <c r="T61" s="88"/>
      <c r="U61" s="91"/>
    </row>
    <row r="62" s="2" customFormat="1" ht="24" spans="1:21">
      <c r="A62" s="24"/>
      <c r="B62" s="44"/>
      <c r="C62" s="24"/>
      <c r="D62" s="97" t="s">
        <v>62</v>
      </c>
      <c r="E62" s="33" t="s">
        <v>63</v>
      </c>
      <c r="F62" s="34">
        <v>1</v>
      </c>
      <c r="G62" s="34"/>
      <c r="H62" s="42"/>
      <c r="I62" s="42"/>
      <c r="J62" s="76"/>
      <c r="K62" s="76">
        <v>0.04</v>
      </c>
      <c r="L62" s="76"/>
      <c r="M62" s="42">
        <v>0.88</v>
      </c>
      <c r="N62" s="67"/>
      <c r="O62" s="68"/>
      <c r="P62" s="69"/>
      <c r="Q62" s="92"/>
      <c r="R62" s="69"/>
      <c r="S62" s="90"/>
      <c r="T62" s="88"/>
      <c r="U62" s="91"/>
    </row>
    <row r="63" s="2" customFormat="1" ht="22.5" spans="1:21">
      <c r="A63" s="24"/>
      <c r="B63" s="44"/>
      <c r="C63" s="24"/>
      <c r="D63" s="32" t="s">
        <v>96</v>
      </c>
      <c r="E63" s="33" t="s">
        <v>97</v>
      </c>
      <c r="F63" s="34">
        <v>2</v>
      </c>
      <c r="G63" s="34"/>
      <c r="H63" s="42">
        <v>8</v>
      </c>
      <c r="I63" s="42"/>
      <c r="J63" s="76"/>
      <c r="K63" s="76">
        <f>0.066*F63</f>
        <v>0.132</v>
      </c>
      <c r="L63" s="76"/>
      <c r="M63" s="42">
        <f t="shared" ref="M63:M69" si="6">H63*K63</f>
        <v>1.056</v>
      </c>
      <c r="N63" s="67"/>
      <c r="O63" s="68"/>
      <c r="P63" s="69"/>
      <c r="Q63" s="92"/>
      <c r="R63" s="69"/>
      <c r="S63" s="90"/>
      <c r="T63" s="88"/>
      <c r="U63" s="91"/>
    </row>
    <row r="64" s="2" customFormat="1" ht="22.5" spans="1:21">
      <c r="A64" s="24"/>
      <c r="B64" s="44"/>
      <c r="C64" s="24"/>
      <c r="D64" s="32" t="s">
        <v>98</v>
      </c>
      <c r="E64" s="33" t="s">
        <v>99</v>
      </c>
      <c r="F64" s="34">
        <v>2</v>
      </c>
      <c r="G64" s="34"/>
      <c r="H64" s="42">
        <v>8</v>
      </c>
      <c r="I64" s="42"/>
      <c r="J64" s="76"/>
      <c r="K64" s="76">
        <f>0.016*F64</f>
        <v>0.032</v>
      </c>
      <c r="L64" s="76"/>
      <c r="M64" s="42">
        <f t="shared" si="6"/>
        <v>0.256</v>
      </c>
      <c r="N64" s="67"/>
      <c r="O64" s="68"/>
      <c r="P64" s="69"/>
      <c r="Q64" s="92"/>
      <c r="R64" s="69"/>
      <c r="S64" s="90"/>
      <c r="T64" s="88"/>
      <c r="U64" s="91"/>
    </row>
    <row r="65" s="2" customFormat="1" ht="22.5" spans="1:21">
      <c r="A65" s="24"/>
      <c r="B65" s="44"/>
      <c r="C65" s="24"/>
      <c r="D65" s="32" t="s">
        <v>100</v>
      </c>
      <c r="E65" s="33" t="s">
        <v>101</v>
      </c>
      <c r="F65" s="34">
        <v>2</v>
      </c>
      <c r="G65" s="34"/>
      <c r="H65" s="42">
        <v>8</v>
      </c>
      <c r="I65" s="42"/>
      <c r="J65" s="76"/>
      <c r="K65" s="76">
        <f>0.05*F65</f>
        <v>0.1</v>
      </c>
      <c r="L65" s="76"/>
      <c r="M65" s="42">
        <f t="shared" si="6"/>
        <v>0.8</v>
      </c>
      <c r="N65" s="67"/>
      <c r="O65" s="68"/>
      <c r="P65" s="69"/>
      <c r="Q65" s="92"/>
      <c r="R65" s="69"/>
      <c r="S65" s="90"/>
      <c r="T65" s="88"/>
      <c r="U65" s="91"/>
    </row>
    <row r="66" s="2" customFormat="1" ht="14.25" spans="1:21">
      <c r="A66" s="24"/>
      <c r="B66" s="44"/>
      <c r="C66" s="24"/>
      <c r="D66" s="32" t="s">
        <v>102</v>
      </c>
      <c r="E66" s="33" t="s">
        <v>103</v>
      </c>
      <c r="F66" s="34">
        <v>1</v>
      </c>
      <c r="G66" s="34"/>
      <c r="H66" s="42">
        <v>8</v>
      </c>
      <c r="I66" s="42"/>
      <c r="J66" s="76"/>
      <c r="K66" s="76">
        <f>0.076*F66</f>
        <v>0.076</v>
      </c>
      <c r="L66" s="76"/>
      <c r="M66" s="42">
        <f t="shared" si="6"/>
        <v>0.608</v>
      </c>
      <c r="N66" s="67"/>
      <c r="O66" s="68"/>
      <c r="P66" s="69"/>
      <c r="Q66" s="92"/>
      <c r="R66" s="69"/>
      <c r="S66" s="90"/>
      <c r="T66" s="88"/>
      <c r="U66" s="91"/>
    </row>
    <row r="67" s="2" customFormat="1" ht="22.5" spans="1:21">
      <c r="A67" s="24"/>
      <c r="B67" s="44"/>
      <c r="C67" s="24"/>
      <c r="D67" s="32" t="s">
        <v>75</v>
      </c>
      <c r="E67" s="33" t="s">
        <v>76</v>
      </c>
      <c r="F67" s="34">
        <v>2</v>
      </c>
      <c r="G67" s="34"/>
      <c r="H67" s="42">
        <v>8</v>
      </c>
      <c r="I67" s="42"/>
      <c r="J67" s="76"/>
      <c r="K67" s="76">
        <f>0.048*F67</f>
        <v>0.096</v>
      </c>
      <c r="L67" s="76"/>
      <c r="M67" s="42">
        <f t="shared" si="6"/>
        <v>0.768</v>
      </c>
      <c r="N67" s="67"/>
      <c r="O67" s="68"/>
      <c r="P67" s="69"/>
      <c r="Q67" s="92"/>
      <c r="R67" s="69"/>
      <c r="S67" s="90"/>
      <c r="T67" s="88"/>
      <c r="U67" s="91"/>
    </row>
    <row r="68" s="2" customFormat="1" ht="22.5" spans="1:21">
      <c r="A68" s="24"/>
      <c r="B68" s="44"/>
      <c r="C68" s="24"/>
      <c r="D68" s="32" t="s">
        <v>64</v>
      </c>
      <c r="E68" s="33" t="s">
        <v>65</v>
      </c>
      <c r="F68" s="34">
        <v>2</v>
      </c>
      <c r="G68" s="34"/>
      <c r="H68" s="42">
        <v>8</v>
      </c>
      <c r="I68" s="42"/>
      <c r="J68" s="76"/>
      <c r="K68" s="76">
        <f>0.065*F68</f>
        <v>0.13</v>
      </c>
      <c r="L68" s="76"/>
      <c r="M68" s="42">
        <f t="shared" si="6"/>
        <v>1.04</v>
      </c>
      <c r="N68" s="67"/>
      <c r="O68" s="68"/>
      <c r="P68" s="69"/>
      <c r="Q68" s="92"/>
      <c r="R68" s="69"/>
      <c r="S68" s="90"/>
      <c r="T68" s="88"/>
      <c r="U68" s="91"/>
    </row>
    <row r="69" s="2" customFormat="1" ht="22.5" spans="1:21">
      <c r="A69" s="24"/>
      <c r="B69" s="44"/>
      <c r="C69" s="24"/>
      <c r="D69" s="32" t="s">
        <v>77</v>
      </c>
      <c r="E69" s="33" t="s">
        <v>78</v>
      </c>
      <c r="F69" s="34">
        <v>2</v>
      </c>
      <c r="G69" s="34"/>
      <c r="H69" s="42"/>
      <c r="I69" s="42"/>
      <c r="J69" s="76"/>
      <c r="K69" s="76">
        <f>0.053*F69</f>
        <v>0.106</v>
      </c>
      <c r="L69" s="76"/>
      <c r="M69" s="42">
        <f>1.4*F69</f>
        <v>2.8</v>
      </c>
      <c r="N69" s="67" t="s">
        <v>79</v>
      </c>
      <c r="O69" s="71" t="s">
        <v>80</v>
      </c>
      <c r="P69" s="69">
        <v>0.1</v>
      </c>
      <c r="Q69" s="92">
        <v>1</v>
      </c>
      <c r="R69" s="59">
        <f>(P69*Q69)*F69</f>
        <v>0.2</v>
      </c>
      <c r="S69" s="90"/>
      <c r="T69" s="88"/>
      <c r="U69" s="91"/>
    </row>
    <row r="70" s="2" customFormat="1" ht="23" customHeight="1" spans="1:21">
      <c r="A70" s="24"/>
      <c r="B70" s="44"/>
      <c r="C70" s="24"/>
      <c r="D70" s="32"/>
      <c r="E70" s="33"/>
      <c r="F70" s="34"/>
      <c r="G70" s="34"/>
      <c r="H70" s="42"/>
      <c r="I70" s="42"/>
      <c r="J70" s="76"/>
      <c r="K70" s="76"/>
      <c r="L70" s="76"/>
      <c r="M70" s="42"/>
      <c r="N70" s="67" t="s">
        <v>45</v>
      </c>
      <c r="O70" s="71" t="s">
        <v>46</v>
      </c>
      <c r="P70" s="72">
        <v>480</v>
      </c>
      <c r="Q70" s="92" t="s">
        <v>47</v>
      </c>
      <c r="R70" s="69">
        <f>P70*0.012</f>
        <v>5.76</v>
      </c>
      <c r="S70" s="93"/>
      <c r="T70" s="88"/>
      <c r="U70" s="91"/>
    </row>
    <row r="71" s="2" customFormat="1" ht="24" spans="1:21">
      <c r="A71" s="40"/>
      <c r="B71" s="95"/>
      <c r="C71" s="40"/>
      <c r="D71" s="41" t="s">
        <v>50</v>
      </c>
      <c r="E71" s="22"/>
      <c r="F71" s="21"/>
      <c r="G71" s="21"/>
      <c r="H71" s="21"/>
      <c r="I71" s="21"/>
      <c r="J71" s="21"/>
      <c r="K71" s="21"/>
      <c r="L71" s="21"/>
      <c r="M71" s="43">
        <f>SUM(M49:M70)</f>
        <v>16.25784</v>
      </c>
      <c r="N71" s="74" t="s">
        <v>51</v>
      </c>
      <c r="O71" s="21"/>
      <c r="P71" s="75"/>
      <c r="Q71" s="21"/>
      <c r="R71" s="75">
        <f>SUM(R49:R70)</f>
        <v>9.03</v>
      </c>
      <c r="S71" s="75">
        <f>2.08*0.2</f>
        <v>0.416</v>
      </c>
      <c r="T71" s="88"/>
      <c r="U71" s="94"/>
    </row>
    <row r="72" s="2" customFormat="1" ht="27" customHeight="1" spans="1:21">
      <c r="A72" s="24">
        <v>5</v>
      </c>
      <c r="B72" s="44" t="s">
        <v>104</v>
      </c>
      <c r="C72" s="24"/>
      <c r="D72" s="19" t="s">
        <v>105</v>
      </c>
      <c r="E72" s="20" t="s">
        <v>106</v>
      </c>
      <c r="F72" s="21">
        <v>1</v>
      </c>
      <c r="G72" s="22" t="s">
        <v>37</v>
      </c>
      <c r="H72" s="23">
        <v>4.9</v>
      </c>
      <c r="I72" s="23">
        <v>2.1</v>
      </c>
      <c r="J72" s="54">
        <f>K72*1.15</f>
        <v>0.9798</v>
      </c>
      <c r="K72" s="55">
        <v>0.852</v>
      </c>
      <c r="L72" s="56">
        <f>J72-K72</f>
        <v>0.1278</v>
      </c>
      <c r="M72" s="23">
        <f>H72*J72-I72*L72</f>
        <v>4.53264</v>
      </c>
      <c r="N72" s="57" t="s">
        <v>28</v>
      </c>
      <c r="O72" s="58" t="s">
        <v>38</v>
      </c>
      <c r="P72" s="59">
        <v>0.2</v>
      </c>
      <c r="Q72" s="86">
        <v>1</v>
      </c>
      <c r="R72" s="59">
        <f t="shared" ref="R72:R75" si="7">P72*Q72</f>
        <v>0.2</v>
      </c>
      <c r="S72" s="59"/>
      <c r="T72" s="88">
        <v>1.12</v>
      </c>
      <c r="U72" s="89">
        <f>(M84+R84+S84)*T72</f>
        <v>17.1956288</v>
      </c>
    </row>
    <row r="73" s="2" customFormat="1" ht="14.25" spans="1:21">
      <c r="A73" s="24"/>
      <c r="B73" s="44"/>
      <c r="C73" s="24"/>
      <c r="D73" s="45"/>
      <c r="E73" s="46"/>
      <c r="F73" s="46"/>
      <c r="G73" s="46"/>
      <c r="H73" s="46"/>
      <c r="I73" s="46"/>
      <c r="J73" s="46"/>
      <c r="K73" s="46"/>
      <c r="L73" s="46"/>
      <c r="M73" s="78"/>
      <c r="N73" s="57" t="s">
        <v>55</v>
      </c>
      <c r="O73" s="58" t="s">
        <v>56</v>
      </c>
      <c r="P73" s="59">
        <v>0.24</v>
      </c>
      <c r="Q73" s="86">
        <v>2</v>
      </c>
      <c r="R73" s="59">
        <f t="shared" si="7"/>
        <v>0.48</v>
      </c>
      <c r="S73" s="59"/>
      <c r="T73" s="88"/>
      <c r="U73" s="91"/>
    </row>
    <row r="74" s="2" customFormat="1" ht="14.25" spans="1:21">
      <c r="A74" s="24"/>
      <c r="B74" s="44"/>
      <c r="C74" s="24"/>
      <c r="D74" s="22" t="s">
        <v>107</v>
      </c>
      <c r="E74" s="31" t="s">
        <v>108</v>
      </c>
      <c r="F74" s="21">
        <v>1</v>
      </c>
      <c r="G74" s="21" t="s">
        <v>37</v>
      </c>
      <c r="H74" s="43">
        <v>4.9</v>
      </c>
      <c r="I74" s="23">
        <v>2.1</v>
      </c>
      <c r="J74" s="54">
        <f>K74*1.15</f>
        <v>0.35075</v>
      </c>
      <c r="K74" s="55">
        <v>0.305</v>
      </c>
      <c r="L74" s="56">
        <f>J74-K74</f>
        <v>0.04575</v>
      </c>
      <c r="M74" s="23">
        <f>H74*J74-I74*L74</f>
        <v>1.6226</v>
      </c>
      <c r="N74" s="57" t="s">
        <v>28</v>
      </c>
      <c r="O74" s="58" t="s">
        <v>38</v>
      </c>
      <c r="P74" s="59">
        <v>0.12</v>
      </c>
      <c r="Q74" s="86">
        <v>1</v>
      </c>
      <c r="R74" s="59">
        <f t="shared" si="7"/>
        <v>0.12</v>
      </c>
      <c r="S74" s="59"/>
      <c r="T74" s="88"/>
      <c r="U74" s="91"/>
    </row>
    <row r="75" s="2" customFormat="1" ht="14.25" spans="1:21">
      <c r="A75" s="24"/>
      <c r="B75" s="44"/>
      <c r="C75" s="24"/>
      <c r="D75" s="45"/>
      <c r="E75" s="46"/>
      <c r="F75" s="46"/>
      <c r="G75" s="46"/>
      <c r="H75" s="46"/>
      <c r="I75" s="46"/>
      <c r="J75" s="46"/>
      <c r="K75" s="46"/>
      <c r="L75" s="46"/>
      <c r="M75" s="78"/>
      <c r="N75" s="57" t="s">
        <v>89</v>
      </c>
      <c r="O75" s="61" t="s">
        <v>57</v>
      </c>
      <c r="P75" s="59">
        <v>0.12</v>
      </c>
      <c r="Q75" s="86">
        <v>1</v>
      </c>
      <c r="R75" s="59">
        <f t="shared" si="7"/>
        <v>0.12</v>
      </c>
      <c r="S75" s="59"/>
      <c r="T75" s="88"/>
      <c r="U75" s="91"/>
    </row>
    <row r="76" s="2" customFormat="1" ht="22.5" spans="1:21">
      <c r="A76" s="24"/>
      <c r="B76" s="44"/>
      <c r="C76" s="24"/>
      <c r="D76" s="32" t="s">
        <v>109</v>
      </c>
      <c r="E76" s="33" t="s">
        <v>110</v>
      </c>
      <c r="F76" s="34">
        <v>1</v>
      </c>
      <c r="G76" s="34"/>
      <c r="H76" s="42">
        <v>8</v>
      </c>
      <c r="I76" s="42"/>
      <c r="J76" s="76"/>
      <c r="K76" s="76">
        <f>0.048*F76</f>
        <v>0.048</v>
      </c>
      <c r="L76" s="76"/>
      <c r="M76" s="42">
        <f t="shared" ref="M76:M82" si="8">H76*K76</f>
        <v>0.384</v>
      </c>
      <c r="N76" s="67"/>
      <c r="O76" s="68"/>
      <c r="P76" s="69"/>
      <c r="Q76" s="92"/>
      <c r="R76" s="69"/>
      <c r="S76" s="59"/>
      <c r="T76" s="88"/>
      <c r="U76" s="91"/>
    </row>
    <row r="77" s="2" customFormat="1" ht="22.5" spans="1:21">
      <c r="A77" s="24"/>
      <c r="B77" s="44"/>
      <c r="C77" s="24"/>
      <c r="D77" s="32" t="s">
        <v>111</v>
      </c>
      <c r="E77" s="33" t="s">
        <v>112</v>
      </c>
      <c r="F77" s="34">
        <v>2</v>
      </c>
      <c r="G77" s="34"/>
      <c r="H77" s="42">
        <v>8</v>
      </c>
      <c r="I77" s="42"/>
      <c r="J77" s="76"/>
      <c r="K77" s="76">
        <f>0.02*F77</f>
        <v>0.04</v>
      </c>
      <c r="L77" s="76"/>
      <c r="M77" s="42">
        <f t="shared" si="8"/>
        <v>0.32</v>
      </c>
      <c r="N77" s="67"/>
      <c r="O77" s="68"/>
      <c r="P77" s="69"/>
      <c r="Q77" s="92"/>
      <c r="R77" s="69"/>
      <c r="S77" s="59"/>
      <c r="T77" s="88"/>
      <c r="U77" s="91"/>
    </row>
    <row r="78" s="2" customFormat="1" ht="22.5" spans="1:21">
      <c r="A78" s="24"/>
      <c r="B78" s="44"/>
      <c r="C78" s="24"/>
      <c r="D78" s="32" t="s">
        <v>113</v>
      </c>
      <c r="E78" s="33" t="s">
        <v>114</v>
      </c>
      <c r="F78" s="34">
        <v>2</v>
      </c>
      <c r="G78" s="34"/>
      <c r="H78" s="42">
        <v>8</v>
      </c>
      <c r="I78" s="42"/>
      <c r="J78" s="76"/>
      <c r="K78" s="76">
        <f>0.061*F78</f>
        <v>0.122</v>
      </c>
      <c r="L78" s="76"/>
      <c r="M78" s="42">
        <f t="shared" si="8"/>
        <v>0.976</v>
      </c>
      <c r="N78" s="67"/>
      <c r="O78" s="68"/>
      <c r="P78" s="69"/>
      <c r="Q78" s="92"/>
      <c r="R78" s="69"/>
      <c r="S78" s="59"/>
      <c r="T78" s="88"/>
      <c r="U78" s="91"/>
    </row>
    <row r="79" s="2" customFormat="1" ht="22.5" spans="1:21">
      <c r="A79" s="24"/>
      <c r="B79" s="44"/>
      <c r="C79" s="24"/>
      <c r="D79" s="32" t="s">
        <v>115</v>
      </c>
      <c r="E79" s="33" t="s">
        <v>116</v>
      </c>
      <c r="F79" s="34">
        <v>2</v>
      </c>
      <c r="G79" s="34"/>
      <c r="H79" s="42">
        <v>8</v>
      </c>
      <c r="I79" s="42"/>
      <c r="J79" s="76"/>
      <c r="K79" s="76">
        <f>0.091*F79</f>
        <v>0.182</v>
      </c>
      <c r="L79" s="76"/>
      <c r="M79" s="42">
        <f t="shared" si="8"/>
        <v>1.456</v>
      </c>
      <c r="N79" s="67"/>
      <c r="O79" s="68"/>
      <c r="P79" s="69"/>
      <c r="Q79" s="92"/>
      <c r="R79" s="69"/>
      <c r="S79" s="59"/>
      <c r="T79" s="88"/>
      <c r="U79" s="91"/>
    </row>
    <row r="80" s="2" customFormat="1" ht="22.5" spans="1:21">
      <c r="A80" s="24"/>
      <c r="B80" s="44"/>
      <c r="C80" s="24"/>
      <c r="D80" s="32" t="s">
        <v>117</v>
      </c>
      <c r="E80" s="33" t="s">
        <v>118</v>
      </c>
      <c r="F80" s="34">
        <v>2</v>
      </c>
      <c r="G80" s="34"/>
      <c r="H80" s="42">
        <v>8</v>
      </c>
      <c r="I80" s="42"/>
      <c r="J80" s="76"/>
      <c r="K80" s="76">
        <f>0.101*F80</f>
        <v>0.202</v>
      </c>
      <c r="L80" s="76"/>
      <c r="M80" s="42">
        <f t="shared" si="8"/>
        <v>1.616</v>
      </c>
      <c r="N80" s="67"/>
      <c r="O80" s="68"/>
      <c r="P80" s="69"/>
      <c r="Q80" s="92"/>
      <c r="R80" s="69"/>
      <c r="S80" s="59"/>
      <c r="T80" s="88"/>
      <c r="U80" s="91"/>
    </row>
    <row r="81" s="2" customFormat="1" ht="22.5" spans="1:21">
      <c r="A81" s="24"/>
      <c r="B81" s="44"/>
      <c r="C81" s="24"/>
      <c r="D81" s="32" t="s">
        <v>119</v>
      </c>
      <c r="E81" s="33" t="s">
        <v>120</v>
      </c>
      <c r="F81" s="34">
        <v>3</v>
      </c>
      <c r="G81" s="34"/>
      <c r="H81" s="42">
        <v>8</v>
      </c>
      <c r="I81" s="42"/>
      <c r="J81" s="76"/>
      <c r="K81" s="76">
        <f>0.041*F81</f>
        <v>0.123</v>
      </c>
      <c r="L81" s="76"/>
      <c r="M81" s="42">
        <f t="shared" si="8"/>
        <v>0.984</v>
      </c>
      <c r="N81" s="67"/>
      <c r="O81" s="68"/>
      <c r="P81" s="69"/>
      <c r="Q81" s="92"/>
      <c r="R81" s="69"/>
      <c r="S81" s="59"/>
      <c r="T81" s="88"/>
      <c r="U81" s="91"/>
    </row>
    <row r="82" s="2" customFormat="1" ht="22.5" spans="1:21">
      <c r="A82" s="24"/>
      <c r="B82" s="44"/>
      <c r="C82" s="24"/>
      <c r="D82" s="32" t="s">
        <v>121</v>
      </c>
      <c r="E82" s="33" t="s">
        <v>122</v>
      </c>
      <c r="F82" s="34">
        <v>1</v>
      </c>
      <c r="G82" s="34"/>
      <c r="H82" s="42">
        <v>8</v>
      </c>
      <c r="I82" s="42"/>
      <c r="J82" s="76"/>
      <c r="K82" s="76">
        <f>0.031*F82</f>
        <v>0.031</v>
      </c>
      <c r="L82" s="76"/>
      <c r="M82" s="42">
        <f t="shared" si="8"/>
        <v>0.248</v>
      </c>
      <c r="N82" s="67"/>
      <c r="O82" s="71"/>
      <c r="P82" s="69"/>
      <c r="Q82" s="92"/>
      <c r="R82" s="69"/>
      <c r="S82" s="59"/>
      <c r="T82" s="88"/>
      <c r="U82" s="91"/>
    </row>
    <row r="83" s="2" customFormat="1" ht="19" customHeight="1" spans="1:21">
      <c r="A83" s="24"/>
      <c r="B83" s="44"/>
      <c r="C83" s="24"/>
      <c r="D83" s="32"/>
      <c r="E83" s="33"/>
      <c r="F83" s="34"/>
      <c r="G83" s="34"/>
      <c r="H83" s="42"/>
      <c r="I83" s="42"/>
      <c r="J83" s="76"/>
      <c r="K83" s="76"/>
      <c r="L83" s="76"/>
      <c r="M83" s="42"/>
      <c r="N83" s="67" t="s">
        <v>45</v>
      </c>
      <c r="O83" s="71" t="s">
        <v>46</v>
      </c>
      <c r="P83" s="72">
        <v>160</v>
      </c>
      <c r="Q83" s="92" t="s">
        <v>47</v>
      </c>
      <c r="R83" s="69">
        <f>P83*0.012</f>
        <v>1.92</v>
      </c>
      <c r="S83" s="59"/>
      <c r="T83" s="88"/>
      <c r="U83" s="91"/>
    </row>
    <row r="84" s="2" customFormat="1" ht="24" spans="1:21">
      <c r="A84" s="40"/>
      <c r="B84" s="95"/>
      <c r="C84" s="40"/>
      <c r="D84" s="41" t="s">
        <v>50</v>
      </c>
      <c r="E84" s="22"/>
      <c r="F84" s="21"/>
      <c r="G84" s="21"/>
      <c r="H84" s="21"/>
      <c r="I84" s="21"/>
      <c r="J84" s="21"/>
      <c r="K84" s="21"/>
      <c r="L84" s="21"/>
      <c r="M84" s="43">
        <f>SUM(M72:M83)</f>
        <v>12.13924</v>
      </c>
      <c r="N84" s="74" t="s">
        <v>51</v>
      </c>
      <c r="O84" s="21"/>
      <c r="P84" s="75"/>
      <c r="Q84" s="21"/>
      <c r="R84" s="75">
        <f>SUM(R72:R83)</f>
        <v>2.84</v>
      </c>
      <c r="S84" s="59">
        <f>1.87*0.2</f>
        <v>0.374</v>
      </c>
      <c r="T84" s="88"/>
      <c r="U84" s="94"/>
    </row>
    <row r="85" s="2" customFormat="1" ht="27" customHeight="1" spans="1:21">
      <c r="A85" s="24">
        <v>6</v>
      </c>
      <c r="B85" s="44" t="s">
        <v>123</v>
      </c>
      <c r="C85" s="24"/>
      <c r="D85" s="19" t="s">
        <v>105</v>
      </c>
      <c r="E85" s="20" t="s">
        <v>106</v>
      </c>
      <c r="F85" s="21">
        <v>1</v>
      </c>
      <c r="G85" s="22" t="s">
        <v>37</v>
      </c>
      <c r="H85" s="23">
        <v>4.9</v>
      </c>
      <c r="I85" s="23">
        <v>2.1</v>
      </c>
      <c r="J85" s="54">
        <f>K85*1.15</f>
        <v>0.9499</v>
      </c>
      <c r="K85" s="55">
        <v>0.826</v>
      </c>
      <c r="L85" s="56">
        <f>J85-K85</f>
        <v>0.1239</v>
      </c>
      <c r="M85" s="23">
        <f>H85*J85-I85*L85</f>
        <v>4.39432</v>
      </c>
      <c r="N85" s="57" t="s">
        <v>28</v>
      </c>
      <c r="O85" s="58" t="s">
        <v>38</v>
      </c>
      <c r="P85" s="59">
        <v>0.2</v>
      </c>
      <c r="Q85" s="86">
        <v>1</v>
      </c>
      <c r="R85" s="59">
        <f t="shared" ref="R85:R88" si="9">P85*Q85</f>
        <v>0.2</v>
      </c>
      <c r="S85" s="87"/>
      <c r="T85" s="88">
        <v>1.12</v>
      </c>
      <c r="U85" s="89">
        <f>(M97+R97+S97)*T85</f>
        <v>16.8626304</v>
      </c>
    </row>
    <row r="86" s="2" customFormat="1" ht="14.25" spans="1:21">
      <c r="A86" s="24"/>
      <c r="B86" s="44"/>
      <c r="C86" s="24"/>
      <c r="D86" s="45"/>
      <c r="E86" s="46"/>
      <c r="F86" s="46"/>
      <c r="G86" s="46"/>
      <c r="H86" s="46"/>
      <c r="I86" s="46"/>
      <c r="J86" s="46"/>
      <c r="K86" s="46"/>
      <c r="L86" s="46"/>
      <c r="M86" s="78"/>
      <c r="N86" s="57" t="s">
        <v>55</v>
      </c>
      <c r="O86" s="58" t="s">
        <v>56</v>
      </c>
      <c r="P86" s="59">
        <v>0.24</v>
      </c>
      <c r="Q86" s="86">
        <v>2</v>
      </c>
      <c r="R86" s="59">
        <f t="shared" si="9"/>
        <v>0.48</v>
      </c>
      <c r="S86" s="90"/>
      <c r="T86" s="88"/>
      <c r="U86" s="91"/>
    </row>
    <row r="87" s="2" customFormat="1" ht="14.25" spans="1:21">
      <c r="A87" s="24"/>
      <c r="B87" s="44"/>
      <c r="C87" s="24"/>
      <c r="D87" s="22" t="s">
        <v>107</v>
      </c>
      <c r="E87" s="31" t="s">
        <v>108</v>
      </c>
      <c r="F87" s="21">
        <v>1</v>
      </c>
      <c r="G87" s="21" t="s">
        <v>37</v>
      </c>
      <c r="H87" s="43">
        <v>4.9</v>
      </c>
      <c r="I87" s="23">
        <v>2.1</v>
      </c>
      <c r="J87" s="54">
        <f>K87*1.15</f>
        <v>0.322</v>
      </c>
      <c r="K87" s="55">
        <v>0.28</v>
      </c>
      <c r="L87" s="56">
        <f>J87-K87</f>
        <v>0.042</v>
      </c>
      <c r="M87" s="23">
        <f>H87*J87-I87*L87</f>
        <v>1.4896</v>
      </c>
      <c r="N87" s="57" t="s">
        <v>28</v>
      </c>
      <c r="O87" s="58" t="s">
        <v>38</v>
      </c>
      <c r="P87" s="59">
        <v>0.12</v>
      </c>
      <c r="Q87" s="86">
        <v>1</v>
      </c>
      <c r="R87" s="59">
        <f t="shared" si="9"/>
        <v>0.12</v>
      </c>
      <c r="S87" s="90"/>
      <c r="T87" s="88"/>
      <c r="U87" s="91"/>
    </row>
    <row r="88" s="2" customFormat="1" ht="14.25" spans="1:21">
      <c r="A88" s="24"/>
      <c r="B88" s="44"/>
      <c r="C88" s="24"/>
      <c r="D88" s="45"/>
      <c r="E88" s="46"/>
      <c r="F88" s="46"/>
      <c r="G88" s="46"/>
      <c r="H88" s="46"/>
      <c r="I88" s="46"/>
      <c r="J88" s="46"/>
      <c r="K88" s="46"/>
      <c r="L88" s="46"/>
      <c r="M88" s="78"/>
      <c r="N88" s="57" t="s">
        <v>89</v>
      </c>
      <c r="O88" s="61" t="s">
        <v>57</v>
      </c>
      <c r="P88" s="59">
        <v>0.12</v>
      </c>
      <c r="Q88" s="86">
        <v>1</v>
      </c>
      <c r="R88" s="59">
        <f t="shared" si="9"/>
        <v>0.12</v>
      </c>
      <c r="S88" s="90"/>
      <c r="T88" s="88"/>
      <c r="U88" s="91"/>
    </row>
    <row r="89" s="2" customFormat="1" ht="22.5" spans="1:21">
      <c r="A89" s="24"/>
      <c r="B89" s="44"/>
      <c r="C89" s="24"/>
      <c r="D89" s="32" t="s">
        <v>109</v>
      </c>
      <c r="E89" s="33" t="s">
        <v>110</v>
      </c>
      <c r="F89" s="34">
        <v>1</v>
      </c>
      <c r="G89" s="34"/>
      <c r="H89" s="42">
        <v>8</v>
      </c>
      <c r="I89" s="42"/>
      <c r="J89" s="76"/>
      <c r="K89" s="76">
        <f>0.048*F89</f>
        <v>0.048</v>
      </c>
      <c r="L89" s="76"/>
      <c r="M89" s="42">
        <f t="shared" ref="M89:M95" si="10">H89*K89</f>
        <v>0.384</v>
      </c>
      <c r="N89" s="67"/>
      <c r="O89" s="68"/>
      <c r="P89" s="69"/>
      <c r="Q89" s="92"/>
      <c r="R89" s="69"/>
      <c r="S89" s="90"/>
      <c r="T89" s="88"/>
      <c r="U89" s="91"/>
    </row>
    <row r="90" s="2" customFormat="1" ht="22.5" spans="1:21">
      <c r="A90" s="24"/>
      <c r="B90" s="44"/>
      <c r="C90" s="24"/>
      <c r="D90" s="32" t="s">
        <v>111</v>
      </c>
      <c r="E90" s="33" t="s">
        <v>112</v>
      </c>
      <c r="F90" s="34">
        <v>2</v>
      </c>
      <c r="G90" s="34"/>
      <c r="H90" s="42">
        <v>8</v>
      </c>
      <c r="I90" s="42"/>
      <c r="J90" s="76"/>
      <c r="K90" s="76">
        <f>0.02*F90</f>
        <v>0.04</v>
      </c>
      <c r="L90" s="76"/>
      <c r="M90" s="42">
        <f t="shared" si="10"/>
        <v>0.32</v>
      </c>
      <c r="N90" s="67"/>
      <c r="O90" s="68"/>
      <c r="P90" s="69"/>
      <c r="Q90" s="92"/>
      <c r="R90" s="69"/>
      <c r="S90" s="90"/>
      <c r="T90" s="88"/>
      <c r="U90" s="91"/>
    </row>
    <row r="91" s="2" customFormat="1" ht="22.5" spans="1:21">
      <c r="A91" s="24"/>
      <c r="B91" s="44"/>
      <c r="C91" s="24"/>
      <c r="D91" s="32" t="s">
        <v>113</v>
      </c>
      <c r="E91" s="33" t="s">
        <v>114</v>
      </c>
      <c r="F91" s="34">
        <v>2</v>
      </c>
      <c r="G91" s="34"/>
      <c r="H91" s="42">
        <v>8</v>
      </c>
      <c r="I91" s="42"/>
      <c r="J91" s="76"/>
      <c r="K91" s="76">
        <f>0.061*F91</f>
        <v>0.122</v>
      </c>
      <c r="L91" s="76"/>
      <c r="M91" s="42">
        <f t="shared" si="10"/>
        <v>0.976</v>
      </c>
      <c r="N91" s="67"/>
      <c r="O91" s="68"/>
      <c r="P91" s="69"/>
      <c r="Q91" s="92"/>
      <c r="R91" s="69"/>
      <c r="S91" s="90"/>
      <c r="T91" s="88"/>
      <c r="U91" s="91"/>
    </row>
    <row r="92" s="2" customFormat="1" ht="22.5" spans="1:21">
      <c r="A92" s="24"/>
      <c r="B92" s="44"/>
      <c r="C92" s="24"/>
      <c r="D92" s="32" t="s">
        <v>115</v>
      </c>
      <c r="E92" s="33" t="s">
        <v>116</v>
      </c>
      <c r="F92" s="34">
        <v>2</v>
      </c>
      <c r="G92" s="34"/>
      <c r="H92" s="42">
        <v>8</v>
      </c>
      <c r="I92" s="42"/>
      <c r="J92" s="76"/>
      <c r="K92" s="76">
        <f>0.091*F92</f>
        <v>0.182</v>
      </c>
      <c r="L92" s="76"/>
      <c r="M92" s="42">
        <f t="shared" si="10"/>
        <v>1.456</v>
      </c>
      <c r="N92" s="67"/>
      <c r="O92" s="68"/>
      <c r="P92" s="69"/>
      <c r="Q92" s="92"/>
      <c r="R92" s="69"/>
      <c r="S92" s="90"/>
      <c r="T92" s="88"/>
      <c r="U92" s="91"/>
    </row>
    <row r="93" s="2" customFormat="1" ht="22.5" spans="1:21">
      <c r="A93" s="24"/>
      <c r="B93" s="44"/>
      <c r="C93" s="24"/>
      <c r="D93" s="32" t="s">
        <v>117</v>
      </c>
      <c r="E93" s="33" t="s">
        <v>118</v>
      </c>
      <c r="F93" s="34">
        <v>2</v>
      </c>
      <c r="G93" s="34"/>
      <c r="H93" s="42">
        <v>8</v>
      </c>
      <c r="I93" s="42"/>
      <c r="J93" s="76"/>
      <c r="K93" s="76">
        <f>0.101*F93</f>
        <v>0.202</v>
      </c>
      <c r="L93" s="76"/>
      <c r="M93" s="42">
        <f t="shared" si="10"/>
        <v>1.616</v>
      </c>
      <c r="N93" s="67"/>
      <c r="O93" s="68"/>
      <c r="P93" s="69"/>
      <c r="Q93" s="92"/>
      <c r="R93" s="69"/>
      <c r="S93" s="90"/>
      <c r="T93" s="88"/>
      <c r="U93" s="91"/>
    </row>
    <row r="94" s="2" customFormat="1" ht="22.5" spans="1:21">
      <c r="A94" s="24"/>
      <c r="B94" s="44"/>
      <c r="C94" s="24"/>
      <c r="D94" s="32" t="s">
        <v>119</v>
      </c>
      <c r="E94" s="33" t="s">
        <v>120</v>
      </c>
      <c r="F94" s="34">
        <v>3</v>
      </c>
      <c r="G94" s="34"/>
      <c r="H94" s="42">
        <v>8</v>
      </c>
      <c r="I94" s="42"/>
      <c r="J94" s="76"/>
      <c r="K94" s="76">
        <f>0.041*F94</f>
        <v>0.123</v>
      </c>
      <c r="L94" s="76"/>
      <c r="M94" s="42">
        <f t="shared" si="10"/>
        <v>0.984</v>
      </c>
      <c r="N94" s="67"/>
      <c r="O94" s="68"/>
      <c r="P94" s="69"/>
      <c r="Q94" s="92"/>
      <c r="R94" s="69"/>
      <c r="S94" s="90"/>
      <c r="T94" s="88"/>
      <c r="U94" s="91"/>
    </row>
    <row r="95" s="2" customFormat="1" ht="22.5" spans="1:21">
      <c r="A95" s="24"/>
      <c r="B95" s="44"/>
      <c r="C95" s="24"/>
      <c r="D95" s="32" t="s">
        <v>121</v>
      </c>
      <c r="E95" s="33" t="s">
        <v>122</v>
      </c>
      <c r="F95" s="34">
        <v>1</v>
      </c>
      <c r="G95" s="34"/>
      <c r="H95" s="42">
        <v>8</v>
      </c>
      <c r="I95" s="42"/>
      <c r="J95" s="76"/>
      <c r="K95" s="76">
        <f>0.031*F95</f>
        <v>0.031</v>
      </c>
      <c r="L95" s="76"/>
      <c r="M95" s="42">
        <f t="shared" si="10"/>
        <v>0.248</v>
      </c>
      <c r="N95" s="67"/>
      <c r="O95" s="71"/>
      <c r="P95" s="69"/>
      <c r="Q95" s="92"/>
      <c r="R95" s="69"/>
      <c r="S95" s="90"/>
      <c r="T95" s="88"/>
      <c r="U95" s="91"/>
    </row>
    <row r="96" s="2" customFormat="1" ht="19" customHeight="1" spans="1:21">
      <c r="A96" s="24"/>
      <c r="B96" s="44"/>
      <c r="C96" s="24"/>
      <c r="D96" s="32"/>
      <c r="E96" s="33"/>
      <c r="F96" s="34"/>
      <c r="G96" s="34"/>
      <c r="H96" s="42"/>
      <c r="I96" s="42"/>
      <c r="J96" s="76"/>
      <c r="K96" s="76"/>
      <c r="L96" s="76"/>
      <c r="M96" s="42"/>
      <c r="N96" s="67" t="s">
        <v>45</v>
      </c>
      <c r="O96" s="71" t="s">
        <v>46</v>
      </c>
      <c r="P96" s="69">
        <v>160</v>
      </c>
      <c r="Q96" s="92" t="s">
        <v>47</v>
      </c>
      <c r="R96" s="69">
        <f>P96*0.012</f>
        <v>1.92</v>
      </c>
      <c r="S96" s="93"/>
      <c r="T96" s="88"/>
      <c r="U96" s="91"/>
    </row>
    <row r="97" s="2" customFormat="1" ht="24" spans="1:21">
      <c r="A97" s="40"/>
      <c r="B97" s="95"/>
      <c r="C97" s="40"/>
      <c r="D97" s="41" t="s">
        <v>50</v>
      </c>
      <c r="E97" s="22"/>
      <c r="F97" s="21"/>
      <c r="G97" s="21"/>
      <c r="H97" s="21"/>
      <c r="I97" s="21"/>
      <c r="J97" s="21"/>
      <c r="K97" s="21"/>
      <c r="L97" s="21"/>
      <c r="M97" s="43">
        <f>SUM(M85:M96)</f>
        <v>11.86792</v>
      </c>
      <c r="N97" s="74" t="s">
        <v>51</v>
      </c>
      <c r="O97" s="21"/>
      <c r="P97" s="75"/>
      <c r="Q97" s="21"/>
      <c r="R97" s="75">
        <f>SUM(R85:R96)</f>
        <v>2.84</v>
      </c>
      <c r="S97" s="75">
        <f>1.74*0.2</f>
        <v>0.348</v>
      </c>
      <c r="T97" s="88"/>
      <c r="U97" s="94"/>
    </row>
    <row r="98" ht="18" customHeight="1"/>
    <row r="99" ht="22" customHeight="1" spans="15:21">
      <c r="O99" s="96" t="s">
        <v>124</v>
      </c>
      <c r="P99" s="96"/>
      <c r="Q99" s="96"/>
      <c r="R99" s="96"/>
      <c r="S99" s="96"/>
      <c r="T99" s="96"/>
      <c r="U99" s="96"/>
    </row>
    <row r="100" ht="22" customHeight="1" spans="15:21">
      <c r="O100" s="96" t="s">
        <v>125</v>
      </c>
      <c r="P100" s="96"/>
      <c r="Q100" s="96"/>
      <c r="R100" s="96"/>
      <c r="S100" s="96"/>
      <c r="T100" s="96"/>
      <c r="U100" s="96"/>
    </row>
  </sheetData>
  <mergeCells count="72">
    <mergeCell ref="A1:U1"/>
    <mergeCell ref="H2:I2"/>
    <mergeCell ref="J2:L2"/>
    <mergeCell ref="N2:R2"/>
    <mergeCell ref="N14:Q14"/>
    <mergeCell ref="N32:Q32"/>
    <mergeCell ref="N48:Q48"/>
    <mergeCell ref="D57:M57"/>
    <mergeCell ref="N71:Q71"/>
    <mergeCell ref="D73:M73"/>
    <mergeCell ref="D75:M75"/>
    <mergeCell ref="N84:Q84"/>
    <mergeCell ref="D86:M86"/>
    <mergeCell ref="D88:M88"/>
    <mergeCell ref="N97:Q97"/>
    <mergeCell ref="O99:U99"/>
    <mergeCell ref="O100:U100"/>
    <mergeCell ref="A2:A3"/>
    <mergeCell ref="A4:A14"/>
    <mergeCell ref="A15:A32"/>
    <mergeCell ref="A33:A48"/>
    <mergeCell ref="A49:A71"/>
    <mergeCell ref="A72:A84"/>
    <mergeCell ref="A85:A97"/>
    <mergeCell ref="B2:B3"/>
    <mergeCell ref="B4:B14"/>
    <mergeCell ref="B15:B32"/>
    <mergeCell ref="B33:B48"/>
    <mergeCell ref="B49:B71"/>
    <mergeCell ref="B72:B84"/>
    <mergeCell ref="B85:B97"/>
    <mergeCell ref="C2:C3"/>
    <mergeCell ref="C4:C14"/>
    <mergeCell ref="C15:C32"/>
    <mergeCell ref="C33:C48"/>
    <mergeCell ref="C49:C71"/>
    <mergeCell ref="C72:C84"/>
    <mergeCell ref="C85:C97"/>
    <mergeCell ref="D2:D3"/>
    <mergeCell ref="E2:E3"/>
    <mergeCell ref="F2:F3"/>
    <mergeCell ref="G2:G3"/>
    <mergeCell ref="M2:M3"/>
    <mergeCell ref="S2:S3"/>
    <mergeCell ref="S4:S13"/>
    <mergeCell ref="S15:S31"/>
    <mergeCell ref="S33:S47"/>
    <mergeCell ref="S49:S70"/>
    <mergeCell ref="S72:S83"/>
    <mergeCell ref="S85:S96"/>
    <mergeCell ref="T2:T3"/>
    <mergeCell ref="T4:T14"/>
    <mergeCell ref="T15:T32"/>
    <mergeCell ref="T33:T48"/>
    <mergeCell ref="T49:T71"/>
    <mergeCell ref="T72:T84"/>
    <mergeCell ref="T85:T97"/>
    <mergeCell ref="U2:U3"/>
    <mergeCell ref="U4:U14"/>
    <mergeCell ref="U15:U32"/>
    <mergeCell ref="U33:U48"/>
    <mergeCell ref="U49:U71"/>
    <mergeCell ref="U72:U84"/>
    <mergeCell ref="U85:U97"/>
    <mergeCell ref="D5:M7"/>
    <mergeCell ref="D9:M10"/>
    <mergeCell ref="D12:M13"/>
    <mergeCell ref="D16:M19"/>
    <mergeCell ref="D25:M26"/>
    <mergeCell ref="D34:M37"/>
    <mergeCell ref="D50:M55"/>
    <mergeCell ref="D59:M60"/>
  </mergeCells>
  <conditionalFormatting sqref="B4">
    <cfRule type="duplicateValues" dxfId="0" priority="9"/>
  </conditionalFormatting>
  <conditionalFormatting sqref="B15">
    <cfRule type="duplicateValues" dxfId="0" priority="5"/>
  </conditionalFormatting>
  <conditionalFormatting sqref="B33">
    <cfRule type="duplicateValues" dxfId="0" priority="1"/>
  </conditionalFormatting>
  <conditionalFormatting sqref="A2:A3">
    <cfRule type="duplicateValues" dxfId="0" priority="15"/>
    <cfRule type="duplicateValues" dxfId="0" priority="14"/>
    <cfRule type="duplicateValues" dxfId="0" priority="13"/>
  </conditionalFormatting>
  <conditionalFormatting sqref="A4:A14">
    <cfRule type="duplicateValues" dxfId="0" priority="12"/>
    <cfRule type="duplicateValues" dxfId="0" priority="11"/>
    <cfRule type="duplicateValues" dxfId="0" priority="10"/>
  </conditionalFormatting>
  <conditionalFormatting sqref="A15:A32">
    <cfRule type="duplicateValues" dxfId="0" priority="8"/>
    <cfRule type="duplicateValues" dxfId="0" priority="7"/>
    <cfRule type="duplicateValues" dxfId="0" priority="6"/>
  </conditionalFormatting>
  <conditionalFormatting sqref="A33:A48">
    <cfRule type="duplicateValues" dxfId="0" priority="4"/>
    <cfRule type="duplicateValues" dxfId="0" priority="3"/>
    <cfRule type="duplicateValues" dxfId="0" priority="2"/>
  </conditionalFormatting>
  <conditionalFormatting sqref="D2:D3">
    <cfRule type="duplicateValues" dxfId="0" priority="16"/>
  </conditionalFormatting>
  <pageMargins left="0.7" right="0.7" top="0.75" bottom="0.75" header="0.3" footer="0.3"/>
  <pageSetup paperSize="9" scale="6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30" sqref="G30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hewei</dc:creator>
  <cp:lastModifiedBy>Administrator</cp:lastModifiedBy>
  <dcterms:created xsi:type="dcterms:W3CDTF">2023-05-12T11:15:00Z</dcterms:created>
  <dcterms:modified xsi:type="dcterms:W3CDTF">2024-07-22T01:49:50Z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3EA58883641043C8812C18547022377C_12</vt:lpwstr>
  </property>
</Properties>
</file>