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F:\2024\出差\湖南\公司文件\M4\2024.7.11\"/>
    </mc:Choice>
  </mc:AlternateContent>
  <bookViews>
    <workbookView xWindow="0" yWindow="0" windowWidth="28125" windowHeight="12540" activeTab="4"/>
  </bookViews>
  <sheets>
    <sheet name="总成外协、" sheetId="1" r:id="rId1"/>
    <sheet name="Sheet2" sheetId="3" r:id="rId2"/>
    <sheet name="凌天报价" sheetId="4" r:id="rId3"/>
    <sheet name="凌天二次报价" sheetId="7" r:id="rId4"/>
    <sheet name="Sheet4" sheetId="5" r:id="rId5"/>
    <sheet name="Sheet1" sheetId="6" r:id="rId6"/>
  </sheets>
  <externalReferences>
    <externalReference r:id="rId7"/>
    <externalReference r:id="rId8"/>
  </externalReferences>
  <calcPr calcId="162913"/>
</workbook>
</file>

<file path=xl/calcChain.xml><?xml version="1.0" encoding="utf-8"?>
<calcChain xmlns="http://schemas.openxmlformats.org/spreadsheetml/2006/main">
  <c r="M13" i="5" l="1"/>
  <c r="G16" i="5"/>
  <c r="G13" i="5"/>
  <c r="G10" i="5"/>
  <c r="G8" i="5"/>
  <c r="G6" i="5"/>
  <c r="G3" i="5"/>
  <c r="I16" i="5"/>
  <c r="I13" i="5"/>
  <c r="I10" i="5"/>
  <c r="I8" i="5"/>
  <c r="I6" i="5"/>
  <c r="I3" i="5"/>
  <c r="O4" i="5" l="1"/>
  <c r="O5" i="5"/>
  <c r="O6" i="5"/>
  <c r="O7" i="5"/>
  <c r="O8" i="5"/>
  <c r="O9" i="5"/>
  <c r="O10" i="5"/>
  <c r="O11" i="5"/>
  <c r="O12" i="5"/>
  <c r="O13" i="5"/>
  <c r="O14" i="5"/>
  <c r="O15" i="5"/>
  <c r="O16" i="5"/>
  <c r="O3" i="5"/>
  <c r="N4" i="5"/>
  <c r="N5" i="5"/>
  <c r="N6" i="5"/>
  <c r="N7" i="5"/>
  <c r="N8" i="5"/>
  <c r="N9" i="5"/>
  <c r="N10" i="5"/>
  <c r="N11" i="5"/>
  <c r="N12" i="5"/>
  <c r="N13" i="5"/>
  <c r="N3" i="5"/>
  <c r="M10" i="5"/>
  <c r="M6" i="5"/>
  <c r="M3" i="5"/>
  <c r="J6" i="5" l="1"/>
  <c r="J8" i="5"/>
  <c r="J10" i="5"/>
  <c r="J13" i="5"/>
  <c r="J16" i="5"/>
  <c r="J3" i="5"/>
  <c r="H16" i="5"/>
  <c r="H13" i="5"/>
  <c r="H10" i="5"/>
  <c r="H8" i="5"/>
  <c r="H6" i="5"/>
  <c r="H3" i="5"/>
  <c r="S97" i="7" l="1"/>
  <c r="R96" i="7"/>
  <c r="M95" i="7"/>
  <c r="K95" i="7"/>
  <c r="M94" i="7"/>
  <c r="K94" i="7"/>
  <c r="K93" i="7"/>
  <c r="M93" i="7" s="1"/>
  <c r="K92" i="7"/>
  <c r="M92" i="7" s="1"/>
  <c r="M91" i="7"/>
  <c r="K91" i="7"/>
  <c r="M90" i="7"/>
  <c r="K90" i="7"/>
  <c r="K89" i="7"/>
  <c r="M89" i="7" s="1"/>
  <c r="R88" i="7"/>
  <c r="R87" i="7"/>
  <c r="J87" i="7"/>
  <c r="L87" i="7" s="1"/>
  <c r="M87" i="7" s="1"/>
  <c r="R86" i="7"/>
  <c r="R85" i="7"/>
  <c r="R97" i="7" s="1"/>
  <c r="J85" i="7"/>
  <c r="S84" i="7"/>
  <c r="R83" i="7"/>
  <c r="M82" i="7"/>
  <c r="K82" i="7"/>
  <c r="K81" i="7"/>
  <c r="M81" i="7" s="1"/>
  <c r="K80" i="7"/>
  <c r="M80" i="7" s="1"/>
  <c r="K79" i="7"/>
  <c r="M79" i="7" s="1"/>
  <c r="M78" i="7"/>
  <c r="K78" i="7"/>
  <c r="K77" i="7"/>
  <c r="M77" i="7" s="1"/>
  <c r="K76" i="7"/>
  <c r="M76" i="7" s="1"/>
  <c r="R75" i="7"/>
  <c r="R74" i="7"/>
  <c r="J74" i="7"/>
  <c r="L74" i="7" s="1"/>
  <c r="M74" i="7" s="1"/>
  <c r="R73" i="7"/>
  <c r="R72" i="7"/>
  <c r="R84" i="7" s="1"/>
  <c r="J72" i="7"/>
  <c r="L72" i="7" s="1"/>
  <c r="S71" i="7"/>
  <c r="R70" i="7"/>
  <c r="R69" i="7"/>
  <c r="M69" i="7"/>
  <c r="K69" i="7"/>
  <c r="M68" i="7"/>
  <c r="K68" i="7"/>
  <c r="K67" i="7"/>
  <c r="M67" i="7" s="1"/>
  <c r="K66" i="7"/>
  <c r="M66" i="7" s="1"/>
  <c r="K65" i="7"/>
  <c r="M65" i="7" s="1"/>
  <c r="M64" i="7"/>
  <c r="K64" i="7"/>
  <c r="K63" i="7"/>
  <c r="M63" i="7" s="1"/>
  <c r="R60" i="7"/>
  <c r="R59" i="7"/>
  <c r="R58" i="7"/>
  <c r="L58" i="7"/>
  <c r="M58" i="7" s="1"/>
  <c r="K58" i="7"/>
  <c r="J58" i="7"/>
  <c r="R57" i="7"/>
  <c r="R56" i="7"/>
  <c r="J56" i="7"/>
  <c r="R55" i="7"/>
  <c r="R54" i="7"/>
  <c r="R53" i="7"/>
  <c r="R52" i="7"/>
  <c r="R51" i="7"/>
  <c r="R50" i="7"/>
  <c r="R49" i="7"/>
  <c r="R71" i="7" s="1"/>
  <c r="J49" i="7"/>
  <c r="L49" i="7" s="1"/>
  <c r="M49" i="7" s="1"/>
  <c r="S48" i="7"/>
  <c r="R47" i="7"/>
  <c r="K46" i="7"/>
  <c r="M46" i="7" s="1"/>
  <c r="K45" i="7"/>
  <c r="M45" i="7" s="1"/>
  <c r="M44" i="7"/>
  <c r="K44" i="7"/>
  <c r="M43" i="7"/>
  <c r="K43" i="7"/>
  <c r="K42" i="7"/>
  <c r="M42" i="7" s="1"/>
  <c r="K41" i="7"/>
  <c r="M41" i="7" s="1"/>
  <c r="M40" i="7"/>
  <c r="K40" i="7"/>
  <c r="R37" i="7"/>
  <c r="R36" i="7"/>
  <c r="R35" i="7"/>
  <c r="R34" i="7"/>
  <c r="R33" i="7"/>
  <c r="R48" i="7" s="1"/>
  <c r="J33" i="7"/>
  <c r="L33" i="7" s="1"/>
  <c r="M33" i="7" s="1"/>
  <c r="M48" i="7" s="1"/>
  <c r="U33" i="7" s="1"/>
  <c r="S32" i="7"/>
  <c r="R31" i="7"/>
  <c r="R30" i="7"/>
  <c r="M30" i="7"/>
  <c r="K29" i="7"/>
  <c r="M29" i="7" s="1"/>
  <c r="K28" i="7"/>
  <c r="M28" i="7" s="1"/>
  <c r="M27" i="7"/>
  <c r="K27" i="7"/>
  <c r="R26" i="7"/>
  <c r="R25" i="7"/>
  <c r="R24" i="7"/>
  <c r="K24" i="7"/>
  <c r="J24" i="7"/>
  <c r="R23" i="7"/>
  <c r="K23" i="7"/>
  <c r="M23" i="7" s="1"/>
  <c r="R22" i="7"/>
  <c r="M22" i="7"/>
  <c r="K22" i="7"/>
  <c r="R21" i="7"/>
  <c r="R20" i="7"/>
  <c r="R19" i="7"/>
  <c r="R18" i="7"/>
  <c r="R17" i="7"/>
  <c r="R32" i="7" s="1"/>
  <c r="R16" i="7"/>
  <c r="R15" i="7"/>
  <c r="L15" i="7"/>
  <c r="M15" i="7" s="1"/>
  <c r="J15" i="7"/>
  <c r="S14" i="7"/>
  <c r="R12" i="7"/>
  <c r="M11" i="7"/>
  <c r="R10" i="7"/>
  <c r="R9" i="7"/>
  <c r="R14" i="7" s="1"/>
  <c r="R8" i="7"/>
  <c r="L8" i="7"/>
  <c r="M8" i="7" s="1"/>
  <c r="J8" i="7"/>
  <c r="R7" i="7"/>
  <c r="R6" i="7"/>
  <c r="R5" i="7"/>
  <c r="R4" i="7"/>
  <c r="L4" i="7"/>
  <c r="K4" i="7"/>
  <c r="J4" i="7"/>
  <c r="M4" i="7" s="1"/>
  <c r="M14" i="7" s="1"/>
  <c r="U4" i="7" s="1"/>
  <c r="M32" i="7" l="1"/>
  <c r="U15" i="7" s="1"/>
  <c r="M56" i="7"/>
  <c r="M71" i="7" s="1"/>
  <c r="U49" i="7" s="1"/>
  <c r="M24" i="7"/>
  <c r="L24" i="7"/>
  <c r="L56" i="7"/>
  <c r="M72" i="7"/>
  <c r="M84" i="7" s="1"/>
  <c r="U72" i="7" s="1"/>
  <c r="L85" i="7"/>
  <c r="M85" i="7" s="1"/>
  <c r="M97" i="7" s="1"/>
  <c r="U85" i="7" s="1"/>
  <c r="H71" i="6"/>
  <c r="H59" i="6"/>
  <c r="H55" i="6"/>
  <c r="H41" i="6"/>
  <c r="H29" i="6"/>
  <c r="H26" i="6"/>
  <c r="H22" i="6" a="1"/>
  <c r="H22" i="6" s="1"/>
  <c r="H16" i="6"/>
  <c r="H9" i="6" a="1"/>
  <c r="H9" i="6" s="1"/>
  <c r="H5" i="6"/>
  <c r="H36" i="6" l="1"/>
  <c r="H64" i="6"/>
  <c r="H51" i="6"/>
  <c r="D16" i="5"/>
  <c r="F16" i="5" s="1"/>
  <c r="D13" i="5"/>
  <c r="F13" i="5" s="1"/>
  <c r="D10" i="5"/>
  <c r="F10" i="5" s="1"/>
  <c r="D8" i="5"/>
  <c r="F8" i="5" s="1"/>
  <c r="D6" i="5"/>
  <c r="F6" i="5" s="1"/>
  <c r="D3" i="5"/>
  <c r="R82" i="4"/>
  <c r="M81" i="4"/>
  <c r="K81" i="4"/>
  <c r="M80" i="4"/>
  <c r="K80" i="4"/>
  <c r="M79" i="4"/>
  <c r="K79" i="4"/>
  <c r="M78" i="4"/>
  <c r="K78" i="4"/>
  <c r="M77" i="4"/>
  <c r="K77" i="4"/>
  <c r="M76" i="4"/>
  <c r="K76" i="4"/>
  <c r="M75" i="4"/>
  <c r="K75" i="4"/>
  <c r="R74" i="4"/>
  <c r="R73" i="4"/>
  <c r="M73" i="4"/>
  <c r="L73" i="4"/>
  <c r="J73" i="4"/>
  <c r="R72" i="4"/>
  <c r="R71" i="4"/>
  <c r="M71" i="4"/>
  <c r="M82" i="4" s="1"/>
  <c r="T71" i="4" s="1"/>
  <c r="L71" i="4"/>
  <c r="J71" i="4"/>
  <c r="R70" i="4"/>
  <c r="M69" i="4"/>
  <c r="K69" i="4"/>
  <c r="M68" i="4"/>
  <c r="K68" i="4"/>
  <c r="M67" i="4"/>
  <c r="K67" i="4"/>
  <c r="M66" i="4"/>
  <c r="K66" i="4"/>
  <c r="M65" i="4"/>
  <c r="K65" i="4"/>
  <c r="M64" i="4"/>
  <c r="K64" i="4"/>
  <c r="M63" i="4"/>
  <c r="K63" i="4"/>
  <c r="R62" i="4"/>
  <c r="R61" i="4"/>
  <c r="L61" i="4"/>
  <c r="M61" i="4" s="1"/>
  <c r="J61" i="4"/>
  <c r="R60" i="4"/>
  <c r="R59" i="4"/>
  <c r="M59" i="4"/>
  <c r="M70" i="4" s="1"/>
  <c r="T59" i="4" s="1"/>
  <c r="L59" i="4"/>
  <c r="J59" i="4"/>
  <c r="R58" i="4"/>
  <c r="M57" i="4"/>
  <c r="K57" i="4"/>
  <c r="M56" i="4"/>
  <c r="K56" i="4"/>
  <c r="M55" i="4"/>
  <c r="K55" i="4"/>
  <c r="M54" i="4"/>
  <c r="K54" i="4"/>
  <c r="M53" i="4"/>
  <c r="K53" i="4"/>
  <c r="M52" i="4"/>
  <c r="K52" i="4"/>
  <c r="R51" i="4"/>
  <c r="R50" i="4"/>
  <c r="R49" i="4"/>
  <c r="L49" i="4"/>
  <c r="M49" i="4" s="1"/>
  <c r="K49" i="4"/>
  <c r="J49" i="4"/>
  <c r="R48" i="4"/>
  <c r="R47" i="4"/>
  <c r="L47" i="4"/>
  <c r="M47" i="4" s="1"/>
  <c r="J47" i="4"/>
  <c r="R46" i="4"/>
  <c r="R45" i="4"/>
  <c r="R44" i="4"/>
  <c r="R43" i="4"/>
  <c r="R42" i="4"/>
  <c r="R41" i="4"/>
  <c r="R40" i="4"/>
  <c r="M40" i="4"/>
  <c r="M58" i="4" s="1"/>
  <c r="T40" i="4" s="1"/>
  <c r="L40" i="4"/>
  <c r="J40" i="4"/>
  <c r="R39" i="4"/>
  <c r="M38" i="4"/>
  <c r="K38" i="4"/>
  <c r="M37" i="4"/>
  <c r="K37" i="4"/>
  <c r="M36" i="4"/>
  <c r="K36" i="4"/>
  <c r="M35" i="4"/>
  <c r="K35" i="4"/>
  <c r="M34" i="4"/>
  <c r="K34" i="4"/>
  <c r="M33" i="4"/>
  <c r="K33" i="4"/>
  <c r="M32" i="4"/>
  <c r="K32" i="4"/>
  <c r="R31" i="4"/>
  <c r="R30" i="4"/>
  <c r="R29" i="4"/>
  <c r="R28" i="4"/>
  <c r="R27" i="4"/>
  <c r="L27" i="4"/>
  <c r="M27" i="4" s="1"/>
  <c r="M39" i="4" s="1"/>
  <c r="T27" i="4" s="1"/>
  <c r="J27" i="4"/>
  <c r="R26" i="4"/>
  <c r="M25" i="4"/>
  <c r="K25" i="4"/>
  <c r="M24" i="4"/>
  <c r="K24" i="4"/>
  <c r="M23" i="4"/>
  <c r="K23" i="4"/>
  <c r="R22" i="4"/>
  <c r="R21" i="4"/>
  <c r="R20" i="4"/>
  <c r="L20" i="4"/>
  <c r="M20" i="4" s="1"/>
  <c r="K20" i="4"/>
  <c r="J20" i="4"/>
  <c r="M19" i="4"/>
  <c r="K19" i="4"/>
  <c r="M18" i="4"/>
  <c r="K18" i="4"/>
  <c r="R17" i="4"/>
  <c r="R16" i="4"/>
  <c r="R15" i="4"/>
  <c r="R14" i="4"/>
  <c r="R13" i="4"/>
  <c r="L13" i="4"/>
  <c r="M13" i="4" s="1"/>
  <c r="J13" i="4"/>
  <c r="R12" i="4"/>
  <c r="M11" i="4"/>
  <c r="R10" i="4"/>
  <c r="R9" i="4"/>
  <c r="R8" i="4"/>
  <c r="M8" i="4"/>
  <c r="L8" i="4"/>
  <c r="J8" i="4"/>
  <c r="R7" i="4"/>
  <c r="R6" i="4"/>
  <c r="R5" i="4"/>
  <c r="R4" i="4"/>
  <c r="M4" i="4"/>
  <c r="M12" i="4" s="1"/>
  <c r="T4" i="4" s="1"/>
  <c r="L4" i="4"/>
  <c r="K4" i="4"/>
  <c r="J4" i="4"/>
  <c r="M26" i="4" l="1"/>
  <c r="T13" i="4" s="1"/>
  <c r="T37" i="1"/>
  <c r="U22" i="1"/>
  <c r="U9" i="1"/>
  <c r="T33" i="3"/>
  <c r="P33" i="3"/>
  <c r="Q33" i="3" s="1"/>
  <c r="T32" i="3"/>
  <c r="P32" i="3"/>
  <c r="Q32" i="3" s="1"/>
  <c r="T31" i="3"/>
  <c r="P31" i="3"/>
  <c r="Q31" i="3" s="1"/>
  <c r="T30" i="3"/>
  <c r="U30" i="3" s="1"/>
  <c r="P30" i="3"/>
  <c r="Q30" i="3" s="1"/>
  <c r="T29" i="3"/>
  <c r="P29" i="3"/>
  <c r="Q29" i="3" s="1"/>
  <c r="T28" i="3"/>
  <c r="P28" i="3"/>
  <c r="Q28" i="3" s="1"/>
  <c r="T27" i="3"/>
  <c r="P27" i="3"/>
  <c r="Q27" i="3" s="1"/>
  <c r="T26" i="3"/>
  <c r="U26" i="3" s="1"/>
  <c r="P26" i="3"/>
  <c r="Q26" i="3" s="1"/>
  <c r="G26" i="3"/>
  <c r="T25" i="3"/>
  <c r="U25" i="3" s="1"/>
  <c r="Q25" i="3"/>
  <c r="P25" i="3"/>
  <c r="T24" i="3"/>
  <c r="U24" i="3" s="1"/>
  <c r="Q24" i="3"/>
  <c r="P24" i="3"/>
  <c r="T23" i="3"/>
  <c r="U23" i="3" s="1"/>
  <c r="Q23" i="3"/>
  <c r="P23" i="3"/>
  <c r="T22" i="3"/>
  <c r="U22" i="3" s="1"/>
  <c r="Q22" i="3"/>
  <c r="P22" i="3"/>
  <c r="T21" i="3"/>
  <c r="U21" i="3" s="1"/>
  <c r="Q21" i="3"/>
  <c r="P21" i="3"/>
  <c r="T20" i="3"/>
  <c r="U20" i="3" s="1"/>
  <c r="Q20" i="3"/>
  <c r="P20" i="3"/>
  <c r="T19" i="3"/>
  <c r="U19" i="3" s="1"/>
  <c r="Q19" i="3"/>
  <c r="P19" i="3"/>
  <c r="G19" i="3"/>
  <c r="T18" i="3"/>
  <c r="U18" i="3" s="1"/>
  <c r="P18" i="3"/>
  <c r="Q18" i="3" s="1"/>
  <c r="G18" i="3"/>
  <c r="T17" i="3"/>
  <c r="P17" i="3"/>
  <c r="Q17" i="3" s="1"/>
  <c r="U17" i="3" s="1"/>
  <c r="U16" i="3"/>
  <c r="T16" i="3"/>
  <c r="Q16" i="3"/>
  <c r="P16" i="3"/>
  <c r="T15" i="3"/>
  <c r="P15" i="3"/>
  <c r="Q15" i="3" s="1"/>
  <c r="U15" i="3" s="1"/>
  <c r="U14" i="3"/>
  <c r="T14" i="3"/>
  <c r="Q14" i="3"/>
  <c r="P14" i="3"/>
  <c r="T13" i="3"/>
  <c r="P13" i="3"/>
  <c r="Q13" i="3" s="1"/>
  <c r="U13" i="3" s="1"/>
  <c r="G13" i="3"/>
  <c r="T12" i="3"/>
  <c r="P12" i="3"/>
  <c r="Q12" i="3" s="1"/>
  <c r="T11" i="3"/>
  <c r="U11" i="3" s="1"/>
  <c r="P11" i="3"/>
  <c r="Q11" i="3" s="1"/>
  <c r="T10" i="3"/>
  <c r="P10" i="3"/>
  <c r="Q10" i="3" s="1"/>
  <c r="T9" i="3"/>
  <c r="U9" i="3" s="1"/>
  <c r="P9" i="3"/>
  <c r="Q9" i="3" s="1"/>
  <c r="T8" i="3"/>
  <c r="P8" i="3"/>
  <c r="Q8" i="3" s="1"/>
  <c r="T7" i="3"/>
  <c r="U7" i="3" s="1"/>
  <c r="P7" i="3"/>
  <c r="Q7" i="3" s="1"/>
  <c r="G7" i="3"/>
  <c r="T6" i="3"/>
  <c r="Q6" i="3"/>
  <c r="U6" i="3" s="1"/>
  <c r="P6" i="3"/>
  <c r="G6" i="3"/>
  <c r="T5" i="3"/>
  <c r="P5" i="3"/>
  <c r="Q5" i="3" s="1"/>
  <c r="G5" i="3"/>
  <c r="T4" i="3"/>
  <c r="P4" i="3"/>
  <c r="Q4" i="3" s="1"/>
  <c r="U4" i="3" s="1"/>
  <c r="G4" i="3"/>
  <c r="T3" i="3"/>
  <c r="P3" i="3"/>
  <c r="Q3" i="3" s="1"/>
  <c r="G3" i="3"/>
  <c r="L75" i="1"/>
  <c r="Q75" i="1" s="1"/>
  <c r="Q74" i="1"/>
  <c r="O74" i="1"/>
  <c r="L74" i="1"/>
  <c r="Q73" i="1"/>
  <c r="Q72" i="1"/>
  <c r="O71" i="1"/>
  <c r="I71" i="1"/>
  <c r="L71" i="1" s="1"/>
  <c r="Q71" i="1" s="1"/>
  <c r="Q70" i="1"/>
  <c r="Q69" i="1"/>
  <c r="O68" i="1"/>
  <c r="L68" i="1"/>
  <c r="Q68" i="1" s="1"/>
  <c r="O67" i="1"/>
  <c r="L67" i="1"/>
  <c r="Q67" i="1" s="1"/>
  <c r="L66" i="1"/>
  <c r="Q66" i="1" s="1"/>
  <c r="N65" i="1"/>
  <c r="L65" i="1"/>
  <c r="Q65" i="1" s="1"/>
  <c r="I64" i="1"/>
  <c r="L62" i="1"/>
  <c r="Q62" i="1" s="1"/>
  <c r="Q61" i="1"/>
  <c r="Q60" i="1"/>
  <c r="O59" i="1"/>
  <c r="I59" i="1"/>
  <c r="I51" i="1" s="1"/>
  <c r="O58" i="1"/>
  <c r="L58" i="1"/>
  <c r="Q58" i="1" s="1"/>
  <c r="Q57" i="1"/>
  <c r="Q56" i="1"/>
  <c r="O55" i="1"/>
  <c r="L55" i="1"/>
  <c r="Q55" i="1" s="1"/>
  <c r="I55" i="1"/>
  <c r="O54" i="1"/>
  <c r="L54" i="1"/>
  <c r="Q54" i="1" s="1"/>
  <c r="Q53" i="1"/>
  <c r="L53" i="1"/>
  <c r="N52" i="1"/>
  <c r="Q52" i="1" s="1"/>
  <c r="L52" i="1"/>
  <c r="Q49" i="1"/>
  <c r="O49" i="1"/>
  <c r="L49" i="1"/>
  <c r="Q48" i="1"/>
  <c r="O48" i="1"/>
  <c r="L48" i="1"/>
  <c r="O47" i="1"/>
  <c r="Q47" i="1" s="1"/>
  <c r="Q46" i="1"/>
  <c r="O46" i="1"/>
  <c r="O45" i="1"/>
  <c r="Q45" i="1" s="1"/>
  <c r="N45" i="1"/>
  <c r="M45" i="1"/>
  <c r="O44" i="1"/>
  <c r="L44" i="1"/>
  <c r="Q44" i="1" s="1"/>
  <c r="Q43" i="1"/>
  <c r="Q42" i="1"/>
  <c r="Q41" i="1"/>
  <c r="O41" i="1"/>
  <c r="L41" i="1"/>
  <c r="I41" i="1"/>
  <c r="O40" i="1"/>
  <c r="Q40" i="1" s="1"/>
  <c r="L40" i="1"/>
  <c r="N39" i="1"/>
  <c r="Q39" i="1" s="1"/>
  <c r="L39" i="1"/>
  <c r="O38" i="1"/>
  <c r="N38" i="1"/>
  <c r="L38" i="1"/>
  <c r="Q38" i="1" s="1"/>
  <c r="O37" i="1"/>
  <c r="M37" i="1"/>
  <c r="Q37" i="1" s="1"/>
  <c r="I36" i="1"/>
  <c r="O34" i="1"/>
  <c r="Q34" i="1" s="1"/>
  <c r="L34" i="1"/>
  <c r="O33" i="1"/>
  <c r="Q33" i="1" s="1"/>
  <c r="L33" i="1"/>
  <c r="O32" i="1"/>
  <c r="L32" i="1"/>
  <c r="Q32" i="1" s="1"/>
  <c r="Q31" i="1"/>
  <c r="Q30" i="1"/>
  <c r="O29" i="1"/>
  <c r="I29" i="1"/>
  <c r="L29" i="1" s="1"/>
  <c r="Q29" i="1" s="1"/>
  <c r="Q28" i="1"/>
  <c r="Q27" i="1"/>
  <c r="O26" i="1"/>
  <c r="I26" i="1"/>
  <c r="I22" i="1" s="1" a="1"/>
  <c r="I22" i="1" s="1"/>
  <c r="O25" i="1"/>
  <c r="Q25" i="1" s="1"/>
  <c r="O24" i="1"/>
  <c r="Q24" i="1" s="1"/>
  <c r="Q23" i="1"/>
  <c r="O23" i="1"/>
  <c r="L23" i="1"/>
  <c r="M20" i="1"/>
  <c r="Q20" i="1" s="1"/>
  <c r="O19" i="1"/>
  <c r="L19" i="1"/>
  <c r="Q19" i="1" s="1"/>
  <c r="O16" i="1"/>
  <c r="I16" i="1"/>
  <c r="L16" i="1" s="1"/>
  <c r="Q16" i="1" s="1"/>
  <c r="O15" i="1"/>
  <c r="N15" i="1"/>
  <c r="M15" i="1"/>
  <c r="Q15" i="1" s="1"/>
  <c r="O14" i="1"/>
  <c r="L14" i="1"/>
  <c r="Q14" i="1" s="1"/>
  <c r="O13" i="1"/>
  <c r="Q13" i="1" s="1"/>
  <c r="L13" i="1"/>
  <c r="O12" i="1"/>
  <c r="Q12" i="1" s="1"/>
  <c r="O11" i="1"/>
  <c r="Q11" i="1" s="1"/>
  <c r="O10" i="1"/>
  <c r="L10" i="1"/>
  <c r="Q10" i="1" s="1"/>
  <c r="Q9" i="1" s="1"/>
  <c r="R9" i="1" s="1"/>
  <c r="I9" i="1" a="1"/>
  <c r="I9" i="1" s="1"/>
  <c r="O8" i="1"/>
  <c r="L8" i="1"/>
  <c r="Q8" i="1" s="1"/>
  <c r="Q7" i="1"/>
  <c r="N7" i="1"/>
  <c r="L7" i="1"/>
  <c r="Q6" i="1"/>
  <c r="O6" i="1"/>
  <c r="N6" i="1"/>
  <c r="L6" i="1"/>
  <c r="P5" i="1"/>
  <c r="Q5" i="1" s="1"/>
  <c r="Q4" i="1" s="1"/>
  <c r="I5" i="1"/>
  <c r="U10" i="3" l="1"/>
  <c r="U27" i="3"/>
  <c r="U31" i="3"/>
  <c r="U5" i="3"/>
  <c r="U28" i="3"/>
  <c r="U32" i="3"/>
  <c r="U8" i="3"/>
  <c r="U12" i="3"/>
  <c r="U3" i="3"/>
  <c r="U29" i="3"/>
  <c r="U33" i="3"/>
  <c r="Q22" i="1"/>
  <c r="R22" i="1" s="1"/>
  <c r="Q36" i="1"/>
  <c r="R36" i="1" s="1"/>
  <c r="Q64" i="1"/>
  <c r="R64" i="1" s="1"/>
  <c r="L26" i="1"/>
  <c r="Q26" i="1" s="1"/>
  <c r="L59" i="1"/>
  <c r="Q59" i="1" s="1"/>
  <c r="Q51" i="1" s="1"/>
  <c r="R51" i="1" s="1"/>
</calcChain>
</file>

<file path=xl/comments1.xml><?xml version="1.0" encoding="utf-8"?>
<comments xmlns="http://schemas.openxmlformats.org/spreadsheetml/2006/main">
  <authors>
    <author>Administrator</author>
    <author>向利新</author>
  </authors>
  <commentList>
    <comment ref="G2" authorId="0" shapeId="0">
      <text>
        <r>
          <rPr>
            <sz val="9"/>
            <rFont val="宋体"/>
            <family val="3"/>
            <charset val="134"/>
          </rPr>
          <t>未成系数</t>
        </r>
      </text>
    </comment>
    <comment ref="J3" authorId="1" shapeId="0">
      <text>
        <r>
          <rPr>
            <b/>
            <sz val="9"/>
            <rFont val="宋体"/>
            <family val="3"/>
            <charset val="134"/>
          </rPr>
          <t>向利新:</t>
        </r>
        <r>
          <rPr>
            <sz val="9"/>
            <rFont val="宋体"/>
            <family val="3"/>
            <charset val="134"/>
          </rPr>
          <t xml:space="preserve">
</t>
        </r>
        <r>
          <rPr>
            <sz val="12"/>
            <rFont val="宋体"/>
            <family val="3"/>
            <charset val="134"/>
          </rPr>
          <t>增加上下班盖板焊接</t>
        </r>
      </text>
    </comment>
    <comment ref="R3" authorId="1" shapeId="0">
      <text>
        <r>
          <rPr>
            <b/>
            <sz val="9"/>
            <rFont val="宋体"/>
            <family val="3"/>
            <charset val="134"/>
          </rPr>
          <t>向利新:</t>
        </r>
        <r>
          <rPr>
            <sz val="9"/>
            <rFont val="宋体"/>
            <family val="3"/>
            <charset val="134"/>
          </rPr>
          <t xml:space="preserve">
一个托盘放20箱 每箱10个。托盘52元，C32B纸箱7.4元,20个气泡袋5.2元</t>
        </r>
      </text>
    </comment>
    <comment ref="R4" authorId="0" shapeId="0">
      <text>
        <r>
          <rPr>
            <b/>
            <sz val="9"/>
            <rFont val="宋体"/>
            <family val="3"/>
            <charset val="134"/>
          </rPr>
          <t>Administrator:</t>
        </r>
        <r>
          <rPr>
            <sz val="9"/>
            <rFont val="宋体"/>
            <family val="3"/>
            <charset val="134"/>
          </rPr>
          <t xml:space="preserve">
一个托盘放20箱 每箱30个。托盘52元，C32B纸箱7.4元,20个气泡袋5.2元
</t>
        </r>
      </text>
    </comment>
    <comment ref="R5" authorId="1" shapeId="0">
      <text>
        <r>
          <rPr>
            <b/>
            <sz val="9"/>
            <rFont val="宋体"/>
            <family val="3"/>
            <charset val="134"/>
          </rPr>
          <t>向利新:</t>
        </r>
        <r>
          <rPr>
            <sz val="9"/>
            <rFont val="宋体"/>
            <family val="3"/>
            <charset val="134"/>
          </rPr>
          <t xml:space="preserve">
一个托盘放20箱 每箱10个。托盘52元，C32B纸箱7.4元,20个气泡袋5.2元</t>
        </r>
      </text>
    </comment>
    <comment ref="R6" authorId="0" shapeId="0">
      <text>
        <r>
          <rPr>
            <b/>
            <sz val="9"/>
            <rFont val="宋体"/>
            <family val="3"/>
            <charset val="134"/>
          </rPr>
          <t>Administrator:</t>
        </r>
        <r>
          <rPr>
            <sz val="9"/>
            <rFont val="宋体"/>
            <family val="3"/>
            <charset val="134"/>
          </rPr>
          <t xml:space="preserve">
一个托盘放20箱 每箱30个。托盘52元，C32B纸箱7.4元,20个气泡袋5.2元
</t>
        </r>
      </text>
    </comment>
    <comment ref="R7" authorId="0" shapeId="0">
      <text>
        <r>
          <rPr>
            <b/>
            <sz val="9"/>
            <rFont val="宋体"/>
            <family val="3"/>
            <charset val="134"/>
          </rPr>
          <t>Administrator:</t>
        </r>
        <r>
          <rPr>
            <sz val="9"/>
            <rFont val="宋体"/>
            <family val="3"/>
            <charset val="134"/>
          </rPr>
          <t xml:space="preserve">
木托盘装50个</t>
        </r>
      </text>
    </comment>
    <comment ref="R13" authorId="1" shapeId="0">
      <text>
        <r>
          <rPr>
            <b/>
            <sz val="9"/>
            <rFont val="宋体"/>
            <family val="3"/>
            <charset val="134"/>
          </rPr>
          <t>向利新:</t>
        </r>
        <r>
          <rPr>
            <sz val="9"/>
            <rFont val="宋体"/>
            <family val="3"/>
            <charset val="134"/>
          </rPr>
          <t xml:space="preserve">
一个托盘放20箱 每箱10个。托盘52元，C32B纸箱7.4元,20个气泡袋5.2元</t>
        </r>
      </text>
    </comment>
    <comment ref="R18" authorId="1" shapeId="0">
      <text>
        <r>
          <rPr>
            <b/>
            <sz val="9"/>
            <rFont val="宋体"/>
            <family val="3"/>
            <charset val="134"/>
          </rPr>
          <t>向利新:</t>
        </r>
        <r>
          <rPr>
            <sz val="9"/>
            <rFont val="宋体"/>
            <family val="3"/>
            <charset val="134"/>
          </rPr>
          <t xml:space="preserve">
一个托盘放20箱 每箱150.84个。托盘52元，C32B纸箱7.4元,40个气泡袋10.4元</t>
        </r>
      </text>
    </comment>
    <comment ref="R26" authorId="1" shapeId="0">
      <text>
        <r>
          <rPr>
            <b/>
            <sz val="9"/>
            <rFont val="宋体"/>
            <family val="3"/>
            <charset val="134"/>
          </rPr>
          <t>向利新:</t>
        </r>
        <r>
          <rPr>
            <sz val="9"/>
            <rFont val="宋体"/>
            <family val="3"/>
            <charset val="134"/>
          </rPr>
          <t xml:space="preserve">
一个托盘放20箱 每箱150.84个。托盘52元，C32B纸箱7.4元,40个气泡袋10.4元</t>
        </r>
      </text>
    </comment>
  </commentList>
</comments>
</file>

<file path=xl/sharedStrings.xml><?xml version="1.0" encoding="utf-8"?>
<sst xmlns="http://schemas.openxmlformats.org/spreadsheetml/2006/main" count="1472" uniqueCount="284">
  <si>
    <t>层级</t>
  </si>
  <si>
    <t>物料号</t>
  </si>
  <si>
    <t>名称</t>
  </si>
  <si>
    <t>图片</t>
  </si>
  <si>
    <t>自制外采</t>
  </si>
  <si>
    <t>材质</t>
  </si>
  <si>
    <t>重量</t>
  </si>
  <si>
    <t>数量</t>
  </si>
  <si>
    <t>单位</t>
  </si>
  <si>
    <t>材料费</t>
  </si>
  <si>
    <t>加工费</t>
  </si>
  <si>
    <t>表面</t>
  </si>
  <si>
    <t>合计</t>
  </si>
  <si>
    <t>河北外购</t>
  </si>
  <si>
    <t>冲压/弯管</t>
  </si>
  <si>
    <t>焊接</t>
  </si>
  <si>
    <t>目标价</t>
  </si>
  <si>
    <t>主架基础款通风靠背0995</t>
  </si>
  <si>
    <t>虚构号</t>
  </si>
  <si>
    <t>SLT0010919</t>
  </si>
  <si>
    <t>靠背下横管电泳总成</t>
  </si>
  <si>
    <t>外采</t>
  </si>
  <si>
    <t>SLT0010880</t>
  </si>
  <si>
    <t>靠背下横管焊接总成</t>
  </si>
  <si>
    <t>ASSY</t>
  </si>
  <si>
    <t>6801103X2001A</t>
  </si>
  <si>
    <t>驾驶员座垫固定支架</t>
  </si>
  <si>
    <t>QStE420TM 2.0</t>
  </si>
  <si>
    <t>件</t>
  </si>
  <si>
    <t>SLT0010911</t>
  </si>
  <si>
    <t>靠背下横管</t>
  </si>
  <si>
    <t>Q235 φ22×1.5</t>
  </si>
  <si>
    <t>SLT0010912</t>
  </si>
  <si>
    <t>座垫支撑钢丝</t>
  </si>
  <si>
    <t>Q235  φ5</t>
  </si>
  <si>
    <t>靠背管架总成</t>
  </si>
  <si>
    <t>SLT0010913</t>
  </si>
  <si>
    <t>主驾靠背弯管</t>
  </si>
  <si>
    <t>Q235 φ25×1.5</t>
  </si>
  <si>
    <t>320121300100</t>
  </si>
  <si>
    <t>头枕导管A</t>
  </si>
  <si>
    <t>2.0   SPHC-P</t>
  </si>
  <si>
    <t>320121300200</t>
  </si>
  <si>
    <t>头枕导管B</t>
  </si>
  <si>
    <t>SLT0010920</t>
  </si>
  <si>
    <t>肩部前支撑钢丝</t>
  </si>
  <si>
    <t>Q235  φ6</t>
  </si>
  <si>
    <t>SLT0010882</t>
  </si>
  <si>
    <t>主驾靠背侧翼支撑钢丝</t>
  </si>
  <si>
    <t>SLT0010754</t>
  </si>
  <si>
    <t>驾驶员靠背网簧固定钣金</t>
  </si>
  <si>
    <t>Q235  1.0T</t>
  </si>
  <si>
    <t>SLT0011689</t>
  </si>
  <si>
    <t>主驾背板支撑钢丝焊接总成</t>
  </si>
  <si>
    <t>SLT0010885</t>
  </si>
  <si>
    <t>主驾背板支撑钢丝A</t>
  </si>
  <si>
    <t>SLT0010997</t>
  </si>
  <si>
    <t>风机固定钢丝A</t>
  </si>
  <si>
    <t>SLT0010921</t>
  </si>
  <si>
    <t>肩部后支撑钢丝</t>
  </si>
  <si>
    <t>SLT0010753</t>
  </si>
  <si>
    <t>驾驶员靠背网簧</t>
  </si>
  <si>
    <t>65Mn</t>
  </si>
  <si>
    <t>主架减震通风靠背1249</t>
  </si>
  <si>
    <t>1249缺少焊接总成号</t>
  </si>
  <si>
    <t>SLT0011258</t>
  </si>
  <si>
    <t>侧翼支撑钢丝焊接总成</t>
  </si>
  <si>
    <t>Q235  Φ6</t>
  </si>
  <si>
    <t>SLT0010883</t>
  </si>
  <si>
    <t>靠背侧翼气袋支撑钢丝</t>
  </si>
  <si>
    <t>SLT0011259</t>
  </si>
  <si>
    <t>腰托支撑钢丝</t>
  </si>
  <si>
    <t>副驾靠背装配总成1027</t>
  </si>
  <si>
    <t>副驾背弯管焊接总成</t>
  </si>
  <si>
    <t>SLT0011037/SLT002887</t>
  </si>
  <si>
    <t>副驾靠背管架</t>
  </si>
  <si>
    <t>SLT0011038/ SLT002887</t>
  </si>
  <si>
    <t>副驾靠背管架连接管</t>
  </si>
  <si>
    <t>SLT0011690</t>
  </si>
  <si>
    <t>副驾背板支撑钢丝焊接总成</t>
  </si>
  <si>
    <t>SLT0011049</t>
  </si>
  <si>
    <t>背板支撑钢丝A</t>
  </si>
  <si>
    <t>SLT0011691</t>
  </si>
  <si>
    <t>背板支撑钢丝C</t>
  </si>
  <si>
    <t>SLT0011050</t>
  </si>
  <si>
    <t>背板支撑钢丝B</t>
  </si>
  <si>
    <t>SLT0011039</t>
  </si>
  <si>
    <t>侧翼支撑钢丝</t>
  </si>
  <si>
    <t>副驾小背骨架焊接总成1080</t>
  </si>
  <si>
    <t>SLT0011082</t>
  </si>
  <si>
    <t>副驾小背弯管</t>
  </si>
  <si>
    <t>Q235Φ25x1.5</t>
  </si>
  <si>
    <t>SLT0011092</t>
  </si>
  <si>
    <t>小背下横管</t>
  </si>
  <si>
    <t>SLT0011093</t>
  </si>
  <si>
    <t>小背下支撑钢丝</t>
  </si>
  <si>
    <t>Q235 φ5</t>
  </si>
  <si>
    <t>SLT0011697</t>
  </si>
  <si>
    <t>副驾小背焊接钢丝总成</t>
  </si>
  <si>
    <t>SLT0011684</t>
  </si>
  <si>
    <t>小靠背背板支撑钢丝</t>
  </si>
  <si>
    <t>SLT0011083</t>
  </si>
  <si>
    <t>小背背板后支撑钢丝A</t>
  </si>
  <si>
    <t>SLT0011079</t>
  </si>
  <si>
    <t>小背侧翼支撑钢丝</t>
  </si>
  <si>
    <t>SLT0011094</t>
  </si>
  <si>
    <t>副驾小背支撑钢丝焊接总成</t>
  </si>
  <si>
    <t>SLT0011095</t>
  </si>
  <si>
    <t xml:space="preserve"> 小背支撑钢丝A</t>
  </si>
  <si>
    <t>SLT0011096</t>
  </si>
  <si>
    <t xml:space="preserve"> 小背支撑钢丝B</t>
  </si>
  <si>
    <t>SLT0011084</t>
  </si>
  <si>
    <t>小背面套卡接钢丝</t>
  </si>
  <si>
    <t>SLT0011165</t>
  </si>
  <si>
    <t>副驾小背骨架焊接总成1165</t>
  </si>
  <si>
    <t>SLT0011167</t>
  </si>
  <si>
    <t>SLT0011185</t>
  </si>
  <si>
    <t>SLT0011699</t>
  </si>
  <si>
    <t>SLT0011078</t>
  </si>
  <si>
    <t>湖南工厂焊接费用，1厘米9分钱</t>
  </si>
  <si>
    <t>欧马可靠背小总成报价</t>
  </si>
  <si>
    <t>客户</t>
  </si>
  <si>
    <t>项目</t>
  </si>
  <si>
    <t>产品</t>
  </si>
  <si>
    <t>QAD码</t>
  </si>
  <si>
    <t>外购原材料金额</t>
  </si>
  <si>
    <t>自制原材料金额</t>
  </si>
  <si>
    <t>材料金额合计</t>
  </si>
  <si>
    <t>前工序直接人工</t>
  </si>
  <si>
    <t>水电气</t>
  </si>
  <si>
    <t>焊接直接人工</t>
  </si>
  <si>
    <t>底座直接人工</t>
  </si>
  <si>
    <t>电泳直接人工</t>
  </si>
  <si>
    <t>小计</t>
  </si>
  <si>
    <t>料工费合计*1.18费用</t>
  </si>
  <si>
    <t>包装</t>
  </si>
  <si>
    <t>运费</t>
  </si>
  <si>
    <t>外购件*1.03费用</t>
  </si>
  <si>
    <t>建议未税销价</t>
  </si>
  <si>
    <t>株洲</t>
  </si>
  <si>
    <t>基础、减震正背（通风和非通风）</t>
  </si>
  <si>
    <t>正背调角器左（基础）</t>
  </si>
  <si>
    <t>SLTO011320</t>
  </si>
  <si>
    <t>——</t>
  </si>
  <si>
    <t>9.6米运费11000,16托盘，每个托盘688元</t>
  </si>
  <si>
    <t>一个托盘放20箱 每箱10个，托盘52元，20个C32B纸箱7.4元,20个气泡袋5.2元
合计:205.2元</t>
  </si>
  <si>
    <t>正背调角器右（基础）</t>
  </si>
  <si>
    <t>SLTO010878</t>
  </si>
  <si>
    <t xml:space="preserve">一个托盘放20箱 每箱30个。托盘52元，C32B纸箱7.4元,20个气泡袋5.2元
合计：205.2元
</t>
  </si>
  <si>
    <t>正背调角器左（减震）</t>
  </si>
  <si>
    <t>SLTO011250</t>
  </si>
  <si>
    <t>正背调角器右（减震）</t>
  </si>
  <si>
    <t>SLTO011253</t>
  </si>
  <si>
    <t>扶手支架电泳总成</t>
  </si>
  <si>
    <t>SLT0011854</t>
  </si>
  <si>
    <t xml:space="preserve">一个托盘放20箱 每箱100个。托盘52元，301纸箱2.83元
合计：108.6元
</t>
  </si>
  <si>
    <t>每托排100根</t>
  </si>
  <si>
    <t>背板支撑板A</t>
  </si>
  <si>
    <t>SLT0011003</t>
  </si>
  <si>
    <t xml:space="preserve">副驾背板支撑钣金B,纸箱尺寸：304*304*192，每箱250件*0.061=15.2KG
t托盘尺寸：1160*1000，副驾背板支撑板B,每层放9箱
</t>
  </si>
  <si>
    <t>背板支撑板B</t>
  </si>
  <si>
    <t>SLT0011004</t>
  </si>
  <si>
    <t>背板支撑板C</t>
  </si>
  <si>
    <t>SLT0011005</t>
  </si>
  <si>
    <t>背板支撑板D</t>
  </si>
  <si>
    <t>SLT0011006</t>
  </si>
  <si>
    <t>副背</t>
  </si>
  <si>
    <t>副背调角器总成</t>
  </si>
  <si>
    <t>SLTO011032</t>
  </si>
  <si>
    <t>靠背管小背下横管焊接总成</t>
  </si>
  <si>
    <t>SLT0002887</t>
  </si>
  <si>
    <t>副驾背板支撑钣金A</t>
  </si>
  <si>
    <t>SLT0011042</t>
  </si>
  <si>
    <t>副驾背板支撑钣金B</t>
  </si>
  <si>
    <t>SLT0011048</t>
  </si>
  <si>
    <t>副驾背板支撑钣金总成C</t>
  </si>
  <si>
    <t>SLT0011045</t>
  </si>
  <si>
    <t>2060小背</t>
  </si>
  <si>
    <t>小背调角器</t>
  </si>
  <si>
    <t>SLTO011086</t>
  </si>
  <si>
    <t>一个托盘放20箱 每箱15个。托盘52元，C32B纸箱7.4元,40个气泡袋10.4元，合计：210.4元</t>
  </si>
  <si>
    <t>小背旋转轴固定板电泳总成</t>
  </si>
  <si>
    <t>SLT0011853</t>
  </si>
  <si>
    <t>一个托盘放20箱 每箱50个。托盘52元，301纸箱2.83元，合计：108.6元</t>
  </si>
  <si>
    <t>2060小背弯管</t>
  </si>
  <si>
    <t>2060小背下横管</t>
  </si>
  <si>
    <t>每托排1800根9箱每箱50根</t>
  </si>
  <si>
    <t>小背背板支撑板B</t>
  </si>
  <si>
    <t>SLT0011105</t>
  </si>
  <si>
    <t>小背背板支撑板D</t>
  </si>
  <si>
    <t>SLT0011109</t>
  </si>
  <si>
    <t>小背解锁扣手固定座</t>
  </si>
  <si>
    <t>SLT0011085</t>
  </si>
  <si>
    <t xml:space="preserve">小背解锁固定座，纸箱尺寸：470*305*165，每箱80件*0.23=18.4K
t托盘尺寸：1160*1000，小背解锁固定座，每层放6箱
</t>
  </si>
  <si>
    <t>1880小背</t>
  </si>
  <si>
    <t>一个托盘放20箱 每箱150.84个。托盘52元，C32B纸箱7.4元,40个气泡袋10.4元</t>
  </si>
  <si>
    <t>1880小背弯管</t>
  </si>
  <si>
    <t>1880小背下横管</t>
  </si>
  <si>
    <t>报价单</t>
  </si>
  <si>
    <t>序号</t>
  </si>
  <si>
    <t>单件物料号</t>
  </si>
  <si>
    <t>零件名称</t>
  </si>
  <si>
    <t>耗用量</t>
  </si>
  <si>
    <t>未税单价</t>
  </si>
  <si>
    <r>
      <rPr>
        <b/>
        <sz val="11"/>
        <color theme="1"/>
        <rFont val="等线"/>
        <family val="3"/>
        <charset val="134"/>
      </rPr>
      <t>重量</t>
    </r>
    <r>
      <rPr>
        <b/>
        <sz val="11"/>
        <color theme="1"/>
        <rFont val="Arial"/>
        <family val="2"/>
      </rPr>
      <t>kg</t>
    </r>
  </si>
  <si>
    <t>加工成本</t>
  </si>
  <si>
    <t>系数</t>
  </si>
  <si>
    <t>未税目标价</t>
  </si>
  <si>
    <t>材料</t>
  </si>
  <si>
    <t>废铁</t>
  </si>
  <si>
    <t>毛重</t>
  </si>
  <si>
    <t>净重</t>
  </si>
  <si>
    <t>工序</t>
  </si>
  <si>
    <t>吨位</t>
  </si>
  <si>
    <t>工序费</t>
  </si>
  <si>
    <t>出件数</t>
  </si>
  <si>
    <t>下料</t>
  </si>
  <si>
    <t>剪板机</t>
  </si>
  <si>
    <t>落料冲孔</t>
  </si>
  <si>
    <t>80T</t>
  </si>
  <si>
    <r>
      <rPr>
        <sz val="9"/>
        <rFont val="宋体"/>
        <family val="3"/>
        <charset val="134"/>
      </rPr>
      <t>成型</t>
    </r>
    <r>
      <rPr>
        <sz val="9"/>
        <rFont val="Arial"/>
        <family val="2"/>
      </rPr>
      <t>1</t>
    </r>
  </si>
  <si>
    <t>63T</t>
  </si>
  <si>
    <r>
      <rPr>
        <sz val="9"/>
        <rFont val="宋体"/>
        <family val="3"/>
        <charset val="134"/>
      </rPr>
      <t>成型</t>
    </r>
    <r>
      <rPr>
        <sz val="9"/>
        <rFont val="Arial"/>
        <family val="2"/>
      </rPr>
      <t>2</t>
    </r>
  </si>
  <si>
    <t>圆切机</t>
  </si>
  <si>
    <t>成型</t>
  </si>
  <si>
    <t>100T</t>
  </si>
  <si>
    <t>拍扁</t>
  </si>
  <si>
    <t>材料成本合计：</t>
  </si>
  <si>
    <t>加工成本合计：</t>
  </si>
  <si>
    <t>弯管</t>
  </si>
  <si>
    <t>弯管机</t>
  </si>
  <si>
    <t>125T</t>
  </si>
  <si>
    <t>钻工艺孔</t>
  </si>
  <si>
    <t>台钻</t>
  </si>
  <si>
    <r>
      <rPr>
        <sz val="9"/>
        <color theme="1"/>
        <rFont val="宋体"/>
        <family val="3"/>
        <charset val="134"/>
      </rPr>
      <t>主驾背板支撑钢丝</t>
    </r>
    <r>
      <rPr>
        <sz val="9"/>
        <color theme="1"/>
        <rFont val="Arial"/>
        <family val="2"/>
      </rPr>
      <t>A</t>
    </r>
  </si>
  <si>
    <r>
      <rPr>
        <sz val="9"/>
        <color theme="1"/>
        <rFont val="宋体"/>
        <family val="3"/>
        <charset val="134"/>
      </rPr>
      <t>风机固定钢丝</t>
    </r>
    <r>
      <rPr>
        <sz val="9"/>
        <color theme="1"/>
        <rFont val="Arial"/>
        <family val="2"/>
      </rPr>
      <t>A</t>
    </r>
  </si>
  <si>
    <t>拍扁1</t>
  </si>
  <si>
    <t>拍扁2</t>
  </si>
  <si>
    <t>拍扁3</t>
  </si>
  <si>
    <t>冲孔</t>
  </si>
  <si>
    <t>切边</t>
  </si>
  <si>
    <t>报价单位：湖南凌天汽车零部件有限公司</t>
  </si>
  <si>
    <t>报价时间：2024年7月17日</t>
  </si>
  <si>
    <t>目标价</t>
    <phoneticPr fontId="14" type="noConversion"/>
  </si>
  <si>
    <t>目标价</t>
    <phoneticPr fontId="6" type="noConversion"/>
  </si>
  <si>
    <t>靠背管架总成</t>
    <phoneticPr fontId="6" type="noConversion"/>
  </si>
  <si>
    <t>SLT0010892</t>
    <phoneticPr fontId="6" type="noConversion"/>
  </si>
  <si>
    <r>
      <t>1</t>
    </r>
    <r>
      <rPr>
        <sz val="11"/>
        <rFont val="宋体"/>
        <family val="3"/>
        <charset val="134"/>
        <scheme val="minor"/>
      </rPr>
      <t>027</t>
    </r>
    <r>
      <rPr>
        <sz val="11"/>
        <rFont val="宋体"/>
        <family val="3"/>
        <charset val="134"/>
        <scheme val="minor"/>
      </rPr>
      <t>副驾背弯管焊接总成</t>
    </r>
    <phoneticPr fontId="6" type="noConversion"/>
  </si>
  <si>
    <r>
      <t>小背背管架焊接总成1</t>
    </r>
    <r>
      <rPr>
        <sz val="11"/>
        <rFont val="宋体"/>
        <family val="3"/>
        <charset val="134"/>
        <scheme val="minor"/>
      </rPr>
      <t>080</t>
    </r>
    <phoneticPr fontId="6" type="noConversion"/>
  </si>
  <si>
    <t>小背背管架焊接总成1080</t>
  </si>
  <si>
    <r>
      <t>小背背管架焊接总成1</t>
    </r>
    <r>
      <rPr>
        <sz val="11"/>
        <rFont val="宋体"/>
        <family val="3"/>
        <charset val="134"/>
        <scheme val="minor"/>
      </rPr>
      <t>165</t>
    </r>
    <phoneticPr fontId="6" type="noConversion"/>
  </si>
  <si>
    <t>小背背管架焊接总成1165</t>
  </si>
  <si>
    <t>靠背下横管电泳总成（需电泳</t>
    <phoneticPr fontId="6" type="noConversion"/>
  </si>
  <si>
    <t>名称</t>
    <phoneticPr fontId="6" type="noConversion"/>
  </si>
  <si>
    <t>图号</t>
    <phoneticPr fontId="6" type="noConversion"/>
  </si>
  <si>
    <t>材料费</t>
    <phoneticPr fontId="6" type="noConversion"/>
  </si>
  <si>
    <t>附加值</t>
    <phoneticPr fontId="6" type="noConversion"/>
  </si>
  <si>
    <t>M4骨架焊接总成报价表</t>
  </si>
  <si>
    <t>包装运输</t>
  </si>
  <si>
    <t>焊接总成</t>
  </si>
  <si>
    <t>保护焊</t>
  </si>
  <si>
    <t>mm</t>
  </si>
  <si>
    <t>电泳</t>
  </si>
  <si>
    <t>电泳设备</t>
  </si>
  <si>
    <r>
      <rPr>
        <sz val="9"/>
        <color theme="1"/>
        <rFont val="宋体"/>
        <family val="3"/>
        <charset val="134"/>
      </rPr>
      <t>头枕导管</t>
    </r>
    <r>
      <rPr>
        <sz val="9"/>
        <color theme="1"/>
        <rFont val="Arial"/>
        <family val="2"/>
      </rPr>
      <t>A</t>
    </r>
  </si>
  <si>
    <r>
      <rPr>
        <sz val="9"/>
        <color theme="1"/>
        <rFont val="宋体"/>
        <family val="3"/>
        <charset val="134"/>
      </rPr>
      <t>头枕导管</t>
    </r>
    <r>
      <rPr>
        <sz val="9"/>
        <color theme="1"/>
        <rFont val="Arial"/>
        <family val="2"/>
      </rPr>
      <t>B</t>
    </r>
  </si>
  <si>
    <t>挂网簧</t>
  </si>
  <si>
    <t>人工</t>
  </si>
  <si>
    <t>报价时间：2024年7月22日</t>
  </si>
  <si>
    <t>湘和价格</t>
    <phoneticPr fontId="6" type="noConversion"/>
  </si>
  <si>
    <t>湘和模具费</t>
    <phoneticPr fontId="6" type="noConversion"/>
  </si>
  <si>
    <r>
      <t>靠背管架总成0</t>
    </r>
    <r>
      <rPr>
        <sz val="11"/>
        <rFont val="宋体"/>
        <family val="3"/>
        <charset val="134"/>
        <scheme val="minor"/>
      </rPr>
      <t>875</t>
    </r>
    <phoneticPr fontId="6" type="noConversion"/>
  </si>
  <si>
    <t>焊接</t>
    <phoneticPr fontId="6" type="noConversion"/>
  </si>
  <si>
    <t>冲压</t>
    <phoneticPr fontId="6" type="noConversion"/>
  </si>
  <si>
    <t>凌天最终价格</t>
    <phoneticPr fontId="6" type="noConversion"/>
  </si>
  <si>
    <t>凌天二次价格</t>
    <phoneticPr fontId="6" type="noConversion"/>
  </si>
  <si>
    <t>凌天一次价格</t>
    <phoneticPr fontId="6" type="noConversion"/>
  </si>
  <si>
    <t>分摊后价格</t>
    <phoneticPr fontId="6" type="noConversion"/>
  </si>
  <si>
    <t>模具费</t>
    <phoneticPr fontId="6" type="noConversion"/>
  </si>
  <si>
    <t>分摊价格</t>
    <phoneticPr fontId="6" type="noConversion"/>
  </si>
  <si>
    <t>凌天报价</t>
    <phoneticPr fontId="6" type="noConversion"/>
  </si>
  <si>
    <t>湘和报价</t>
    <phoneticPr fontId="6" type="noConversion"/>
  </si>
  <si>
    <t>工序</t>
    <phoneticPr fontId="6" type="noConversion"/>
  </si>
  <si>
    <r>
      <t>2年</t>
    </r>
    <r>
      <rPr>
        <sz val="11"/>
        <color theme="1"/>
        <rFont val="宋体"/>
        <family val="3"/>
        <charset val="134"/>
        <scheme val="minor"/>
      </rPr>
      <t>2万件分摊</t>
    </r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</si>
</sst>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 * #,##0.00_ ;_ * \-#,##0.00_ ;_ * &quot;-&quot;??_ ;_ @_ "/>
    <numFmt numFmtId="176" formatCode="0.000_ "/>
    <numFmt numFmtId="177" formatCode="0_);[Red]\(0\)"/>
    <numFmt numFmtId="178" formatCode="0.000_);[Red]\(0.000\)"/>
    <numFmt numFmtId="179" formatCode="0.00_);[Red]\(0.00\)"/>
    <numFmt numFmtId="180" formatCode="0.00_ "/>
    <numFmt numFmtId="181" formatCode="[$-804]aaaa;@"/>
    <numFmt numFmtId="182" formatCode="0.0_);[Red]\(0.0\)"/>
    <numFmt numFmtId="183" formatCode="0_ "/>
  </numFmts>
  <fonts count="31" x14ac:knownFonts="1">
    <font>
      <sz val="11"/>
      <color theme="1"/>
      <name val="宋体"/>
      <charset val="134"/>
      <scheme val="minor"/>
    </font>
    <font>
      <sz val="11"/>
      <name val="宋体"/>
      <family val="3"/>
      <charset val="134"/>
      <scheme val="minor"/>
    </font>
    <font>
      <sz val="9"/>
      <name val="Arial"/>
      <family val="2"/>
    </font>
    <font>
      <sz val="12"/>
      <name val="宋体"/>
      <family val="3"/>
      <charset val="134"/>
    </font>
    <font>
      <b/>
      <sz val="10"/>
      <name val="Arial"/>
      <family val="2"/>
    </font>
    <font>
      <sz val="20"/>
      <color theme="1"/>
      <name val="微软雅黑"/>
      <family val="2"/>
      <charset val="134"/>
    </font>
    <font>
      <sz val="9"/>
      <name val="宋体"/>
      <family val="3"/>
      <charset val="134"/>
      <scheme val="minor"/>
    </font>
    <font>
      <b/>
      <sz val="11"/>
      <name val="微软雅黑"/>
      <family val="2"/>
      <charset val="134"/>
    </font>
    <font>
      <b/>
      <sz val="12"/>
      <name val="微软雅黑"/>
      <family val="2"/>
      <charset val="134"/>
    </font>
    <font>
      <sz val="12"/>
      <name val="微软雅黑"/>
      <family val="2"/>
      <charset val="134"/>
    </font>
    <font>
      <sz val="9"/>
      <name val="宋体"/>
      <family val="3"/>
      <charset val="134"/>
    </font>
    <font>
      <b/>
      <sz val="9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b/>
      <sz val="20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b/>
      <sz val="11"/>
      <color theme="1"/>
      <name val="等线"/>
      <family val="3"/>
      <charset val="134"/>
    </font>
    <font>
      <b/>
      <sz val="11"/>
      <color theme="1"/>
      <name val="Arial"/>
      <family val="2"/>
    </font>
    <font>
      <sz val="10"/>
      <name val="Arial"/>
      <family val="2"/>
    </font>
    <font>
      <sz val="10"/>
      <name val="宋体"/>
      <family val="3"/>
      <charset val="134"/>
    </font>
    <font>
      <sz val="9"/>
      <name val="宋体"/>
      <family val="3"/>
      <charset val="134"/>
    </font>
    <font>
      <sz val="9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9"/>
      <color theme="1"/>
      <name val="宋体"/>
      <family val="3"/>
      <charset val="134"/>
    </font>
    <font>
      <sz val="9"/>
      <color theme="1"/>
      <name val="等线"/>
      <family val="3"/>
      <charset val="134"/>
    </font>
    <font>
      <b/>
      <sz val="11"/>
      <color theme="1"/>
      <name val="宋体"/>
      <family val="3"/>
      <charset val="134"/>
      <scheme val="minor"/>
    </font>
    <font>
      <b/>
      <sz val="11"/>
      <color theme="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b/>
      <sz val="16"/>
      <color theme="1"/>
      <name val="宋体"/>
      <family val="3"/>
      <charset val="134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9">
    <xf numFmtId="0" fontId="0" fillId="0" borderId="0">
      <alignment vertical="center"/>
    </xf>
    <xf numFmtId="0" fontId="2" fillId="0" borderId="2" applyNumberFormat="0" applyFill="0" applyBorder="0" applyAlignment="0" applyProtection="0">
      <alignment vertical="center"/>
    </xf>
    <xf numFmtId="0" fontId="3" fillId="0" borderId="0"/>
    <xf numFmtId="0" fontId="4" fillId="0" borderId="0" applyNumberFormat="0" applyFill="0" applyBorder="0" applyAlignment="0" applyProtection="0">
      <alignment vertical="center"/>
    </xf>
    <xf numFmtId="0" fontId="3" fillId="0" borderId="0"/>
    <xf numFmtId="43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0" fontId="15" fillId="0" borderId="0">
      <alignment vertical="center"/>
    </xf>
    <xf numFmtId="0" fontId="15" fillId="0" borderId="0">
      <alignment vertical="center"/>
    </xf>
  </cellStyleXfs>
  <cellXfs count="247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3" borderId="0" xfId="0" applyFill="1">
      <alignment vertical="center"/>
    </xf>
    <xf numFmtId="0" fontId="0" fillId="0" borderId="0" xfId="0" applyFill="1">
      <alignment vertical="center"/>
    </xf>
    <xf numFmtId="0" fontId="0" fillId="4" borderId="0" xfId="0" applyFill="1">
      <alignment vertical="center"/>
    </xf>
    <xf numFmtId="0" fontId="0" fillId="2" borderId="2" xfId="0" applyFont="1" applyFill="1" applyBorder="1">
      <alignment vertical="center"/>
    </xf>
    <xf numFmtId="0" fontId="0" fillId="2" borderId="3" xfId="0" applyFont="1" applyFill="1" applyBorder="1">
      <alignment vertical="center"/>
    </xf>
    <xf numFmtId="49" fontId="1" fillId="2" borderId="3" xfId="0" applyNumberFormat="1" applyFont="1" applyFill="1" applyBorder="1" applyAlignment="1">
      <alignment horizontal="center" vertical="center" wrapText="1"/>
    </xf>
    <xf numFmtId="0" fontId="1" fillId="2" borderId="2" xfId="0" applyNumberFormat="1" applyFont="1" applyFill="1" applyBorder="1" applyAlignment="1">
      <alignment vertical="center" wrapText="1"/>
    </xf>
    <xf numFmtId="0" fontId="1" fillId="2" borderId="2" xfId="1" applyNumberFormat="1" applyFont="1" applyFill="1" applyBorder="1" applyAlignment="1" applyProtection="1">
      <alignment horizontal="center" vertical="center" wrapText="1"/>
      <protection locked="0"/>
    </xf>
    <xf numFmtId="0" fontId="0" fillId="3" borderId="2" xfId="0" applyFont="1" applyFill="1" applyBorder="1">
      <alignment vertical="center"/>
    </xf>
    <xf numFmtId="0" fontId="0" fillId="3" borderId="3" xfId="0" applyFont="1" applyFill="1" applyBorder="1">
      <alignment vertical="center"/>
    </xf>
    <xf numFmtId="0" fontId="1" fillId="3" borderId="3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left" vertical="center" wrapText="1"/>
    </xf>
    <xf numFmtId="0" fontId="1" fillId="3" borderId="2" xfId="0" applyNumberFormat="1" applyFont="1" applyFill="1" applyBorder="1" applyAlignment="1">
      <alignment vertical="center" wrapText="1"/>
    </xf>
    <xf numFmtId="0" fontId="1" fillId="3" borderId="2" xfId="1" applyNumberFormat="1" applyFont="1" applyFill="1" applyBorder="1" applyAlignment="1" applyProtection="1">
      <alignment horizontal="center" vertical="center" wrapText="1"/>
      <protection locked="0"/>
    </xf>
    <xf numFmtId="0" fontId="0" fillId="0" borderId="2" xfId="0" applyFont="1" applyFill="1" applyBorder="1">
      <alignment vertical="center"/>
    </xf>
    <xf numFmtId="0" fontId="0" fillId="0" borderId="3" xfId="0" applyFont="1" applyFill="1" applyBorder="1">
      <alignment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left" vertical="center" wrapText="1"/>
    </xf>
    <xf numFmtId="0" fontId="1" fillId="0" borderId="2" xfId="0" applyNumberFormat="1" applyFont="1" applyFill="1" applyBorder="1" applyAlignment="1">
      <alignment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0" fillId="4" borderId="2" xfId="0" applyFont="1" applyFill="1" applyBorder="1">
      <alignment vertical="center"/>
    </xf>
    <xf numFmtId="0" fontId="0" fillId="4" borderId="3" xfId="0" applyFont="1" applyFill="1" applyBorder="1">
      <alignment vertical="center"/>
    </xf>
    <xf numFmtId="0" fontId="1" fillId="4" borderId="2" xfId="0" applyFont="1" applyFill="1" applyBorder="1" applyAlignment="1">
      <alignment horizontal="left" vertical="center" wrapText="1"/>
    </xf>
    <xf numFmtId="0" fontId="1" fillId="4" borderId="2" xfId="0" applyNumberFormat="1" applyFont="1" applyFill="1" applyBorder="1" applyAlignment="1">
      <alignment vertical="center" wrapText="1"/>
    </xf>
    <xf numFmtId="49" fontId="1" fillId="4" borderId="2" xfId="0" applyNumberFormat="1" applyFont="1" applyFill="1" applyBorder="1" applyAlignment="1">
      <alignment horizontal="center" vertical="center" wrapText="1"/>
    </xf>
    <xf numFmtId="49" fontId="1" fillId="0" borderId="3" xfId="0" applyNumberFormat="1" applyFont="1" applyFill="1" applyBorder="1" applyAlignment="1">
      <alignment horizontal="left" vertical="center" wrapText="1"/>
    </xf>
    <xf numFmtId="0" fontId="1" fillId="4" borderId="2" xfId="0" applyFont="1" applyFill="1" applyBorder="1" applyAlignment="1">
      <alignment horizontal="center" vertical="center" wrapText="1"/>
    </xf>
    <xf numFmtId="49" fontId="1" fillId="0" borderId="2" xfId="3" applyNumberFormat="1" applyFont="1" applyFill="1" applyBorder="1" applyAlignment="1">
      <alignment horizontal="center" vertical="center" wrapText="1"/>
    </xf>
    <xf numFmtId="49" fontId="0" fillId="0" borderId="3" xfId="0" applyNumberFormat="1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left" vertical="center" wrapText="1"/>
    </xf>
    <xf numFmtId="0" fontId="1" fillId="0" borderId="2" xfId="1" applyNumberFormat="1" applyFont="1" applyFill="1" applyBorder="1" applyAlignment="1" applyProtection="1">
      <alignment horizontal="center" vertical="center" wrapText="1"/>
      <protection locked="0"/>
    </xf>
    <xf numFmtId="177" fontId="1" fillId="2" borderId="3" xfId="0" applyNumberFormat="1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center" vertical="center" wrapText="1"/>
    </xf>
    <xf numFmtId="177" fontId="1" fillId="4" borderId="3" xfId="0" applyNumberFormat="1" applyFont="1" applyFill="1" applyBorder="1" applyAlignment="1">
      <alignment horizontal="center" vertical="center" wrapText="1"/>
    </xf>
    <xf numFmtId="177" fontId="1" fillId="0" borderId="3" xfId="0" applyNumberFormat="1" applyFont="1" applyFill="1" applyBorder="1" applyAlignment="1">
      <alignment horizontal="left" vertical="center" wrapText="1"/>
    </xf>
    <xf numFmtId="0" fontId="1" fillId="0" borderId="2" xfId="0" applyNumberFormat="1" applyFont="1" applyFill="1" applyBorder="1" applyAlignment="1">
      <alignment horizontal="center" vertical="center" wrapText="1"/>
    </xf>
    <xf numFmtId="177" fontId="1" fillId="0" borderId="3" xfId="0" applyNumberFormat="1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left" vertical="center" wrapText="1"/>
    </xf>
    <xf numFmtId="49" fontId="1" fillId="2" borderId="2" xfId="4" applyNumberFormat="1" applyFont="1" applyFill="1" applyBorder="1" applyAlignment="1" applyProtection="1">
      <alignment horizontal="center" vertical="center" wrapText="1"/>
      <protection locked="0"/>
    </xf>
    <xf numFmtId="49" fontId="1" fillId="0" borderId="2" xfId="4" applyNumberFormat="1" applyFont="1" applyFill="1" applyBorder="1" applyAlignment="1" applyProtection="1">
      <alignment horizontal="center" vertical="center" wrapText="1"/>
      <protection locked="0"/>
    </xf>
    <xf numFmtId="0" fontId="1" fillId="2" borderId="3" xfId="0" applyFont="1" applyFill="1" applyBorder="1" applyAlignment="1">
      <alignment horizontal="center" vertical="center" wrapText="1"/>
    </xf>
    <xf numFmtId="0" fontId="1" fillId="4" borderId="3" xfId="0" applyFont="1" applyFill="1" applyBorder="1" applyAlignment="1">
      <alignment horizontal="center" vertical="center" wrapText="1"/>
    </xf>
    <xf numFmtId="0" fontId="1" fillId="2" borderId="2" xfId="4" applyFont="1" applyFill="1" applyBorder="1" applyAlignment="1" applyProtection="1">
      <alignment horizontal="center" vertical="center" wrapText="1"/>
      <protection locked="0"/>
    </xf>
    <xf numFmtId="49" fontId="1" fillId="2" borderId="2" xfId="0" applyNumberFormat="1" applyFont="1" applyFill="1" applyBorder="1" applyAlignment="1">
      <alignment horizontal="center" vertical="center" wrapText="1"/>
    </xf>
    <xf numFmtId="0" fontId="0" fillId="2" borderId="2" xfId="0" applyFill="1" applyBorder="1">
      <alignment vertical="center"/>
    </xf>
    <xf numFmtId="0" fontId="1" fillId="3" borderId="2" xfId="4" applyFont="1" applyFill="1" applyBorder="1" applyAlignment="1" applyProtection="1">
      <alignment horizontal="center" vertical="center" wrapText="1"/>
      <protection locked="0"/>
    </xf>
    <xf numFmtId="49" fontId="1" fillId="3" borderId="2" xfId="3" applyNumberFormat="1" applyFont="1" applyFill="1" applyBorder="1" applyAlignment="1">
      <alignment horizontal="center" vertical="center" wrapText="1"/>
    </xf>
    <xf numFmtId="0" fontId="0" fillId="3" borderId="2" xfId="0" applyFill="1" applyBorder="1">
      <alignment vertical="center"/>
    </xf>
    <xf numFmtId="0" fontId="1" fillId="0" borderId="2" xfId="4" applyFont="1" applyFill="1" applyBorder="1" applyAlignment="1" applyProtection="1">
      <alignment horizontal="center" vertical="center" wrapText="1"/>
      <protection locked="0"/>
    </xf>
    <xf numFmtId="0" fontId="0" fillId="0" borderId="2" xfId="0" applyFill="1" applyBorder="1">
      <alignment vertical="center"/>
    </xf>
    <xf numFmtId="178" fontId="1" fillId="0" borderId="2" xfId="0" applyNumberFormat="1" applyFont="1" applyFill="1" applyBorder="1" applyAlignment="1">
      <alignment horizontal="center" vertical="center"/>
    </xf>
    <xf numFmtId="179" fontId="0" fillId="0" borderId="2" xfId="0" applyNumberFormat="1" applyFont="1" applyFill="1" applyBorder="1">
      <alignment vertical="center"/>
    </xf>
    <xf numFmtId="0" fontId="1" fillId="4" borderId="2" xfId="1" applyNumberFormat="1" applyFont="1" applyFill="1" applyBorder="1" applyAlignment="1" applyProtection="1">
      <alignment horizontal="center" vertical="center" wrapText="1"/>
      <protection locked="0"/>
    </xf>
    <xf numFmtId="0" fontId="1" fillId="4" borderId="2" xfId="4" applyFont="1" applyFill="1" applyBorder="1" applyAlignment="1" applyProtection="1">
      <alignment horizontal="center" vertical="center" wrapText="1"/>
      <protection locked="0"/>
    </xf>
    <xf numFmtId="0" fontId="0" fillId="4" borderId="2" xfId="0" applyFill="1" applyBorder="1">
      <alignment vertical="center"/>
    </xf>
    <xf numFmtId="178" fontId="1" fillId="0" borderId="2" xfId="4" applyNumberFormat="1" applyFont="1" applyFill="1" applyBorder="1" applyAlignment="1" applyProtection="1">
      <alignment horizontal="center" vertical="center"/>
      <protection locked="0"/>
    </xf>
    <xf numFmtId="180" fontId="0" fillId="0" borderId="2" xfId="0" applyNumberFormat="1" applyFill="1" applyBorder="1">
      <alignment vertical="center"/>
    </xf>
    <xf numFmtId="178" fontId="1" fillId="0" borderId="2" xfId="2" applyNumberFormat="1" applyFont="1" applyFill="1" applyBorder="1" applyAlignment="1" applyProtection="1">
      <alignment horizontal="center" vertical="center" wrapText="1"/>
      <protection locked="0"/>
    </xf>
    <xf numFmtId="177" fontId="1" fillId="0" borderId="2" xfId="0" applyNumberFormat="1" applyFont="1" applyFill="1" applyBorder="1" applyAlignment="1">
      <alignment horizontal="center" vertical="center" wrapText="1"/>
    </xf>
    <xf numFmtId="176" fontId="1" fillId="0" borderId="2" xfId="2" applyNumberFormat="1" applyFont="1" applyFill="1" applyBorder="1" applyAlignment="1" applyProtection="1">
      <alignment horizontal="center" vertical="center" wrapText="1"/>
      <protection locked="0"/>
    </xf>
    <xf numFmtId="176" fontId="1" fillId="0" borderId="2" xfId="0" applyNumberFormat="1" applyFont="1" applyFill="1" applyBorder="1" applyAlignment="1">
      <alignment horizontal="center" vertical="center" wrapText="1"/>
    </xf>
    <xf numFmtId="176" fontId="1" fillId="0" borderId="2" xfId="0" applyNumberFormat="1" applyFont="1" applyFill="1" applyBorder="1" applyAlignment="1">
      <alignment horizontal="center" vertical="center"/>
    </xf>
    <xf numFmtId="178" fontId="1" fillId="2" borderId="2" xfId="4" applyNumberFormat="1" applyFont="1" applyFill="1" applyBorder="1" applyAlignment="1" applyProtection="1">
      <alignment horizontal="center" vertical="center" wrapText="1"/>
      <protection locked="0"/>
    </xf>
    <xf numFmtId="49" fontId="1" fillId="2" borderId="2" xfId="3" applyNumberFormat="1" applyFont="1" applyFill="1" applyBorder="1" applyAlignment="1">
      <alignment horizontal="center" vertical="center" wrapText="1"/>
    </xf>
    <xf numFmtId="178" fontId="1" fillId="4" borderId="2" xfId="0" applyNumberFormat="1" applyFont="1" applyFill="1" applyBorder="1" applyAlignment="1">
      <alignment horizontal="center" vertical="center" wrapText="1"/>
    </xf>
    <xf numFmtId="49" fontId="1" fillId="4" borderId="2" xfId="3" applyNumberFormat="1" applyFont="1" applyFill="1" applyBorder="1" applyAlignment="1">
      <alignment horizontal="center" vertical="center" wrapText="1"/>
    </xf>
    <xf numFmtId="178" fontId="1" fillId="0" borderId="2" xfId="0" applyNumberFormat="1" applyFont="1" applyFill="1" applyBorder="1" applyAlignment="1">
      <alignment horizontal="center" vertical="center" wrapText="1"/>
    </xf>
    <xf numFmtId="178" fontId="1" fillId="2" borderId="2" xfId="0" applyNumberFormat="1" applyFont="1" applyFill="1" applyBorder="1" applyAlignment="1">
      <alignment horizontal="center" vertical="center" wrapText="1"/>
    </xf>
    <xf numFmtId="178" fontId="1" fillId="2" borderId="2" xfId="0" applyNumberFormat="1" applyFont="1" applyFill="1" applyBorder="1" applyAlignment="1">
      <alignment horizontal="left" vertical="center" wrapText="1"/>
    </xf>
    <xf numFmtId="178" fontId="1" fillId="4" borderId="2" xfId="0" applyNumberFormat="1" applyFont="1" applyFill="1" applyBorder="1" applyAlignment="1">
      <alignment horizontal="left" vertical="center" wrapText="1"/>
    </xf>
    <xf numFmtId="180" fontId="0" fillId="3" borderId="2" xfId="0" applyNumberFormat="1" applyFill="1" applyBorder="1">
      <alignment vertical="center"/>
    </xf>
    <xf numFmtId="180" fontId="0" fillId="4" borderId="2" xfId="0" applyNumberFormat="1" applyFill="1" applyBorder="1">
      <alignment vertical="center"/>
    </xf>
    <xf numFmtId="180" fontId="0" fillId="0" borderId="2" xfId="0" applyNumberFormat="1" applyFont="1" applyFill="1" applyBorder="1">
      <alignment vertical="center"/>
    </xf>
    <xf numFmtId="180" fontId="0" fillId="4" borderId="0" xfId="0" applyNumberFormat="1" applyFill="1">
      <alignment vertical="center"/>
    </xf>
    <xf numFmtId="180" fontId="0" fillId="0" borderId="0" xfId="0" applyNumberFormat="1" applyFill="1">
      <alignment vertical="center"/>
    </xf>
    <xf numFmtId="180" fontId="0" fillId="2" borderId="0" xfId="0" applyNumberFormat="1" applyFill="1">
      <alignment vertical="center"/>
    </xf>
    <xf numFmtId="0" fontId="1" fillId="0" borderId="3" xfId="0" quotePrefix="1" applyFont="1" applyFill="1" applyBorder="1" applyAlignment="1">
      <alignment horizontal="left" vertical="center" wrapText="1"/>
    </xf>
    <xf numFmtId="181" fontId="7" fillId="5" borderId="2" xfId="0" applyNumberFormat="1" applyFont="1" applyFill="1" applyBorder="1" applyAlignment="1">
      <alignment horizontal="center" vertical="center" wrapText="1"/>
    </xf>
    <xf numFmtId="181" fontId="8" fillId="5" borderId="2" xfId="0" applyNumberFormat="1" applyFont="1" applyFill="1" applyBorder="1" applyAlignment="1">
      <alignment horizontal="center" vertical="center" wrapText="1"/>
    </xf>
    <xf numFmtId="180" fontId="8" fillId="5" borderId="2" xfId="0" applyNumberFormat="1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left" vertical="center"/>
    </xf>
    <xf numFmtId="180" fontId="9" fillId="0" borderId="2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vertical="center" wrapText="1"/>
    </xf>
    <xf numFmtId="0" fontId="9" fillId="6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left" vertical="center" wrapText="1"/>
    </xf>
    <xf numFmtId="180" fontId="9" fillId="0" borderId="2" xfId="0" applyNumberFormat="1" applyFont="1" applyFill="1" applyBorder="1" applyAlignment="1">
      <alignment horizontal="center" vertical="center" wrapText="1"/>
    </xf>
    <xf numFmtId="0" fontId="17" fillId="0" borderId="0" xfId="7" applyFont="1" applyFill="1" applyAlignment="1">
      <alignment vertical="center"/>
    </xf>
    <xf numFmtId="179" fontId="16" fillId="0" borderId="2" xfId="7" applyNumberFormat="1" applyFont="1" applyFill="1" applyBorder="1" applyAlignment="1">
      <alignment horizontal="center" vertical="center"/>
    </xf>
    <xf numFmtId="178" fontId="16" fillId="0" borderId="2" xfId="7" applyNumberFormat="1" applyFont="1" applyFill="1" applyBorder="1" applyAlignment="1">
      <alignment horizontal="center" vertical="center" shrinkToFit="1"/>
    </xf>
    <xf numFmtId="179" fontId="16" fillId="0" borderId="2" xfId="7" applyNumberFormat="1" applyFont="1" applyFill="1" applyBorder="1" applyAlignment="1">
      <alignment horizontal="center" vertical="center" wrapText="1"/>
    </xf>
    <xf numFmtId="176" fontId="16" fillId="0" borderId="2" xfId="7" applyNumberFormat="1" applyFont="1" applyFill="1" applyBorder="1" applyAlignment="1">
      <alignment horizontal="center" vertical="center"/>
    </xf>
    <xf numFmtId="182" fontId="16" fillId="0" borderId="2" xfId="7" applyNumberFormat="1" applyFont="1" applyFill="1" applyBorder="1" applyAlignment="1">
      <alignment horizontal="center" vertical="center" wrapText="1"/>
    </xf>
    <xf numFmtId="176" fontId="16" fillId="0" borderId="2" xfId="7" applyNumberFormat="1" applyFont="1" applyFill="1" applyBorder="1" applyAlignment="1">
      <alignment horizontal="center" vertical="center" shrinkToFit="1"/>
    </xf>
    <xf numFmtId="0" fontId="2" fillId="0" borderId="5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 wrapText="1"/>
    </xf>
    <xf numFmtId="0" fontId="21" fillId="0" borderId="2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 wrapText="1"/>
    </xf>
    <xf numFmtId="179" fontId="2" fillId="0" borderId="2" xfId="1" applyNumberFormat="1" applyFont="1" applyFill="1" applyBorder="1" applyAlignment="1" applyProtection="1">
      <alignment horizontal="center" vertical="center" wrapText="1"/>
      <protection locked="0"/>
    </xf>
    <xf numFmtId="178" fontId="2" fillId="0" borderId="2" xfId="8" applyNumberFormat="1" applyFont="1" applyFill="1" applyBorder="1" applyAlignment="1">
      <alignment horizontal="center" vertical="center"/>
    </xf>
    <xf numFmtId="178" fontId="2" fillId="0" borderId="2" xfId="0" applyNumberFormat="1" applyFont="1" applyFill="1" applyBorder="1" applyAlignment="1">
      <alignment horizontal="center" vertical="center" wrapText="1"/>
    </xf>
    <xf numFmtId="178" fontId="2" fillId="0" borderId="2" xfId="1" applyNumberFormat="1" applyFont="1" applyFill="1" applyBorder="1" applyAlignment="1" applyProtection="1">
      <alignment horizontal="center" vertical="center" wrapText="1"/>
      <protection locked="0"/>
    </xf>
    <xf numFmtId="180" fontId="20" fillId="0" borderId="2" xfId="0" applyNumberFormat="1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/>
    </xf>
    <xf numFmtId="176" fontId="2" fillId="0" borderId="2" xfId="0" applyNumberFormat="1" applyFont="1" applyFill="1" applyBorder="1" applyAlignment="1">
      <alignment horizontal="center" vertical="center"/>
    </xf>
    <xf numFmtId="182" fontId="2" fillId="0" borderId="2" xfId="0" applyNumberFormat="1" applyFont="1" applyFill="1" applyBorder="1" applyAlignment="1">
      <alignment horizontal="center" vertical="center"/>
    </xf>
    <xf numFmtId="0" fontId="23" fillId="0" borderId="0" xfId="0" applyFont="1" applyFill="1" applyAlignment="1">
      <alignment vertical="center"/>
    </xf>
    <xf numFmtId="0" fontId="2" fillId="0" borderId="2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 wrapText="1"/>
    </xf>
    <xf numFmtId="0" fontId="21" fillId="6" borderId="2" xfId="0" applyFont="1" applyFill="1" applyBorder="1" applyAlignment="1">
      <alignment horizontal="center" vertical="center" wrapText="1"/>
    </xf>
    <xf numFmtId="0" fontId="24" fillId="6" borderId="2" xfId="0" applyFont="1" applyFill="1" applyBorder="1" applyAlignment="1">
      <alignment horizontal="center" vertical="center" wrapText="1"/>
    </xf>
    <xf numFmtId="0" fontId="21" fillId="6" borderId="2" xfId="0" applyFont="1" applyFill="1" applyBorder="1" applyAlignment="1">
      <alignment horizontal="center" vertical="center"/>
    </xf>
    <xf numFmtId="179" fontId="2" fillId="6" borderId="2" xfId="1" applyNumberFormat="1" applyFont="1" applyFill="1" applyBorder="1" applyAlignment="1" applyProtection="1">
      <alignment horizontal="center" vertical="center" wrapText="1"/>
      <protection locked="0"/>
    </xf>
    <xf numFmtId="178" fontId="2" fillId="6" borderId="2" xfId="8" applyNumberFormat="1" applyFont="1" applyFill="1" applyBorder="1" applyAlignment="1">
      <alignment horizontal="center" vertical="center"/>
    </xf>
    <xf numFmtId="178" fontId="2" fillId="6" borderId="2" xfId="0" applyNumberFormat="1" applyFont="1" applyFill="1" applyBorder="1" applyAlignment="1">
      <alignment horizontal="center" vertical="center" wrapText="1"/>
    </xf>
    <xf numFmtId="178" fontId="2" fillId="6" borderId="2" xfId="1" applyNumberFormat="1" applyFont="1" applyFill="1" applyBorder="1" applyAlignment="1" applyProtection="1">
      <alignment horizontal="center" vertical="center" wrapText="1"/>
      <protection locked="0"/>
    </xf>
    <xf numFmtId="180" fontId="20" fillId="6" borderId="2" xfId="0" applyNumberFormat="1" applyFont="1" applyFill="1" applyBorder="1" applyAlignment="1">
      <alignment horizontal="center" vertical="center" wrapText="1"/>
    </xf>
    <xf numFmtId="0" fontId="2" fillId="6" borderId="2" xfId="0" applyFont="1" applyFill="1" applyBorder="1" applyAlignment="1">
      <alignment horizontal="center" vertical="center"/>
    </xf>
    <xf numFmtId="176" fontId="2" fillId="6" borderId="2" xfId="0" applyNumberFormat="1" applyFont="1" applyFill="1" applyBorder="1" applyAlignment="1">
      <alignment horizontal="center" vertical="center"/>
    </xf>
    <xf numFmtId="182" fontId="2" fillId="6" borderId="2" xfId="0" applyNumberFormat="1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 wrapText="1"/>
    </xf>
    <xf numFmtId="179" fontId="21" fillId="0" borderId="2" xfId="0" applyNumberFormat="1" applyFont="1" applyFill="1" applyBorder="1" applyAlignment="1">
      <alignment horizontal="center" vertical="center"/>
    </xf>
    <xf numFmtId="176" fontId="21" fillId="0" borderId="2" xfId="0" applyNumberFormat="1" applyFont="1" applyFill="1" applyBorder="1" applyAlignment="1">
      <alignment horizontal="center" vertical="center"/>
    </xf>
    <xf numFmtId="179" fontId="21" fillId="6" borderId="2" xfId="0" applyNumberFormat="1" applyFont="1" applyFill="1" applyBorder="1" applyAlignment="1">
      <alignment horizontal="center" vertical="center"/>
    </xf>
    <xf numFmtId="178" fontId="21" fillId="6" borderId="2" xfId="0" applyNumberFormat="1" applyFont="1" applyFill="1" applyBorder="1" applyAlignment="1">
      <alignment horizontal="center" vertical="center"/>
    </xf>
    <xf numFmtId="178" fontId="21" fillId="0" borderId="2" xfId="0" applyNumberFormat="1" applyFont="1" applyFill="1" applyBorder="1" applyAlignment="1">
      <alignment horizontal="center" vertical="center"/>
    </xf>
    <xf numFmtId="0" fontId="20" fillId="6" borderId="2" xfId="0" applyFont="1" applyFill="1" applyBorder="1" applyAlignment="1">
      <alignment horizontal="center" vertical="center"/>
    </xf>
    <xf numFmtId="176" fontId="0" fillId="0" borderId="0" xfId="0" applyNumberFormat="1">
      <alignment vertical="center"/>
    </xf>
    <xf numFmtId="180" fontId="0" fillId="0" borderId="0" xfId="0" applyNumberFormat="1">
      <alignment vertical="center"/>
    </xf>
    <xf numFmtId="0" fontId="27" fillId="0" borderId="0" xfId="7" applyFont="1" applyFill="1" applyAlignment="1">
      <alignment vertical="center"/>
    </xf>
    <xf numFmtId="0" fontId="29" fillId="4" borderId="2" xfId="0" applyFont="1" applyFill="1" applyBorder="1" applyAlignment="1">
      <alignment horizontal="left" vertical="center" wrapText="1"/>
    </xf>
    <xf numFmtId="49" fontId="29" fillId="4" borderId="3" xfId="0" applyNumberFormat="1" applyFont="1" applyFill="1" applyBorder="1" applyAlignment="1">
      <alignment horizontal="center" vertical="center" wrapText="1"/>
    </xf>
    <xf numFmtId="0" fontId="0" fillId="0" borderId="2" xfId="0" applyBorder="1">
      <alignment vertical="center"/>
    </xf>
    <xf numFmtId="0" fontId="1" fillId="6" borderId="2" xfId="0" applyFont="1" applyFill="1" applyBorder="1" applyAlignment="1">
      <alignment horizontal="center" vertical="center" wrapText="1"/>
    </xf>
    <xf numFmtId="0" fontId="29" fillId="6" borderId="2" xfId="0" applyFont="1" applyFill="1" applyBorder="1" applyAlignment="1">
      <alignment horizontal="left" vertical="center" wrapText="1"/>
    </xf>
    <xf numFmtId="49" fontId="29" fillId="6" borderId="2" xfId="0" applyNumberFormat="1" applyFont="1" applyFill="1" applyBorder="1" applyAlignment="1">
      <alignment horizontal="center" vertical="center" wrapText="1"/>
    </xf>
    <xf numFmtId="0" fontId="0" fillId="6" borderId="2" xfId="0" applyFill="1" applyBorder="1">
      <alignment vertical="center"/>
    </xf>
    <xf numFmtId="0" fontId="0" fillId="6" borderId="2" xfId="0" applyFont="1" applyFill="1" applyBorder="1">
      <alignment vertical="center"/>
    </xf>
    <xf numFmtId="0" fontId="29" fillId="6" borderId="2" xfId="0" applyFont="1" applyFill="1" applyBorder="1" applyAlignment="1">
      <alignment horizontal="center" vertical="center" wrapText="1"/>
    </xf>
    <xf numFmtId="0" fontId="0" fillId="6" borderId="2" xfId="0" applyFont="1" applyFill="1" applyBorder="1" applyAlignment="1">
      <alignment horizontal="center" vertical="center"/>
    </xf>
    <xf numFmtId="0" fontId="0" fillId="6" borderId="2" xfId="0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176" fontId="21" fillId="0" borderId="2" xfId="0" applyNumberFormat="1" applyFont="1" applyFill="1" applyBorder="1" applyAlignment="1">
      <alignment horizontal="center" vertical="center"/>
    </xf>
    <xf numFmtId="179" fontId="16" fillId="0" borderId="2" xfId="7" applyNumberFormat="1" applyFont="1" applyFill="1" applyBorder="1" applyAlignment="1">
      <alignment horizontal="center" vertical="center"/>
    </xf>
    <xf numFmtId="178" fontId="16" fillId="0" borderId="2" xfId="7" applyNumberFormat="1" applyFont="1" applyFill="1" applyBorder="1" applyAlignment="1">
      <alignment horizontal="center" vertical="center" shrinkToFit="1"/>
    </xf>
    <xf numFmtId="0" fontId="10" fillId="0" borderId="5" xfId="0" applyFont="1" applyFill="1" applyBorder="1" applyAlignment="1">
      <alignment horizontal="center" vertical="center" wrapText="1"/>
    </xf>
    <xf numFmtId="180" fontId="10" fillId="0" borderId="2" xfId="0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180" fontId="10" fillId="6" borderId="2" xfId="0" applyNumberFormat="1" applyFont="1" applyFill="1" applyBorder="1" applyAlignment="1">
      <alignment horizontal="center" vertical="center" wrapText="1"/>
    </xf>
    <xf numFmtId="0" fontId="10" fillId="6" borderId="2" xfId="0" applyFont="1" applyFill="1" applyBorder="1" applyAlignment="1">
      <alignment horizontal="center" vertical="center"/>
    </xf>
    <xf numFmtId="183" fontId="2" fillId="6" borderId="2" xfId="0" applyNumberFormat="1" applyFont="1" applyFill="1" applyBorder="1" applyAlignment="1">
      <alignment horizontal="center" vertical="center"/>
    </xf>
    <xf numFmtId="0" fontId="21" fillId="6" borderId="2" xfId="0" quotePrefix="1" applyFont="1" applyFill="1" applyBorder="1" applyAlignment="1">
      <alignment horizontal="center" vertical="center" wrapText="1"/>
    </xf>
    <xf numFmtId="0" fontId="12" fillId="0" borderId="0" xfId="0" applyFont="1">
      <alignment vertical="center"/>
    </xf>
    <xf numFmtId="0" fontId="0" fillId="0" borderId="3" xfId="0" applyBorder="1">
      <alignment vertical="center"/>
    </xf>
    <xf numFmtId="2" fontId="0" fillId="0" borderId="2" xfId="0" applyNumberFormat="1" applyBorder="1">
      <alignment vertical="center"/>
    </xf>
    <xf numFmtId="0" fontId="12" fillId="0" borderId="2" xfId="0" applyFont="1" applyBorder="1">
      <alignment vertical="center"/>
    </xf>
    <xf numFmtId="9" fontId="0" fillId="0" borderId="2" xfId="6" applyFont="1" applyBorder="1">
      <alignment vertical="center"/>
    </xf>
    <xf numFmtId="179" fontId="0" fillId="0" borderId="2" xfId="6" applyNumberFormat="1" applyFont="1" applyBorder="1">
      <alignment vertical="center"/>
    </xf>
    <xf numFmtId="0" fontId="12" fillId="0" borderId="2" xfId="0" applyFont="1" applyFill="1" applyBorder="1" applyAlignment="1">
      <alignment vertical="center"/>
    </xf>
    <xf numFmtId="0" fontId="12" fillId="0" borderId="2" xfId="0" applyFont="1" applyFill="1" applyBorder="1">
      <alignment vertical="center"/>
    </xf>
    <xf numFmtId="0" fontId="12" fillId="0" borderId="2" xfId="0" applyFont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2" fillId="2" borderId="2" xfId="0" applyFont="1" applyFill="1" applyBorder="1">
      <alignment vertical="center"/>
    </xf>
    <xf numFmtId="2" fontId="0" fillId="2" borderId="2" xfId="0" applyNumberFormat="1" applyFill="1" applyBorder="1">
      <alignment vertical="center"/>
    </xf>
    <xf numFmtId="0" fontId="12" fillId="2" borderId="2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>
      <alignment vertical="center"/>
    </xf>
    <xf numFmtId="0" fontId="0" fillId="0" borderId="1" xfId="0" applyFont="1" applyBorder="1">
      <alignment vertical="center"/>
    </xf>
    <xf numFmtId="0" fontId="0" fillId="0" borderId="4" xfId="0" applyFont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176" fontId="13" fillId="0" borderId="0" xfId="0" applyNumberFormat="1" applyFont="1" applyAlignment="1">
      <alignment horizontal="center" vertical="center"/>
    </xf>
    <xf numFmtId="180" fontId="13" fillId="0" borderId="0" xfId="0" applyNumberFormat="1" applyFont="1" applyAlignment="1">
      <alignment horizontal="center" vertical="center"/>
    </xf>
    <xf numFmtId="0" fontId="16" fillId="0" borderId="5" xfId="7" applyFont="1" applyFill="1" applyBorder="1" applyAlignment="1">
      <alignment horizontal="center" vertical="center"/>
    </xf>
    <xf numFmtId="0" fontId="17" fillId="0" borderId="7" xfId="7" applyFont="1" applyFill="1" applyBorder="1" applyAlignment="1">
      <alignment horizontal="center" vertical="center"/>
    </xf>
    <xf numFmtId="0" fontId="16" fillId="0" borderId="2" xfId="7" applyFont="1" applyFill="1" applyBorder="1" applyAlignment="1">
      <alignment horizontal="center" vertical="center" wrapText="1"/>
    </xf>
    <xf numFmtId="0" fontId="17" fillId="0" borderId="2" xfId="7" applyFont="1" applyFill="1" applyBorder="1" applyAlignment="1">
      <alignment horizontal="center" vertical="center" wrapText="1"/>
    </xf>
    <xf numFmtId="0" fontId="16" fillId="0" borderId="5" xfId="7" applyFont="1" applyFill="1" applyBorder="1" applyAlignment="1">
      <alignment horizontal="center" vertical="center" wrapText="1"/>
    </xf>
    <xf numFmtId="0" fontId="17" fillId="0" borderId="7" xfId="7" applyFont="1" applyFill="1" applyBorder="1" applyAlignment="1">
      <alignment horizontal="center" vertical="center" wrapText="1"/>
    </xf>
    <xf numFmtId="0" fontId="16" fillId="0" borderId="2" xfId="7" applyFont="1" applyFill="1" applyBorder="1" applyAlignment="1">
      <alignment horizontal="center" vertical="center" wrapText="1" shrinkToFit="1"/>
    </xf>
    <xf numFmtId="0" fontId="17" fillId="0" borderId="2" xfId="7" applyFont="1" applyFill="1" applyBorder="1" applyAlignment="1">
      <alignment horizontal="center" vertical="center" wrapText="1" shrinkToFit="1"/>
    </xf>
    <xf numFmtId="0" fontId="16" fillId="0" borderId="5" xfId="7" applyFont="1" applyFill="1" applyBorder="1" applyAlignment="1">
      <alignment horizontal="center" vertical="center" shrinkToFit="1"/>
    </xf>
    <xf numFmtId="0" fontId="17" fillId="0" borderId="7" xfId="7" applyFont="1" applyFill="1" applyBorder="1" applyAlignment="1">
      <alignment horizontal="center" vertical="center" shrinkToFit="1"/>
    </xf>
    <xf numFmtId="179" fontId="16" fillId="0" borderId="2" xfId="7" applyNumberFormat="1" applyFont="1" applyFill="1" applyBorder="1" applyAlignment="1">
      <alignment horizontal="center" vertical="center"/>
    </xf>
    <xf numFmtId="179" fontId="17" fillId="0" borderId="2" xfId="7" applyNumberFormat="1" applyFont="1" applyFill="1" applyBorder="1" applyAlignment="1">
      <alignment horizontal="center" vertical="center"/>
    </xf>
    <xf numFmtId="178" fontId="16" fillId="0" borderId="2" xfId="7" applyNumberFormat="1" applyFont="1" applyFill="1" applyBorder="1" applyAlignment="1">
      <alignment horizontal="center" vertical="center" shrinkToFit="1"/>
    </xf>
    <xf numFmtId="178" fontId="17" fillId="0" borderId="2" xfId="7" applyNumberFormat="1" applyFont="1" applyFill="1" applyBorder="1" applyAlignment="1">
      <alignment horizontal="center" vertical="center" shrinkToFit="1"/>
    </xf>
    <xf numFmtId="176" fontId="17" fillId="0" borderId="2" xfId="7" applyNumberFormat="1" applyFont="1" applyFill="1" applyBorder="1" applyAlignment="1">
      <alignment horizontal="center" vertical="center"/>
    </xf>
    <xf numFmtId="180" fontId="16" fillId="0" borderId="2" xfId="5" applyNumberFormat="1" applyFont="1" applyFill="1" applyBorder="1" applyAlignment="1">
      <alignment horizontal="center" vertical="center" wrapText="1"/>
    </xf>
    <xf numFmtId="180" fontId="17" fillId="0" borderId="2" xfId="5" applyNumberFormat="1" applyFont="1" applyFill="1" applyBorder="1" applyAlignment="1">
      <alignment horizontal="center" vertical="center" wrapText="1"/>
    </xf>
    <xf numFmtId="0" fontId="18" fillId="0" borderId="5" xfId="0" applyFont="1" applyFill="1" applyBorder="1" applyAlignment="1">
      <alignment horizontal="center" vertical="center" wrapText="1"/>
    </xf>
    <xf numFmtId="0" fontId="18" fillId="0" borderId="6" xfId="0" applyFont="1" applyFill="1" applyBorder="1" applyAlignment="1">
      <alignment horizontal="center" vertical="center" wrapText="1"/>
    </xf>
    <xf numFmtId="0" fontId="18" fillId="0" borderId="7" xfId="0" applyFont="1" applyFill="1" applyBorder="1" applyAlignment="1">
      <alignment horizontal="center" vertical="center" wrapText="1"/>
    </xf>
    <xf numFmtId="0" fontId="19" fillId="0" borderId="5" xfId="0" applyFont="1" applyFill="1" applyBorder="1" applyAlignment="1">
      <alignment horizontal="center" vertical="center" wrapText="1"/>
    </xf>
    <xf numFmtId="9" fontId="22" fillId="0" borderId="2" xfId="0" applyNumberFormat="1" applyFont="1" applyFill="1" applyBorder="1" applyAlignment="1">
      <alignment horizontal="center" vertical="center" wrapText="1"/>
    </xf>
    <xf numFmtId="180" fontId="23" fillId="0" borderId="5" xfId="5" applyNumberFormat="1" applyFont="1" applyFill="1" applyBorder="1" applyAlignment="1">
      <alignment horizontal="center" vertical="center"/>
    </xf>
    <xf numFmtId="180" fontId="23" fillId="0" borderId="6" xfId="5" applyNumberFormat="1" applyFont="1" applyFill="1" applyBorder="1" applyAlignment="1">
      <alignment horizontal="center" vertical="center"/>
    </xf>
    <xf numFmtId="180" fontId="23" fillId="0" borderId="7" xfId="5" applyNumberFormat="1" applyFont="1" applyFill="1" applyBorder="1" applyAlignment="1">
      <alignment horizontal="center" vertical="center"/>
    </xf>
    <xf numFmtId="0" fontId="21" fillId="0" borderId="8" xfId="0" applyFont="1" applyFill="1" applyBorder="1" applyAlignment="1">
      <alignment horizontal="center" vertical="center" wrapText="1"/>
    </xf>
    <xf numFmtId="0" fontId="21" fillId="0" borderId="4" xfId="0" applyFont="1" applyFill="1" applyBorder="1" applyAlignment="1">
      <alignment horizontal="center" vertical="center" wrapText="1"/>
    </xf>
    <xf numFmtId="0" fontId="21" fillId="0" borderId="9" xfId="0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center" vertical="center" wrapText="1"/>
    </xf>
    <xf numFmtId="0" fontId="21" fillId="0" borderId="11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5" fillId="0" borderId="2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176" fontId="21" fillId="0" borderId="2" xfId="0" applyNumberFormat="1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19" fillId="0" borderId="6" xfId="0" applyFont="1" applyFill="1" applyBorder="1" applyAlignment="1">
      <alignment horizontal="center" vertical="center" wrapText="1"/>
    </xf>
    <xf numFmtId="0" fontId="19" fillId="0" borderId="7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176" fontId="27" fillId="0" borderId="5" xfId="7" applyNumberFormat="1" applyFont="1" applyFill="1" applyBorder="1" applyAlignment="1">
      <alignment horizontal="center" vertical="center"/>
    </xf>
    <xf numFmtId="176" fontId="17" fillId="0" borderId="7" xfId="7" applyNumberFormat="1" applyFont="1" applyFill="1" applyBorder="1" applyAlignment="1">
      <alignment horizontal="center" vertical="center"/>
    </xf>
    <xf numFmtId="176" fontId="2" fillId="0" borderId="5" xfId="0" applyNumberFormat="1" applyFont="1" applyFill="1" applyBorder="1" applyAlignment="1">
      <alignment horizontal="center" vertical="center"/>
    </xf>
    <xf numFmtId="176" fontId="2" fillId="0" borderId="6" xfId="0" applyNumberFormat="1" applyFont="1" applyFill="1" applyBorder="1" applyAlignment="1">
      <alignment horizontal="center" vertical="center"/>
    </xf>
    <xf numFmtId="176" fontId="2" fillId="0" borderId="7" xfId="0" applyNumberFormat="1" applyFont="1" applyFill="1" applyBorder="1" applyAlignment="1">
      <alignment horizontal="center" vertical="center"/>
    </xf>
    <xf numFmtId="0" fontId="21" fillId="6" borderId="8" xfId="0" applyFont="1" applyFill="1" applyBorder="1" applyAlignment="1">
      <alignment horizontal="center" vertical="center" wrapText="1"/>
    </xf>
    <xf numFmtId="0" fontId="21" fillId="6" borderId="4" xfId="0" applyFont="1" applyFill="1" applyBorder="1" applyAlignment="1">
      <alignment horizontal="center" vertical="center" wrapText="1"/>
    </xf>
    <xf numFmtId="0" fontId="21" fillId="6" borderId="9" xfId="0" applyFont="1" applyFill="1" applyBorder="1" applyAlignment="1">
      <alignment horizontal="center" vertical="center" wrapText="1"/>
    </xf>
    <xf numFmtId="0" fontId="21" fillId="6" borderId="12" xfId="0" applyFont="1" applyFill="1" applyBorder="1" applyAlignment="1">
      <alignment horizontal="center" vertical="center" wrapText="1"/>
    </xf>
    <xf numFmtId="0" fontId="21" fillId="6" borderId="1" xfId="0" applyFont="1" applyFill="1" applyBorder="1" applyAlignment="1">
      <alignment horizontal="center" vertical="center" wrapText="1"/>
    </xf>
    <xf numFmtId="0" fontId="21" fillId="6" borderId="13" xfId="0" applyFont="1" applyFill="1" applyBorder="1" applyAlignment="1">
      <alignment horizontal="center" vertical="center" wrapText="1"/>
    </xf>
    <xf numFmtId="176" fontId="2" fillId="0" borderId="2" xfId="0" applyNumberFormat="1" applyFont="1" applyFill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28" fillId="0" borderId="0" xfId="0" applyFont="1" applyBorder="1" applyAlignment="1">
      <alignment horizontal="center" vertical="center"/>
    </xf>
    <xf numFmtId="0" fontId="28" fillId="0" borderId="1" xfId="0" applyFont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0" fontId="28" fillId="0" borderId="1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</cellXfs>
  <cellStyles count="9">
    <cellStyle name="BOM_Level_1" xfId="3"/>
    <cellStyle name="BOM_Level_Below3" xfId="1"/>
    <cellStyle name="百分比" xfId="6" builtinId="5"/>
    <cellStyle name="常规" xfId="0" builtinId="0"/>
    <cellStyle name="常规 2" xfId="7"/>
    <cellStyle name="常规 3" xfId="8"/>
    <cellStyle name="千位分隔" xfId="5" builtinId="3"/>
    <cellStyle name="样式 1" xfId="4"/>
    <cellStyle name="样式 1 5 2" xfId="2"/>
  </cellStyles>
  <dxfs count="58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26" Type="http://schemas.openxmlformats.org/officeDocument/2006/relationships/image" Target="../media/image26.emf"/><Relationship Id="rId39" Type="http://schemas.openxmlformats.org/officeDocument/2006/relationships/image" Target="../media/image39.emf"/><Relationship Id="rId21" Type="http://schemas.openxmlformats.org/officeDocument/2006/relationships/image" Target="../media/image21.emf"/><Relationship Id="rId34" Type="http://schemas.openxmlformats.org/officeDocument/2006/relationships/image" Target="../media/image34.wmf"/><Relationship Id="rId42" Type="http://schemas.openxmlformats.org/officeDocument/2006/relationships/image" Target="../media/image42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29" Type="http://schemas.openxmlformats.org/officeDocument/2006/relationships/image" Target="../media/image29.emf"/><Relationship Id="rId41" Type="http://schemas.openxmlformats.org/officeDocument/2006/relationships/image" Target="../media/image41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40" Type="http://schemas.openxmlformats.org/officeDocument/2006/relationships/image" Target="../media/image40.emf"/><Relationship Id="rId5" Type="http://schemas.openxmlformats.org/officeDocument/2006/relationships/image" Target="../media/image5.png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png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31" Type="http://schemas.openxmlformats.org/officeDocument/2006/relationships/image" Target="../media/image31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wmf"/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12" Type="http://schemas.openxmlformats.org/officeDocument/2006/relationships/image" Target="../media/image12.w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3.png"/><Relationship Id="rId1" Type="http://schemas.openxmlformats.org/officeDocument/2006/relationships/image" Target="../media/image5.png"/><Relationship Id="rId5" Type="http://schemas.openxmlformats.org/officeDocument/2006/relationships/image" Target="../media/image46.png"/><Relationship Id="rId4" Type="http://schemas.openxmlformats.org/officeDocument/2006/relationships/image" Target="../media/image4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3.png"/><Relationship Id="rId1" Type="http://schemas.openxmlformats.org/officeDocument/2006/relationships/image" Target="../media/image5.png"/><Relationship Id="rId4" Type="http://schemas.openxmlformats.org/officeDocument/2006/relationships/image" Target="../media/image45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26" Type="http://schemas.openxmlformats.org/officeDocument/2006/relationships/image" Target="../media/image26.emf"/><Relationship Id="rId39" Type="http://schemas.openxmlformats.org/officeDocument/2006/relationships/image" Target="../media/image39.emf"/><Relationship Id="rId21" Type="http://schemas.openxmlformats.org/officeDocument/2006/relationships/image" Target="../media/image21.emf"/><Relationship Id="rId34" Type="http://schemas.openxmlformats.org/officeDocument/2006/relationships/image" Target="../media/image34.wmf"/><Relationship Id="rId42" Type="http://schemas.openxmlformats.org/officeDocument/2006/relationships/image" Target="../media/image42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29" Type="http://schemas.openxmlformats.org/officeDocument/2006/relationships/image" Target="../media/image29.emf"/><Relationship Id="rId41" Type="http://schemas.openxmlformats.org/officeDocument/2006/relationships/image" Target="../media/image41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40" Type="http://schemas.openxmlformats.org/officeDocument/2006/relationships/image" Target="../media/image40.emf"/><Relationship Id="rId5" Type="http://schemas.openxmlformats.org/officeDocument/2006/relationships/image" Target="../media/image5.png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png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31" Type="http://schemas.openxmlformats.org/officeDocument/2006/relationships/image" Target="../media/image31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wmf"/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12" Type="http://schemas.openxmlformats.org/officeDocument/2006/relationships/image" Target="../media/image12.w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1846580</xdr:colOff>
      <xdr:row>8</xdr:row>
      <xdr:rowOff>316230</xdr:rowOff>
    </xdr:from>
    <xdr:to>
      <xdr:col>6</xdr:col>
      <xdr:colOff>19685</xdr:colOff>
      <xdr:row>9</xdr:row>
      <xdr:rowOff>315595</xdr:rowOff>
    </xdr:to>
    <xdr:pic>
      <xdr:nvPicPr>
        <xdr:cNvPr id="2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2585" y="2805430"/>
          <a:ext cx="906145" cy="316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1846580</xdr:colOff>
      <xdr:row>10</xdr:row>
      <xdr:rowOff>316230</xdr:rowOff>
    </xdr:from>
    <xdr:to>
      <xdr:col>6</xdr:col>
      <xdr:colOff>31115</xdr:colOff>
      <xdr:row>11</xdr:row>
      <xdr:rowOff>316865</xdr:rowOff>
    </xdr:to>
    <xdr:pic>
      <xdr:nvPicPr>
        <xdr:cNvPr id="3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4172585" y="3440430"/>
          <a:ext cx="906145" cy="318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1846580</xdr:colOff>
      <xdr:row>9</xdr:row>
      <xdr:rowOff>316230</xdr:rowOff>
    </xdr:from>
    <xdr:to>
      <xdr:col>6</xdr:col>
      <xdr:colOff>24130</xdr:colOff>
      <xdr:row>10</xdr:row>
      <xdr:rowOff>316230</xdr:rowOff>
    </xdr:to>
    <xdr:pic>
      <xdr:nvPicPr>
        <xdr:cNvPr id="4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4172585" y="3122930"/>
          <a:ext cx="906145" cy="317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7620</xdr:colOff>
      <xdr:row>15</xdr:row>
      <xdr:rowOff>318135</xdr:rowOff>
    </xdr:from>
    <xdr:to>
      <xdr:col>6</xdr:col>
      <xdr:colOff>1905</xdr:colOff>
      <xdr:row>17</xdr:row>
      <xdr:rowOff>46990</xdr:rowOff>
    </xdr:to>
    <xdr:pic>
      <xdr:nvPicPr>
        <xdr:cNvPr id="5" name="图片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81475" y="5029200"/>
          <a:ext cx="897255" cy="3644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1847215</xdr:colOff>
      <xdr:row>14</xdr:row>
      <xdr:rowOff>0</xdr:rowOff>
    </xdr:from>
    <xdr:to>
      <xdr:col>5</xdr:col>
      <xdr:colOff>866775</xdr:colOff>
      <xdr:row>14</xdr:row>
      <xdr:rowOff>0</xdr:rowOff>
    </xdr:to>
    <xdr:pic>
      <xdr:nvPicPr>
        <xdr:cNvPr id="6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>
        <a:xfrm>
          <a:off x="4173220" y="4394200"/>
          <a:ext cx="867410" cy="0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1845310</xdr:colOff>
      <xdr:row>3</xdr:row>
      <xdr:rowOff>294640</xdr:rowOff>
    </xdr:from>
    <xdr:to>
      <xdr:col>5</xdr:col>
      <xdr:colOff>893445</xdr:colOff>
      <xdr:row>5</xdr:row>
      <xdr:rowOff>1270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171315" y="1221740"/>
          <a:ext cx="895985" cy="316230"/>
        </a:xfrm>
        <a:prstGeom prst="rect">
          <a:avLst/>
        </a:prstGeom>
      </xdr:spPr>
    </xdr:pic>
    <xdr:clientData/>
  </xdr:twoCellAnchor>
  <xdr:twoCellAnchor>
    <xdr:from>
      <xdr:col>4</xdr:col>
      <xdr:colOff>1846580</xdr:colOff>
      <xdr:row>4</xdr:row>
      <xdr:rowOff>316230</xdr:rowOff>
    </xdr:from>
    <xdr:to>
      <xdr:col>5</xdr:col>
      <xdr:colOff>904240</xdr:colOff>
      <xdr:row>5</xdr:row>
      <xdr:rowOff>316865</xdr:rowOff>
    </xdr:to>
    <xdr:pic>
      <xdr:nvPicPr>
        <xdr:cNvPr id="8" name="图片 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2585" y="1536700"/>
          <a:ext cx="905510" cy="316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1843405</xdr:colOff>
      <xdr:row>6</xdr:row>
      <xdr:rowOff>0</xdr:rowOff>
    </xdr:from>
    <xdr:to>
      <xdr:col>6</xdr:col>
      <xdr:colOff>12700</xdr:colOff>
      <xdr:row>7</xdr:row>
      <xdr:rowOff>15240</xdr:rowOff>
    </xdr:to>
    <xdr:pic>
      <xdr:nvPicPr>
        <xdr:cNvPr id="9" name="图片 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69410" y="1854200"/>
          <a:ext cx="909320" cy="332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1847215</xdr:colOff>
      <xdr:row>7</xdr:row>
      <xdr:rowOff>10795</xdr:rowOff>
    </xdr:from>
    <xdr:to>
      <xdr:col>6</xdr:col>
      <xdr:colOff>900430</xdr:colOff>
      <xdr:row>7</xdr:row>
      <xdr:rowOff>17145</xdr:rowOff>
    </xdr:to>
    <xdr:pic>
      <xdr:nvPicPr>
        <xdr:cNvPr id="10" name="图片 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3220" y="2182495"/>
          <a:ext cx="905510" cy="6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1845945</xdr:colOff>
      <xdr:row>17</xdr:row>
      <xdr:rowOff>303530</xdr:rowOff>
    </xdr:from>
    <xdr:to>
      <xdr:col>6</xdr:col>
      <xdr:colOff>16510</xdr:colOff>
      <xdr:row>19</xdr:row>
      <xdr:rowOff>0</xdr:rowOff>
    </xdr:to>
    <xdr:pic>
      <xdr:nvPicPr>
        <xdr:cNvPr id="11" name="图片 1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1950" y="5650230"/>
          <a:ext cx="906780" cy="331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1847215</xdr:colOff>
      <xdr:row>13</xdr:row>
      <xdr:rowOff>0</xdr:rowOff>
    </xdr:from>
    <xdr:to>
      <xdr:col>5</xdr:col>
      <xdr:colOff>828040</xdr:colOff>
      <xdr:row>13</xdr:row>
      <xdr:rowOff>0</xdr:rowOff>
    </xdr:to>
    <xdr:pic>
      <xdr:nvPicPr>
        <xdr:cNvPr id="12" name="图片 1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3220" y="4076700"/>
          <a:ext cx="8286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1846580</xdr:colOff>
      <xdr:row>13</xdr:row>
      <xdr:rowOff>0</xdr:rowOff>
    </xdr:from>
    <xdr:to>
      <xdr:col>6</xdr:col>
      <xdr:colOff>10795</xdr:colOff>
      <xdr:row>13</xdr:row>
      <xdr:rowOff>253365</xdr:rowOff>
    </xdr:to>
    <xdr:pic>
      <xdr:nvPicPr>
        <xdr:cNvPr id="13" name="图片 1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2585" y="4076700"/>
          <a:ext cx="906145" cy="2533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1847215</xdr:colOff>
      <xdr:row>15</xdr:row>
      <xdr:rowOff>316865</xdr:rowOff>
    </xdr:from>
    <xdr:to>
      <xdr:col>5</xdr:col>
      <xdr:colOff>836295</xdr:colOff>
      <xdr:row>15</xdr:row>
      <xdr:rowOff>316865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173220" y="5028565"/>
          <a:ext cx="8369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1845945</xdr:colOff>
      <xdr:row>22</xdr:row>
      <xdr:rowOff>5715</xdr:rowOff>
    </xdr:from>
    <xdr:to>
      <xdr:col>5</xdr:col>
      <xdr:colOff>901065</xdr:colOff>
      <xdr:row>22</xdr:row>
      <xdr:rowOff>314960</xdr:rowOff>
    </xdr:to>
    <xdr:pic>
      <xdr:nvPicPr>
        <xdr:cNvPr id="15" name="图片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1950" y="7003415"/>
          <a:ext cx="902970" cy="3092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1845945</xdr:colOff>
      <xdr:row>23</xdr:row>
      <xdr:rowOff>283845</xdr:rowOff>
    </xdr:from>
    <xdr:to>
      <xdr:col>5</xdr:col>
      <xdr:colOff>895985</xdr:colOff>
      <xdr:row>25</xdr:row>
      <xdr:rowOff>0</xdr:rowOff>
    </xdr:to>
    <xdr:pic>
      <xdr:nvPicPr>
        <xdr:cNvPr id="16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4171950" y="7599045"/>
          <a:ext cx="897890" cy="3511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1845945</xdr:colOff>
      <xdr:row>22</xdr:row>
      <xdr:rowOff>296545</xdr:rowOff>
    </xdr:from>
    <xdr:to>
      <xdr:col>5</xdr:col>
      <xdr:colOff>895985</xdr:colOff>
      <xdr:row>23</xdr:row>
      <xdr:rowOff>315595</xdr:rowOff>
    </xdr:to>
    <xdr:pic>
      <xdr:nvPicPr>
        <xdr:cNvPr id="17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4171950" y="7294245"/>
          <a:ext cx="897890" cy="336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1844675</xdr:colOff>
      <xdr:row>30</xdr:row>
      <xdr:rowOff>301625</xdr:rowOff>
    </xdr:from>
    <xdr:to>
      <xdr:col>5</xdr:col>
      <xdr:colOff>898525</xdr:colOff>
      <xdr:row>31</xdr:row>
      <xdr:rowOff>316230</xdr:rowOff>
    </xdr:to>
    <xdr:pic>
      <xdr:nvPicPr>
        <xdr:cNvPr id="18" name="图片 1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0680" y="9839325"/>
          <a:ext cx="901700" cy="3321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1847215</xdr:colOff>
      <xdr:row>25</xdr:row>
      <xdr:rowOff>78105</xdr:rowOff>
    </xdr:from>
    <xdr:to>
      <xdr:col>5</xdr:col>
      <xdr:colOff>391160</xdr:colOff>
      <xdr:row>25</xdr:row>
      <xdr:rowOff>78105</xdr:rowOff>
    </xdr:to>
    <xdr:pic>
      <xdr:nvPicPr>
        <xdr:cNvPr id="19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>
        <a:xfrm>
          <a:off x="4173220" y="8028305"/>
          <a:ext cx="391795" cy="0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1845310</xdr:colOff>
      <xdr:row>25</xdr:row>
      <xdr:rowOff>310515</xdr:rowOff>
    </xdr:from>
    <xdr:to>
      <xdr:col>5</xdr:col>
      <xdr:colOff>892175</xdr:colOff>
      <xdr:row>27</xdr:row>
      <xdr:rowOff>0</xdr:rowOff>
    </xdr:to>
    <xdr:pic>
      <xdr:nvPicPr>
        <xdr:cNvPr id="20" name="图片 19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1315" y="8260715"/>
          <a:ext cx="894715" cy="324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1845310</xdr:colOff>
      <xdr:row>26</xdr:row>
      <xdr:rowOff>299720</xdr:rowOff>
    </xdr:from>
    <xdr:to>
      <xdr:col>5</xdr:col>
      <xdr:colOff>899795</xdr:colOff>
      <xdr:row>28</xdr:row>
      <xdr:rowOff>12700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1315" y="8567420"/>
          <a:ext cx="902335" cy="347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1844040</xdr:colOff>
      <xdr:row>24</xdr:row>
      <xdr:rowOff>295910</xdr:rowOff>
    </xdr:from>
    <xdr:to>
      <xdr:col>6</xdr:col>
      <xdr:colOff>31750</xdr:colOff>
      <xdr:row>26</xdr:row>
      <xdr:rowOff>0</xdr:rowOff>
    </xdr:to>
    <xdr:pic>
      <xdr:nvPicPr>
        <xdr:cNvPr id="22" name="图片 21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0045" y="7928610"/>
          <a:ext cx="908685" cy="3390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1846580</xdr:colOff>
      <xdr:row>32</xdr:row>
      <xdr:rowOff>10795</xdr:rowOff>
    </xdr:from>
    <xdr:to>
      <xdr:col>6</xdr:col>
      <xdr:colOff>16510</xdr:colOff>
      <xdr:row>33</xdr:row>
      <xdr:rowOff>0</xdr:rowOff>
    </xdr:to>
    <xdr:pic>
      <xdr:nvPicPr>
        <xdr:cNvPr id="23" name="图片 2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2585" y="10183495"/>
          <a:ext cx="906145" cy="306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1845945</xdr:colOff>
      <xdr:row>28</xdr:row>
      <xdr:rowOff>315595</xdr:rowOff>
    </xdr:from>
    <xdr:to>
      <xdr:col>5</xdr:col>
      <xdr:colOff>895985</xdr:colOff>
      <xdr:row>29</xdr:row>
      <xdr:rowOff>315595</xdr:rowOff>
    </xdr:to>
    <xdr:pic>
      <xdr:nvPicPr>
        <xdr:cNvPr id="24" name="图片 2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1950" y="9218295"/>
          <a:ext cx="897890" cy="31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1844040</xdr:colOff>
      <xdr:row>27</xdr:row>
      <xdr:rowOff>280670</xdr:rowOff>
    </xdr:from>
    <xdr:to>
      <xdr:col>6</xdr:col>
      <xdr:colOff>13335</xdr:colOff>
      <xdr:row>29</xdr:row>
      <xdr:rowOff>15240</xdr:rowOff>
    </xdr:to>
    <xdr:pic>
      <xdr:nvPicPr>
        <xdr:cNvPr id="25" name="图片 24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170045" y="8865870"/>
          <a:ext cx="908685" cy="36957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1845310</xdr:colOff>
      <xdr:row>29</xdr:row>
      <xdr:rowOff>301625</xdr:rowOff>
    </xdr:from>
    <xdr:to>
      <xdr:col>5</xdr:col>
      <xdr:colOff>875665</xdr:colOff>
      <xdr:row>30</xdr:row>
      <xdr:rowOff>314960</xdr:rowOff>
    </xdr:to>
    <xdr:pic>
      <xdr:nvPicPr>
        <xdr:cNvPr id="26" name="图片 25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1315" y="9521825"/>
          <a:ext cx="878205" cy="3308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1847215</xdr:colOff>
      <xdr:row>38</xdr:row>
      <xdr:rowOff>217170</xdr:rowOff>
    </xdr:from>
    <xdr:to>
      <xdr:col>5</xdr:col>
      <xdr:colOff>394970</xdr:colOff>
      <xdr:row>38</xdr:row>
      <xdr:rowOff>316956</xdr:rowOff>
    </xdr:to>
    <xdr:pic>
      <xdr:nvPicPr>
        <xdr:cNvPr id="27" name="图片 26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3220" y="12358370"/>
          <a:ext cx="395605" cy="9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1847215</xdr:colOff>
      <xdr:row>52</xdr:row>
      <xdr:rowOff>218440</xdr:rowOff>
    </xdr:from>
    <xdr:to>
      <xdr:col>5</xdr:col>
      <xdr:colOff>473717</xdr:colOff>
      <xdr:row>52</xdr:row>
      <xdr:rowOff>316865</xdr:rowOff>
    </xdr:to>
    <xdr:pic>
      <xdr:nvPicPr>
        <xdr:cNvPr id="28" name="图片 27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3220" y="16880840"/>
          <a:ext cx="474345" cy="98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1845945</xdr:colOff>
      <xdr:row>55</xdr:row>
      <xdr:rowOff>298450</xdr:rowOff>
    </xdr:from>
    <xdr:to>
      <xdr:col>6</xdr:col>
      <xdr:colOff>4445</xdr:colOff>
      <xdr:row>56</xdr:row>
      <xdr:rowOff>304800</xdr:rowOff>
    </xdr:to>
    <xdr:pic>
      <xdr:nvPicPr>
        <xdr:cNvPr id="29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>
        <a:xfrm>
          <a:off x="4171950" y="17913350"/>
          <a:ext cx="906780" cy="323850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1847215</xdr:colOff>
      <xdr:row>41</xdr:row>
      <xdr:rowOff>218440</xdr:rowOff>
    </xdr:from>
    <xdr:to>
      <xdr:col>5</xdr:col>
      <xdr:colOff>352758</xdr:colOff>
      <xdr:row>41</xdr:row>
      <xdr:rowOff>316865</xdr:rowOff>
    </xdr:to>
    <xdr:pic>
      <xdr:nvPicPr>
        <xdr:cNvPr id="30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>
        <a:xfrm>
          <a:off x="4173220" y="13312140"/>
          <a:ext cx="353060" cy="98425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1847215</xdr:colOff>
      <xdr:row>42</xdr:row>
      <xdr:rowOff>196215</xdr:rowOff>
    </xdr:from>
    <xdr:to>
      <xdr:col>5</xdr:col>
      <xdr:colOff>379095</xdr:colOff>
      <xdr:row>42</xdr:row>
      <xdr:rowOff>311785</xdr:rowOff>
    </xdr:to>
    <xdr:pic>
      <xdr:nvPicPr>
        <xdr:cNvPr id="31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>
        <a:xfrm>
          <a:off x="4173220" y="13607415"/>
          <a:ext cx="379730" cy="115570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1847215</xdr:colOff>
      <xdr:row>38</xdr:row>
      <xdr:rowOff>217170</xdr:rowOff>
    </xdr:from>
    <xdr:to>
      <xdr:col>5</xdr:col>
      <xdr:colOff>394970</xdr:colOff>
      <xdr:row>38</xdr:row>
      <xdr:rowOff>316956</xdr:rowOff>
    </xdr:to>
    <xdr:pic>
      <xdr:nvPicPr>
        <xdr:cNvPr id="32" name="图片 3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3220" y="12358370"/>
          <a:ext cx="395605" cy="99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1847215</xdr:colOff>
      <xdr:row>52</xdr:row>
      <xdr:rowOff>218440</xdr:rowOff>
    </xdr:from>
    <xdr:to>
      <xdr:col>5</xdr:col>
      <xdr:colOff>473717</xdr:colOff>
      <xdr:row>52</xdr:row>
      <xdr:rowOff>316865</xdr:rowOff>
    </xdr:to>
    <xdr:pic>
      <xdr:nvPicPr>
        <xdr:cNvPr id="33" name="图片 3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3220" y="16880840"/>
          <a:ext cx="474345" cy="98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1847215</xdr:colOff>
      <xdr:row>41</xdr:row>
      <xdr:rowOff>218440</xdr:rowOff>
    </xdr:from>
    <xdr:to>
      <xdr:col>5</xdr:col>
      <xdr:colOff>352758</xdr:colOff>
      <xdr:row>41</xdr:row>
      <xdr:rowOff>316865</xdr:rowOff>
    </xdr:to>
    <xdr:pic>
      <xdr:nvPicPr>
        <xdr:cNvPr id="34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>
        <a:xfrm>
          <a:off x="4173220" y="13312140"/>
          <a:ext cx="353060" cy="98425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1847215</xdr:colOff>
      <xdr:row>35</xdr:row>
      <xdr:rowOff>60960</xdr:rowOff>
    </xdr:from>
    <xdr:to>
      <xdr:col>5</xdr:col>
      <xdr:colOff>437515</xdr:colOff>
      <xdr:row>35</xdr:row>
      <xdr:rowOff>60960</xdr:rowOff>
    </xdr:to>
    <xdr:pic>
      <xdr:nvPicPr>
        <xdr:cNvPr id="35" name="图片 34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3220" y="11186160"/>
          <a:ext cx="43815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1845945</xdr:colOff>
      <xdr:row>50</xdr:row>
      <xdr:rowOff>386080</xdr:rowOff>
    </xdr:from>
    <xdr:to>
      <xdr:col>6</xdr:col>
      <xdr:colOff>14605</xdr:colOff>
      <xdr:row>51</xdr:row>
      <xdr:rowOff>274320</xdr:rowOff>
    </xdr:to>
    <xdr:pic>
      <xdr:nvPicPr>
        <xdr:cNvPr id="36" name="图片 35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1950" y="16337280"/>
          <a:ext cx="906780" cy="281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1846580</xdr:colOff>
      <xdr:row>34</xdr:row>
      <xdr:rowOff>316230</xdr:rowOff>
    </xdr:from>
    <xdr:to>
      <xdr:col>5</xdr:col>
      <xdr:colOff>892175</xdr:colOff>
      <xdr:row>34</xdr:row>
      <xdr:rowOff>316230</xdr:rowOff>
    </xdr:to>
    <xdr:pic>
      <xdr:nvPicPr>
        <xdr:cNvPr id="37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>
        <a:xfrm>
          <a:off x="4172585" y="11123930"/>
          <a:ext cx="893445" cy="0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1845945</xdr:colOff>
      <xdr:row>36</xdr:row>
      <xdr:rowOff>1905</xdr:rowOff>
    </xdr:from>
    <xdr:to>
      <xdr:col>6</xdr:col>
      <xdr:colOff>10795</xdr:colOff>
      <xdr:row>36</xdr:row>
      <xdr:rowOff>314960</xdr:rowOff>
    </xdr:to>
    <xdr:pic>
      <xdr:nvPicPr>
        <xdr:cNvPr id="38" name="图片 37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1950" y="11508105"/>
          <a:ext cx="906780" cy="313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1845945</xdr:colOff>
      <xdr:row>38</xdr:row>
      <xdr:rowOff>5080</xdr:rowOff>
    </xdr:from>
    <xdr:to>
      <xdr:col>6</xdr:col>
      <xdr:colOff>4445</xdr:colOff>
      <xdr:row>38</xdr:row>
      <xdr:rowOff>316865</xdr:rowOff>
    </xdr:to>
    <xdr:pic>
      <xdr:nvPicPr>
        <xdr:cNvPr id="39" name="图片 38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1950" y="12146280"/>
          <a:ext cx="906780" cy="311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1845310</xdr:colOff>
      <xdr:row>51</xdr:row>
      <xdr:rowOff>295910</xdr:rowOff>
    </xdr:from>
    <xdr:to>
      <xdr:col>6</xdr:col>
      <xdr:colOff>22225</xdr:colOff>
      <xdr:row>52</xdr:row>
      <xdr:rowOff>314960</xdr:rowOff>
    </xdr:to>
    <xdr:pic>
      <xdr:nvPicPr>
        <xdr:cNvPr id="40" name="图片 39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1315" y="16640810"/>
          <a:ext cx="907415" cy="336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1845310</xdr:colOff>
      <xdr:row>57</xdr:row>
      <xdr:rowOff>313690</xdr:rowOff>
    </xdr:from>
    <xdr:to>
      <xdr:col>6</xdr:col>
      <xdr:colOff>6350</xdr:colOff>
      <xdr:row>58</xdr:row>
      <xdr:rowOff>296545</xdr:rowOff>
    </xdr:to>
    <xdr:pic>
      <xdr:nvPicPr>
        <xdr:cNvPr id="41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4171315" y="18563590"/>
          <a:ext cx="907415" cy="300355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1845310</xdr:colOff>
      <xdr:row>58</xdr:row>
      <xdr:rowOff>299720</xdr:rowOff>
    </xdr:from>
    <xdr:to>
      <xdr:col>6</xdr:col>
      <xdr:colOff>10795</xdr:colOff>
      <xdr:row>59</xdr:row>
      <xdr:rowOff>314960</xdr:rowOff>
    </xdr:to>
    <xdr:pic>
      <xdr:nvPicPr>
        <xdr:cNvPr id="42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4171315" y="18867120"/>
          <a:ext cx="907415" cy="332740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1845945</xdr:colOff>
      <xdr:row>59</xdr:row>
      <xdr:rowOff>295910</xdr:rowOff>
    </xdr:from>
    <xdr:to>
      <xdr:col>6</xdr:col>
      <xdr:colOff>10795</xdr:colOff>
      <xdr:row>60</xdr:row>
      <xdr:rowOff>315595</xdr:rowOff>
    </xdr:to>
    <xdr:pic>
      <xdr:nvPicPr>
        <xdr:cNvPr id="43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4171950" y="19180810"/>
          <a:ext cx="906780" cy="337185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1845945</xdr:colOff>
      <xdr:row>52</xdr:row>
      <xdr:rowOff>307975</xdr:rowOff>
    </xdr:from>
    <xdr:to>
      <xdr:col>6</xdr:col>
      <xdr:colOff>10160</xdr:colOff>
      <xdr:row>53</xdr:row>
      <xdr:rowOff>314960</xdr:rowOff>
    </xdr:to>
    <xdr:pic>
      <xdr:nvPicPr>
        <xdr:cNvPr id="44" name="图片 43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1950" y="16970375"/>
          <a:ext cx="906780" cy="3244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1845945</xdr:colOff>
      <xdr:row>38</xdr:row>
      <xdr:rowOff>300990</xdr:rowOff>
    </xdr:from>
    <xdr:to>
      <xdr:col>6</xdr:col>
      <xdr:colOff>1905</xdr:colOff>
      <xdr:row>39</xdr:row>
      <xdr:rowOff>316865</xdr:rowOff>
    </xdr:to>
    <xdr:pic>
      <xdr:nvPicPr>
        <xdr:cNvPr id="45" name="图片 4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1950" y="12442190"/>
          <a:ext cx="906780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1847215</xdr:colOff>
      <xdr:row>41</xdr:row>
      <xdr:rowOff>218440</xdr:rowOff>
    </xdr:from>
    <xdr:to>
      <xdr:col>5</xdr:col>
      <xdr:colOff>352758</xdr:colOff>
      <xdr:row>41</xdr:row>
      <xdr:rowOff>316865</xdr:rowOff>
    </xdr:to>
    <xdr:pic>
      <xdr:nvPicPr>
        <xdr:cNvPr id="46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>
        <a:xfrm>
          <a:off x="4173220" y="13312140"/>
          <a:ext cx="353060" cy="98425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1847215</xdr:colOff>
      <xdr:row>45</xdr:row>
      <xdr:rowOff>66675</xdr:rowOff>
    </xdr:from>
    <xdr:to>
      <xdr:col>5</xdr:col>
      <xdr:colOff>212276</xdr:colOff>
      <xdr:row>45</xdr:row>
      <xdr:rowOff>316940</xdr:rowOff>
    </xdr:to>
    <xdr:pic>
      <xdr:nvPicPr>
        <xdr:cNvPr id="47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4173220" y="14430375"/>
          <a:ext cx="212725" cy="250190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1847215</xdr:colOff>
      <xdr:row>46</xdr:row>
      <xdr:rowOff>88900</xdr:rowOff>
    </xdr:from>
    <xdr:to>
      <xdr:col>5</xdr:col>
      <xdr:colOff>201070</xdr:colOff>
      <xdr:row>46</xdr:row>
      <xdr:rowOff>316753</xdr:rowOff>
    </xdr:to>
    <xdr:pic>
      <xdr:nvPicPr>
        <xdr:cNvPr id="48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>
        <a:xfrm>
          <a:off x="4173220" y="14770100"/>
          <a:ext cx="201295" cy="227330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1845945</xdr:colOff>
      <xdr:row>45</xdr:row>
      <xdr:rowOff>297180</xdr:rowOff>
    </xdr:from>
    <xdr:to>
      <xdr:col>6</xdr:col>
      <xdr:colOff>6350</xdr:colOff>
      <xdr:row>46</xdr:row>
      <xdr:rowOff>315595</xdr:rowOff>
    </xdr:to>
    <xdr:pic>
      <xdr:nvPicPr>
        <xdr:cNvPr id="49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4171950" y="14660880"/>
          <a:ext cx="906780" cy="335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1845310</xdr:colOff>
      <xdr:row>45</xdr:row>
      <xdr:rowOff>3175</xdr:rowOff>
    </xdr:from>
    <xdr:to>
      <xdr:col>6</xdr:col>
      <xdr:colOff>5715</xdr:colOff>
      <xdr:row>46</xdr:row>
      <xdr:rowOff>1270</xdr:rowOff>
    </xdr:to>
    <xdr:pic>
      <xdr:nvPicPr>
        <xdr:cNvPr id="50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4171315" y="14366875"/>
          <a:ext cx="907415" cy="3155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1845310</xdr:colOff>
      <xdr:row>47</xdr:row>
      <xdr:rowOff>10795</xdr:rowOff>
    </xdr:from>
    <xdr:to>
      <xdr:col>6</xdr:col>
      <xdr:colOff>4445</xdr:colOff>
      <xdr:row>47</xdr:row>
      <xdr:rowOff>318135</xdr:rowOff>
    </xdr:to>
    <xdr:pic>
      <xdr:nvPicPr>
        <xdr:cNvPr id="51" name="图片 5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1315" y="15009495"/>
          <a:ext cx="907415" cy="306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1844675</xdr:colOff>
      <xdr:row>43</xdr:row>
      <xdr:rowOff>308610</xdr:rowOff>
    </xdr:from>
    <xdr:to>
      <xdr:col>6</xdr:col>
      <xdr:colOff>10160</xdr:colOff>
      <xdr:row>45</xdr:row>
      <xdr:rowOff>30480</xdr:rowOff>
    </xdr:to>
    <xdr:pic>
      <xdr:nvPicPr>
        <xdr:cNvPr id="52" name="图片 51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0680" y="14037310"/>
          <a:ext cx="908050" cy="3568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1845310</xdr:colOff>
      <xdr:row>61</xdr:row>
      <xdr:rowOff>13970</xdr:rowOff>
    </xdr:from>
    <xdr:to>
      <xdr:col>6</xdr:col>
      <xdr:colOff>27305</xdr:colOff>
      <xdr:row>62</xdr:row>
      <xdr:rowOff>3810</xdr:rowOff>
    </xdr:to>
    <xdr:pic>
      <xdr:nvPicPr>
        <xdr:cNvPr id="54" name="图片 53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1315" y="19533870"/>
          <a:ext cx="907415" cy="307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1845310</xdr:colOff>
      <xdr:row>39</xdr:row>
      <xdr:rowOff>313690</xdr:rowOff>
    </xdr:from>
    <xdr:to>
      <xdr:col>6</xdr:col>
      <xdr:colOff>14605</xdr:colOff>
      <xdr:row>40</xdr:row>
      <xdr:rowOff>308610</xdr:rowOff>
    </xdr:to>
    <xdr:pic>
      <xdr:nvPicPr>
        <xdr:cNvPr id="55" name="图片 54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4171315" y="12772390"/>
          <a:ext cx="907415" cy="3124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1845310</xdr:colOff>
      <xdr:row>42</xdr:row>
      <xdr:rowOff>3810</xdr:rowOff>
    </xdr:from>
    <xdr:to>
      <xdr:col>6</xdr:col>
      <xdr:colOff>7620</xdr:colOff>
      <xdr:row>42</xdr:row>
      <xdr:rowOff>309880</xdr:rowOff>
    </xdr:to>
    <xdr:pic>
      <xdr:nvPicPr>
        <xdr:cNvPr id="56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>
        <a:xfrm>
          <a:off x="4171315" y="13415010"/>
          <a:ext cx="907415" cy="306070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1843405</xdr:colOff>
      <xdr:row>40</xdr:row>
      <xdr:rowOff>316230</xdr:rowOff>
    </xdr:from>
    <xdr:to>
      <xdr:col>5</xdr:col>
      <xdr:colOff>901700</xdr:colOff>
      <xdr:row>42</xdr:row>
      <xdr:rowOff>14605</xdr:rowOff>
    </xdr:to>
    <xdr:pic>
      <xdr:nvPicPr>
        <xdr:cNvPr id="57" name="图片 56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169410" y="13092430"/>
          <a:ext cx="906145" cy="3333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1845945</xdr:colOff>
      <xdr:row>53</xdr:row>
      <xdr:rowOff>305435</xdr:rowOff>
    </xdr:from>
    <xdr:to>
      <xdr:col>5</xdr:col>
      <xdr:colOff>894715</xdr:colOff>
      <xdr:row>55</xdr:row>
      <xdr:rowOff>64135</xdr:rowOff>
    </xdr:to>
    <xdr:pic>
      <xdr:nvPicPr>
        <xdr:cNvPr id="58" name="图片 57" descr="00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4171950" y="17285335"/>
          <a:ext cx="896620" cy="393700"/>
        </a:xfrm>
        <a:prstGeom prst="rect">
          <a:avLst/>
        </a:prstGeom>
      </xdr:spPr>
    </xdr:pic>
    <xdr:clientData/>
  </xdr:twoCellAnchor>
  <xdr:twoCellAnchor>
    <xdr:from>
      <xdr:col>4</xdr:col>
      <xdr:colOff>1845945</xdr:colOff>
      <xdr:row>55</xdr:row>
      <xdr:rowOff>15240</xdr:rowOff>
    </xdr:from>
    <xdr:to>
      <xdr:col>6</xdr:col>
      <xdr:colOff>10160</xdr:colOff>
      <xdr:row>55</xdr:row>
      <xdr:rowOff>313055</xdr:rowOff>
    </xdr:to>
    <xdr:pic>
      <xdr:nvPicPr>
        <xdr:cNvPr id="59" name="图片 58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171950" y="17630140"/>
          <a:ext cx="906780" cy="297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1845945</xdr:colOff>
      <xdr:row>64</xdr:row>
      <xdr:rowOff>29845</xdr:rowOff>
    </xdr:from>
    <xdr:to>
      <xdr:col>5</xdr:col>
      <xdr:colOff>901700</xdr:colOff>
      <xdr:row>64</xdr:row>
      <xdr:rowOff>316865</xdr:rowOff>
    </xdr:to>
    <xdr:pic>
      <xdr:nvPicPr>
        <xdr:cNvPr id="60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>
        <a:xfrm>
          <a:off x="4171950" y="20502245"/>
          <a:ext cx="903605" cy="287020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1847215</xdr:colOff>
      <xdr:row>65</xdr:row>
      <xdr:rowOff>218440</xdr:rowOff>
    </xdr:from>
    <xdr:to>
      <xdr:col>4</xdr:col>
      <xdr:colOff>1847215</xdr:colOff>
      <xdr:row>65</xdr:row>
      <xdr:rowOff>316865</xdr:rowOff>
    </xdr:to>
    <xdr:pic>
      <xdr:nvPicPr>
        <xdr:cNvPr id="61" name="图片 60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3220" y="21008340"/>
          <a:ext cx="0" cy="98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1845310</xdr:colOff>
      <xdr:row>72</xdr:row>
      <xdr:rowOff>293370</xdr:rowOff>
    </xdr:from>
    <xdr:to>
      <xdr:col>5</xdr:col>
      <xdr:colOff>892810</xdr:colOff>
      <xdr:row>73</xdr:row>
      <xdr:rowOff>314325</xdr:rowOff>
    </xdr:to>
    <xdr:pic>
      <xdr:nvPicPr>
        <xdr:cNvPr id="62" name="图片 61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1315" y="23305770"/>
          <a:ext cx="895350" cy="3384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1845945</xdr:colOff>
      <xdr:row>65</xdr:row>
      <xdr:rowOff>278765</xdr:rowOff>
    </xdr:from>
    <xdr:to>
      <xdr:col>6</xdr:col>
      <xdr:colOff>12700</xdr:colOff>
      <xdr:row>66</xdr:row>
      <xdr:rowOff>314960</xdr:rowOff>
    </xdr:to>
    <xdr:pic>
      <xdr:nvPicPr>
        <xdr:cNvPr id="63" name="图片 62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1950" y="21068665"/>
          <a:ext cx="906780" cy="3536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1845310</xdr:colOff>
      <xdr:row>66</xdr:row>
      <xdr:rowOff>295910</xdr:rowOff>
    </xdr:from>
    <xdr:to>
      <xdr:col>6</xdr:col>
      <xdr:colOff>8890</xdr:colOff>
      <xdr:row>67</xdr:row>
      <xdr:rowOff>314325</xdr:rowOff>
    </xdr:to>
    <xdr:pic>
      <xdr:nvPicPr>
        <xdr:cNvPr id="64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4171315" y="21403310"/>
          <a:ext cx="907415" cy="335915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1845945</xdr:colOff>
      <xdr:row>67</xdr:row>
      <xdr:rowOff>306070</xdr:rowOff>
    </xdr:from>
    <xdr:to>
      <xdr:col>5</xdr:col>
      <xdr:colOff>901065</xdr:colOff>
      <xdr:row>68</xdr:row>
      <xdr:rowOff>315595</xdr:rowOff>
    </xdr:to>
    <xdr:pic>
      <xdr:nvPicPr>
        <xdr:cNvPr id="65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4171950" y="21730970"/>
          <a:ext cx="902970" cy="327025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1845945</xdr:colOff>
      <xdr:row>68</xdr:row>
      <xdr:rowOff>312420</xdr:rowOff>
    </xdr:from>
    <xdr:to>
      <xdr:col>5</xdr:col>
      <xdr:colOff>886460</xdr:colOff>
      <xdr:row>70</xdr:row>
      <xdr:rowOff>0</xdr:rowOff>
    </xdr:to>
    <xdr:pic>
      <xdr:nvPicPr>
        <xdr:cNvPr id="66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4171950" y="22054820"/>
          <a:ext cx="888365" cy="322580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1845945</xdr:colOff>
      <xdr:row>71</xdr:row>
      <xdr:rowOff>305435</xdr:rowOff>
    </xdr:from>
    <xdr:to>
      <xdr:col>6</xdr:col>
      <xdr:colOff>4445</xdr:colOff>
      <xdr:row>72</xdr:row>
      <xdr:rowOff>302895</xdr:rowOff>
    </xdr:to>
    <xdr:pic>
      <xdr:nvPicPr>
        <xdr:cNvPr id="67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>
        <a:xfrm>
          <a:off x="4171950" y="23000335"/>
          <a:ext cx="906780" cy="314960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1845945</xdr:colOff>
      <xdr:row>74</xdr:row>
      <xdr:rowOff>14605</xdr:rowOff>
    </xdr:from>
    <xdr:to>
      <xdr:col>5</xdr:col>
      <xdr:colOff>892175</xdr:colOff>
      <xdr:row>74</xdr:row>
      <xdr:rowOff>314960</xdr:rowOff>
    </xdr:to>
    <xdr:pic>
      <xdr:nvPicPr>
        <xdr:cNvPr id="68" name="图片 67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1950" y="23662005"/>
          <a:ext cx="894080" cy="300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1845945</xdr:colOff>
      <xdr:row>70</xdr:row>
      <xdr:rowOff>302260</xdr:rowOff>
    </xdr:from>
    <xdr:to>
      <xdr:col>5</xdr:col>
      <xdr:colOff>885190</xdr:colOff>
      <xdr:row>72</xdr:row>
      <xdr:rowOff>13970</xdr:rowOff>
    </xdr:to>
    <xdr:pic>
      <xdr:nvPicPr>
        <xdr:cNvPr id="69" name="图片 68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171950" y="22679660"/>
          <a:ext cx="887095" cy="3467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1845945</xdr:colOff>
      <xdr:row>69</xdr:row>
      <xdr:rowOff>313055</xdr:rowOff>
    </xdr:from>
    <xdr:to>
      <xdr:col>6</xdr:col>
      <xdr:colOff>4445</xdr:colOff>
      <xdr:row>71</xdr:row>
      <xdr:rowOff>0</xdr:rowOff>
    </xdr:to>
    <xdr:pic>
      <xdr:nvPicPr>
        <xdr:cNvPr id="70" name="图片 69" descr="00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4171950" y="22372955"/>
          <a:ext cx="906780" cy="321945"/>
        </a:xfrm>
        <a:prstGeom prst="rect">
          <a:avLst/>
        </a:prstGeom>
      </xdr:spPr>
    </xdr:pic>
    <xdr:clientData/>
  </xdr:twoCellAnchor>
  <xdr:twoCellAnchor>
    <xdr:from>
      <xdr:col>4</xdr:col>
      <xdr:colOff>1846580</xdr:colOff>
      <xdr:row>13</xdr:row>
      <xdr:rowOff>252730</xdr:rowOff>
    </xdr:from>
    <xdr:to>
      <xdr:col>6</xdr:col>
      <xdr:colOff>11430</xdr:colOff>
      <xdr:row>15</xdr:row>
      <xdr:rowOff>0</xdr:rowOff>
    </xdr:to>
    <xdr:pic>
      <xdr:nvPicPr>
        <xdr:cNvPr id="71" name="图片 70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2585" y="4329430"/>
          <a:ext cx="906145" cy="382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1847215</xdr:colOff>
      <xdr:row>12</xdr:row>
      <xdr:rowOff>0</xdr:rowOff>
    </xdr:from>
    <xdr:to>
      <xdr:col>5</xdr:col>
      <xdr:colOff>901700</xdr:colOff>
      <xdr:row>13</xdr:row>
      <xdr:rowOff>0</xdr:rowOff>
    </xdr:to>
    <xdr:pic>
      <xdr:nvPicPr>
        <xdr:cNvPr id="72" name="图片 7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3220" y="3759200"/>
          <a:ext cx="902335" cy="31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1846580</xdr:colOff>
      <xdr:row>7</xdr:row>
      <xdr:rowOff>0</xdr:rowOff>
    </xdr:from>
    <xdr:to>
      <xdr:col>5</xdr:col>
      <xdr:colOff>896620</xdr:colOff>
      <xdr:row>8</xdr:row>
      <xdr:rowOff>27305</xdr:rowOff>
    </xdr:to>
    <xdr:pic>
      <xdr:nvPicPr>
        <xdr:cNvPr id="73" name="图片 7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2585" y="2171700"/>
          <a:ext cx="897890" cy="3448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1845945</xdr:colOff>
      <xdr:row>16</xdr:row>
      <xdr:rowOff>315595</xdr:rowOff>
    </xdr:from>
    <xdr:to>
      <xdr:col>6</xdr:col>
      <xdr:colOff>5715</xdr:colOff>
      <xdr:row>17</xdr:row>
      <xdr:rowOff>307340</xdr:rowOff>
    </xdr:to>
    <xdr:pic>
      <xdr:nvPicPr>
        <xdr:cNvPr id="74" name="图片 73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1950" y="5344795"/>
          <a:ext cx="906780" cy="3092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1845310</xdr:colOff>
      <xdr:row>19</xdr:row>
      <xdr:rowOff>0</xdr:rowOff>
    </xdr:from>
    <xdr:to>
      <xdr:col>6</xdr:col>
      <xdr:colOff>1270</xdr:colOff>
      <xdr:row>19</xdr:row>
      <xdr:rowOff>296545</xdr:rowOff>
    </xdr:to>
    <xdr:pic>
      <xdr:nvPicPr>
        <xdr:cNvPr id="75" name="图片 74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1315" y="5981700"/>
          <a:ext cx="907415" cy="296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1846580</xdr:colOff>
      <xdr:row>15</xdr:row>
      <xdr:rowOff>0</xdr:rowOff>
    </xdr:from>
    <xdr:to>
      <xdr:col>5</xdr:col>
      <xdr:colOff>903605</xdr:colOff>
      <xdr:row>16</xdr:row>
      <xdr:rowOff>16510</xdr:rowOff>
    </xdr:to>
    <xdr:pic>
      <xdr:nvPicPr>
        <xdr:cNvPr id="76" name="图片 75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172585" y="4711700"/>
          <a:ext cx="904875" cy="3340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1844675</xdr:colOff>
      <xdr:row>32</xdr:row>
      <xdr:rowOff>294640</xdr:rowOff>
    </xdr:from>
    <xdr:to>
      <xdr:col>6</xdr:col>
      <xdr:colOff>10795</xdr:colOff>
      <xdr:row>33</xdr:row>
      <xdr:rowOff>295275</xdr:rowOff>
    </xdr:to>
    <xdr:pic>
      <xdr:nvPicPr>
        <xdr:cNvPr id="77" name="图片 76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0680" y="10467340"/>
          <a:ext cx="908050" cy="318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1846580</xdr:colOff>
      <xdr:row>37</xdr:row>
      <xdr:rowOff>0</xdr:rowOff>
    </xdr:from>
    <xdr:to>
      <xdr:col>6</xdr:col>
      <xdr:colOff>13335</xdr:colOff>
      <xdr:row>38</xdr:row>
      <xdr:rowOff>0</xdr:rowOff>
    </xdr:to>
    <xdr:pic>
      <xdr:nvPicPr>
        <xdr:cNvPr id="78" name="图片 77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2585" y="11823700"/>
          <a:ext cx="906145" cy="317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1845945</xdr:colOff>
      <xdr:row>43</xdr:row>
      <xdr:rowOff>16510</xdr:rowOff>
    </xdr:from>
    <xdr:to>
      <xdr:col>6</xdr:col>
      <xdr:colOff>9525</xdr:colOff>
      <xdr:row>43</xdr:row>
      <xdr:rowOff>304800</xdr:rowOff>
    </xdr:to>
    <xdr:pic>
      <xdr:nvPicPr>
        <xdr:cNvPr id="79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>
        <a:xfrm>
          <a:off x="4171950" y="13745210"/>
          <a:ext cx="906780" cy="288290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1845945</xdr:colOff>
      <xdr:row>65</xdr:row>
      <xdr:rowOff>0</xdr:rowOff>
    </xdr:from>
    <xdr:to>
      <xdr:col>5</xdr:col>
      <xdr:colOff>898525</xdr:colOff>
      <xdr:row>65</xdr:row>
      <xdr:rowOff>292735</xdr:rowOff>
    </xdr:to>
    <xdr:pic>
      <xdr:nvPicPr>
        <xdr:cNvPr id="80" name="图片 79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1950" y="20789900"/>
          <a:ext cx="900430" cy="292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1846580</xdr:colOff>
      <xdr:row>57</xdr:row>
      <xdr:rowOff>0</xdr:rowOff>
    </xdr:from>
    <xdr:to>
      <xdr:col>5</xdr:col>
      <xdr:colOff>898525</xdr:colOff>
      <xdr:row>58</xdr:row>
      <xdr:rowOff>6350</xdr:rowOff>
    </xdr:to>
    <xdr:pic>
      <xdr:nvPicPr>
        <xdr:cNvPr id="81" name="图片 80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2585" y="18249900"/>
          <a:ext cx="899795" cy="323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1847215</xdr:colOff>
      <xdr:row>50</xdr:row>
      <xdr:rowOff>60960</xdr:rowOff>
    </xdr:from>
    <xdr:to>
      <xdr:col>5</xdr:col>
      <xdr:colOff>437515</xdr:colOff>
      <xdr:row>50</xdr:row>
      <xdr:rowOff>60960</xdr:rowOff>
    </xdr:to>
    <xdr:pic>
      <xdr:nvPicPr>
        <xdr:cNvPr id="82" name="图片 81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3220" y="16012160"/>
          <a:ext cx="43815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1847215</xdr:colOff>
      <xdr:row>63</xdr:row>
      <xdr:rowOff>60960</xdr:rowOff>
    </xdr:from>
    <xdr:to>
      <xdr:col>5</xdr:col>
      <xdr:colOff>437515</xdr:colOff>
      <xdr:row>63</xdr:row>
      <xdr:rowOff>60960</xdr:rowOff>
    </xdr:to>
    <xdr:pic>
      <xdr:nvPicPr>
        <xdr:cNvPr id="83" name="图片 82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3220" y="20215860"/>
          <a:ext cx="43815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48</xdr:row>
      <xdr:rowOff>0</xdr:rowOff>
    </xdr:from>
    <xdr:to>
      <xdr:col>5</xdr:col>
      <xdr:colOff>848360</xdr:colOff>
      <xdr:row>49</xdr:row>
      <xdr:rowOff>0</xdr:rowOff>
    </xdr:to>
    <xdr:pic>
      <xdr:nvPicPr>
        <xdr:cNvPr id="84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>
        <a:xfrm>
          <a:off x="4173855" y="15316200"/>
          <a:ext cx="848360" cy="3175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50800</xdr:colOff>
      <xdr:row>7</xdr:row>
      <xdr:rowOff>116840</xdr:rowOff>
    </xdr:from>
    <xdr:to>
      <xdr:col>2</xdr:col>
      <xdr:colOff>664210</xdr:colOff>
      <xdr:row>8</xdr:row>
      <xdr:rowOff>146685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55700" y="1812290"/>
          <a:ext cx="613410" cy="33464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17</xdr:row>
      <xdr:rowOff>28575</xdr:rowOff>
    </xdr:from>
    <xdr:to>
      <xdr:col>2</xdr:col>
      <xdr:colOff>604520</xdr:colOff>
      <xdr:row>19</xdr:row>
      <xdr:rowOff>29210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3950" y="4067175"/>
          <a:ext cx="585470" cy="6102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28575</xdr:colOff>
      <xdr:row>31</xdr:row>
      <xdr:rowOff>152400</xdr:rowOff>
    </xdr:from>
    <xdr:to>
      <xdr:col>2</xdr:col>
      <xdr:colOff>635635</xdr:colOff>
      <xdr:row>33</xdr:row>
      <xdr:rowOff>181610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33475" y="7753350"/>
          <a:ext cx="607060" cy="638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28575</xdr:colOff>
      <xdr:row>48</xdr:row>
      <xdr:rowOff>180975</xdr:rowOff>
    </xdr:from>
    <xdr:to>
      <xdr:col>2</xdr:col>
      <xdr:colOff>618490</xdr:colOff>
      <xdr:row>51</xdr:row>
      <xdr:rowOff>146050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33475" y="12287250"/>
          <a:ext cx="589915" cy="6318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28575</xdr:colOff>
      <xdr:row>62</xdr:row>
      <xdr:rowOff>9525</xdr:rowOff>
    </xdr:from>
    <xdr:to>
      <xdr:col>2</xdr:col>
      <xdr:colOff>643890</xdr:colOff>
      <xdr:row>64</xdr:row>
      <xdr:rowOff>73025</xdr:rowOff>
    </xdr:to>
    <xdr:pic>
      <xdr:nvPicPr>
        <xdr:cNvPr id="6" name="图片 5" descr="捕获.PNG2.PN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133475" y="15925800"/>
          <a:ext cx="615315" cy="6731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50800</xdr:colOff>
      <xdr:row>7</xdr:row>
      <xdr:rowOff>116840</xdr:rowOff>
    </xdr:from>
    <xdr:to>
      <xdr:col>2</xdr:col>
      <xdr:colOff>606425</xdr:colOff>
      <xdr:row>8</xdr:row>
      <xdr:rowOff>127000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422400" y="1812290"/>
          <a:ext cx="555625" cy="19113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20</xdr:row>
      <xdr:rowOff>28575</xdr:rowOff>
    </xdr:from>
    <xdr:to>
      <xdr:col>2</xdr:col>
      <xdr:colOff>604520</xdr:colOff>
      <xdr:row>22</xdr:row>
      <xdr:rowOff>29210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90650" y="4486275"/>
          <a:ext cx="585470" cy="591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28575</xdr:colOff>
      <xdr:row>38</xdr:row>
      <xdr:rowOff>152400</xdr:rowOff>
    </xdr:from>
    <xdr:to>
      <xdr:col>2</xdr:col>
      <xdr:colOff>635635</xdr:colOff>
      <xdr:row>40</xdr:row>
      <xdr:rowOff>181610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00175" y="9153525"/>
          <a:ext cx="607060" cy="6197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28575</xdr:colOff>
      <xdr:row>57</xdr:row>
      <xdr:rowOff>180975</xdr:rowOff>
    </xdr:from>
    <xdr:to>
      <xdr:col>2</xdr:col>
      <xdr:colOff>618490</xdr:colOff>
      <xdr:row>60</xdr:row>
      <xdr:rowOff>146050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00175" y="13801725"/>
          <a:ext cx="589915" cy="61277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1846580</xdr:colOff>
      <xdr:row>8</xdr:row>
      <xdr:rowOff>316230</xdr:rowOff>
    </xdr:from>
    <xdr:to>
      <xdr:col>6</xdr:col>
      <xdr:colOff>0</xdr:colOff>
      <xdr:row>9</xdr:row>
      <xdr:rowOff>315595</xdr:rowOff>
    </xdr:to>
    <xdr:pic>
      <xdr:nvPicPr>
        <xdr:cNvPr id="2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80205" y="2773680"/>
          <a:ext cx="906145" cy="3136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1846580</xdr:colOff>
      <xdr:row>10</xdr:row>
      <xdr:rowOff>316230</xdr:rowOff>
    </xdr:from>
    <xdr:to>
      <xdr:col>6</xdr:col>
      <xdr:colOff>0</xdr:colOff>
      <xdr:row>11</xdr:row>
      <xdr:rowOff>316865</xdr:rowOff>
    </xdr:to>
    <xdr:pic>
      <xdr:nvPicPr>
        <xdr:cNvPr id="3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4180205" y="3402330"/>
          <a:ext cx="906145" cy="314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1846580</xdr:colOff>
      <xdr:row>9</xdr:row>
      <xdr:rowOff>316230</xdr:rowOff>
    </xdr:from>
    <xdr:to>
      <xdr:col>6</xdr:col>
      <xdr:colOff>0</xdr:colOff>
      <xdr:row>10</xdr:row>
      <xdr:rowOff>316230</xdr:rowOff>
    </xdr:to>
    <xdr:pic>
      <xdr:nvPicPr>
        <xdr:cNvPr id="4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4180205" y="3088005"/>
          <a:ext cx="90614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7620</xdr:colOff>
      <xdr:row>15</xdr:row>
      <xdr:rowOff>318135</xdr:rowOff>
    </xdr:from>
    <xdr:to>
      <xdr:col>6</xdr:col>
      <xdr:colOff>0</xdr:colOff>
      <xdr:row>17</xdr:row>
      <xdr:rowOff>46990</xdr:rowOff>
    </xdr:to>
    <xdr:pic>
      <xdr:nvPicPr>
        <xdr:cNvPr id="5" name="图片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89095" y="4975860"/>
          <a:ext cx="897255" cy="3575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1847215</xdr:colOff>
      <xdr:row>14</xdr:row>
      <xdr:rowOff>0</xdr:rowOff>
    </xdr:from>
    <xdr:to>
      <xdr:col>5</xdr:col>
      <xdr:colOff>866775</xdr:colOff>
      <xdr:row>14</xdr:row>
      <xdr:rowOff>0</xdr:rowOff>
    </xdr:to>
    <xdr:pic>
      <xdr:nvPicPr>
        <xdr:cNvPr id="6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>
        <a:xfrm>
          <a:off x="4180840" y="4343400"/>
          <a:ext cx="867410" cy="0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1845310</xdr:colOff>
      <xdr:row>3</xdr:row>
      <xdr:rowOff>294640</xdr:rowOff>
    </xdr:from>
    <xdr:to>
      <xdr:col>5</xdr:col>
      <xdr:colOff>893445</xdr:colOff>
      <xdr:row>5</xdr:row>
      <xdr:rowOff>1270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4178935" y="1209040"/>
          <a:ext cx="895985" cy="306705"/>
        </a:xfrm>
        <a:prstGeom prst="rect">
          <a:avLst/>
        </a:prstGeom>
      </xdr:spPr>
    </xdr:pic>
    <xdr:clientData/>
  </xdr:twoCellAnchor>
  <xdr:twoCellAnchor>
    <xdr:from>
      <xdr:col>4</xdr:col>
      <xdr:colOff>1846580</xdr:colOff>
      <xdr:row>4</xdr:row>
      <xdr:rowOff>316230</xdr:rowOff>
    </xdr:from>
    <xdr:to>
      <xdr:col>5</xdr:col>
      <xdr:colOff>904240</xdr:colOff>
      <xdr:row>5</xdr:row>
      <xdr:rowOff>316865</xdr:rowOff>
    </xdr:to>
    <xdr:pic>
      <xdr:nvPicPr>
        <xdr:cNvPr id="8" name="图片 7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80205" y="1516380"/>
          <a:ext cx="905510" cy="314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1843405</xdr:colOff>
      <xdr:row>6</xdr:row>
      <xdr:rowOff>0</xdr:rowOff>
    </xdr:from>
    <xdr:to>
      <xdr:col>6</xdr:col>
      <xdr:colOff>0</xdr:colOff>
      <xdr:row>7</xdr:row>
      <xdr:rowOff>15240</xdr:rowOff>
    </xdr:to>
    <xdr:pic>
      <xdr:nvPicPr>
        <xdr:cNvPr id="9" name="图片 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7030" y="1828800"/>
          <a:ext cx="909320" cy="329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1847215</xdr:colOff>
      <xdr:row>7</xdr:row>
      <xdr:rowOff>10795</xdr:rowOff>
    </xdr:from>
    <xdr:to>
      <xdr:col>6</xdr:col>
      <xdr:colOff>0</xdr:colOff>
      <xdr:row>7</xdr:row>
      <xdr:rowOff>17145</xdr:rowOff>
    </xdr:to>
    <xdr:pic>
      <xdr:nvPicPr>
        <xdr:cNvPr id="10" name="图片 9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80840" y="2153920"/>
          <a:ext cx="905510" cy="6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1845945</xdr:colOff>
      <xdr:row>17</xdr:row>
      <xdr:rowOff>303530</xdr:rowOff>
    </xdr:from>
    <xdr:to>
      <xdr:col>6</xdr:col>
      <xdr:colOff>0</xdr:colOff>
      <xdr:row>19</xdr:row>
      <xdr:rowOff>0</xdr:rowOff>
    </xdr:to>
    <xdr:pic>
      <xdr:nvPicPr>
        <xdr:cNvPr id="11" name="图片 10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9570" y="5589905"/>
          <a:ext cx="906780" cy="3251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1847215</xdr:colOff>
      <xdr:row>13</xdr:row>
      <xdr:rowOff>0</xdr:rowOff>
    </xdr:from>
    <xdr:to>
      <xdr:col>5</xdr:col>
      <xdr:colOff>828040</xdr:colOff>
      <xdr:row>13</xdr:row>
      <xdr:rowOff>0</xdr:rowOff>
    </xdr:to>
    <xdr:pic>
      <xdr:nvPicPr>
        <xdr:cNvPr id="12" name="图片 1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80840" y="4029075"/>
          <a:ext cx="82867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1846580</xdr:colOff>
      <xdr:row>13</xdr:row>
      <xdr:rowOff>0</xdr:rowOff>
    </xdr:from>
    <xdr:to>
      <xdr:col>6</xdr:col>
      <xdr:colOff>0</xdr:colOff>
      <xdr:row>13</xdr:row>
      <xdr:rowOff>253365</xdr:rowOff>
    </xdr:to>
    <xdr:pic>
      <xdr:nvPicPr>
        <xdr:cNvPr id="13" name="图片 1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80205" y="4029075"/>
          <a:ext cx="906145" cy="2533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1847215</xdr:colOff>
      <xdr:row>15</xdr:row>
      <xdr:rowOff>316865</xdr:rowOff>
    </xdr:from>
    <xdr:to>
      <xdr:col>5</xdr:col>
      <xdr:colOff>836295</xdr:colOff>
      <xdr:row>15</xdr:row>
      <xdr:rowOff>316865</xdr:rowOff>
    </xdr:to>
    <xdr:pic>
      <xdr:nvPicPr>
        <xdr:cNvPr id="14" name="图片 13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180840" y="4974590"/>
          <a:ext cx="836930" cy="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1845945</xdr:colOff>
      <xdr:row>22</xdr:row>
      <xdr:rowOff>5715</xdr:rowOff>
    </xdr:from>
    <xdr:to>
      <xdr:col>5</xdr:col>
      <xdr:colOff>901065</xdr:colOff>
      <xdr:row>22</xdr:row>
      <xdr:rowOff>314960</xdr:rowOff>
    </xdr:to>
    <xdr:pic>
      <xdr:nvPicPr>
        <xdr:cNvPr id="15" name="图片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9570" y="6930390"/>
          <a:ext cx="902970" cy="3092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1845945</xdr:colOff>
      <xdr:row>23</xdr:row>
      <xdr:rowOff>283845</xdr:rowOff>
    </xdr:from>
    <xdr:to>
      <xdr:col>5</xdr:col>
      <xdr:colOff>895985</xdr:colOff>
      <xdr:row>25</xdr:row>
      <xdr:rowOff>0</xdr:rowOff>
    </xdr:to>
    <xdr:pic>
      <xdr:nvPicPr>
        <xdr:cNvPr id="16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4179570" y="7522845"/>
          <a:ext cx="897890" cy="3448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1845945</xdr:colOff>
      <xdr:row>22</xdr:row>
      <xdr:rowOff>296545</xdr:rowOff>
    </xdr:from>
    <xdr:to>
      <xdr:col>5</xdr:col>
      <xdr:colOff>895985</xdr:colOff>
      <xdr:row>23</xdr:row>
      <xdr:rowOff>315595</xdr:rowOff>
    </xdr:to>
    <xdr:pic>
      <xdr:nvPicPr>
        <xdr:cNvPr id="17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4179570" y="7221220"/>
          <a:ext cx="89789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1844675</xdr:colOff>
      <xdr:row>30</xdr:row>
      <xdr:rowOff>301625</xdr:rowOff>
    </xdr:from>
    <xdr:to>
      <xdr:col>5</xdr:col>
      <xdr:colOff>898525</xdr:colOff>
      <xdr:row>31</xdr:row>
      <xdr:rowOff>316230</xdr:rowOff>
    </xdr:to>
    <xdr:pic>
      <xdr:nvPicPr>
        <xdr:cNvPr id="18" name="图片 1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8300" y="9740900"/>
          <a:ext cx="901700" cy="3289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1847215</xdr:colOff>
      <xdr:row>25</xdr:row>
      <xdr:rowOff>78105</xdr:rowOff>
    </xdr:from>
    <xdr:to>
      <xdr:col>5</xdr:col>
      <xdr:colOff>391160</xdr:colOff>
      <xdr:row>25</xdr:row>
      <xdr:rowOff>78105</xdr:rowOff>
    </xdr:to>
    <xdr:pic>
      <xdr:nvPicPr>
        <xdr:cNvPr id="19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>
        <a:xfrm>
          <a:off x="4180840" y="7945755"/>
          <a:ext cx="391795" cy="0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1845310</xdr:colOff>
      <xdr:row>25</xdr:row>
      <xdr:rowOff>310515</xdr:rowOff>
    </xdr:from>
    <xdr:to>
      <xdr:col>5</xdr:col>
      <xdr:colOff>892175</xdr:colOff>
      <xdr:row>27</xdr:row>
      <xdr:rowOff>0</xdr:rowOff>
    </xdr:to>
    <xdr:pic>
      <xdr:nvPicPr>
        <xdr:cNvPr id="20" name="图片 19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8935" y="8178165"/>
          <a:ext cx="894715" cy="3181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1845310</xdr:colOff>
      <xdr:row>26</xdr:row>
      <xdr:rowOff>299720</xdr:rowOff>
    </xdr:from>
    <xdr:to>
      <xdr:col>5</xdr:col>
      <xdr:colOff>899795</xdr:colOff>
      <xdr:row>28</xdr:row>
      <xdr:rowOff>12700</xdr:rowOff>
    </xdr:to>
    <xdr:pic>
      <xdr:nvPicPr>
        <xdr:cNvPr id="21" name="图片 20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8935" y="8481695"/>
          <a:ext cx="902335" cy="341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1844040</xdr:colOff>
      <xdr:row>24</xdr:row>
      <xdr:rowOff>295910</xdr:rowOff>
    </xdr:from>
    <xdr:to>
      <xdr:col>6</xdr:col>
      <xdr:colOff>0</xdr:colOff>
      <xdr:row>26</xdr:row>
      <xdr:rowOff>0</xdr:rowOff>
    </xdr:to>
    <xdr:pic>
      <xdr:nvPicPr>
        <xdr:cNvPr id="22" name="图片 21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7665" y="7849235"/>
          <a:ext cx="908685" cy="3327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1846580</xdr:colOff>
      <xdr:row>32</xdr:row>
      <xdr:rowOff>10795</xdr:rowOff>
    </xdr:from>
    <xdr:to>
      <xdr:col>6</xdr:col>
      <xdr:colOff>0</xdr:colOff>
      <xdr:row>33</xdr:row>
      <xdr:rowOff>0</xdr:rowOff>
    </xdr:to>
    <xdr:pic>
      <xdr:nvPicPr>
        <xdr:cNvPr id="23" name="图片 22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80205" y="10078720"/>
          <a:ext cx="906145" cy="3035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1845945</xdr:colOff>
      <xdr:row>28</xdr:row>
      <xdr:rowOff>315595</xdr:rowOff>
    </xdr:from>
    <xdr:to>
      <xdr:col>5</xdr:col>
      <xdr:colOff>895985</xdr:colOff>
      <xdr:row>29</xdr:row>
      <xdr:rowOff>315595</xdr:rowOff>
    </xdr:to>
    <xdr:pic>
      <xdr:nvPicPr>
        <xdr:cNvPr id="24" name="图片 2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9570" y="9126220"/>
          <a:ext cx="89789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1844040</xdr:colOff>
      <xdr:row>27</xdr:row>
      <xdr:rowOff>280670</xdr:rowOff>
    </xdr:from>
    <xdr:to>
      <xdr:col>6</xdr:col>
      <xdr:colOff>0</xdr:colOff>
      <xdr:row>29</xdr:row>
      <xdr:rowOff>15240</xdr:rowOff>
    </xdr:to>
    <xdr:pic>
      <xdr:nvPicPr>
        <xdr:cNvPr id="25" name="图片 24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177665" y="8776970"/>
          <a:ext cx="908685" cy="3632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1845310</xdr:colOff>
      <xdr:row>29</xdr:row>
      <xdr:rowOff>301625</xdr:rowOff>
    </xdr:from>
    <xdr:to>
      <xdr:col>5</xdr:col>
      <xdr:colOff>875665</xdr:colOff>
      <xdr:row>30</xdr:row>
      <xdr:rowOff>314960</xdr:rowOff>
    </xdr:to>
    <xdr:pic>
      <xdr:nvPicPr>
        <xdr:cNvPr id="26" name="图片 25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8935" y="9426575"/>
          <a:ext cx="878205" cy="327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1847215</xdr:colOff>
      <xdr:row>38</xdr:row>
      <xdr:rowOff>217170</xdr:rowOff>
    </xdr:from>
    <xdr:to>
      <xdr:col>5</xdr:col>
      <xdr:colOff>394970</xdr:colOff>
      <xdr:row>38</xdr:row>
      <xdr:rowOff>316956</xdr:rowOff>
    </xdr:to>
    <xdr:pic>
      <xdr:nvPicPr>
        <xdr:cNvPr id="27" name="图片 26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80840" y="12237720"/>
          <a:ext cx="395605" cy="99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1847215</xdr:colOff>
      <xdr:row>52</xdr:row>
      <xdr:rowOff>218440</xdr:rowOff>
    </xdr:from>
    <xdr:to>
      <xdr:col>5</xdr:col>
      <xdr:colOff>473717</xdr:colOff>
      <xdr:row>52</xdr:row>
      <xdr:rowOff>316865</xdr:rowOff>
    </xdr:to>
    <xdr:pic>
      <xdr:nvPicPr>
        <xdr:cNvPr id="28" name="图片 27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80840" y="16715740"/>
          <a:ext cx="474352" cy="98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1845945</xdr:colOff>
      <xdr:row>55</xdr:row>
      <xdr:rowOff>298450</xdr:rowOff>
    </xdr:from>
    <xdr:to>
      <xdr:col>6</xdr:col>
      <xdr:colOff>0</xdr:colOff>
      <xdr:row>56</xdr:row>
      <xdr:rowOff>304800</xdr:rowOff>
    </xdr:to>
    <xdr:pic>
      <xdr:nvPicPr>
        <xdr:cNvPr id="29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>
        <a:xfrm>
          <a:off x="4179570" y="17738725"/>
          <a:ext cx="906780" cy="320675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1847215</xdr:colOff>
      <xdr:row>41</xdr:row>
      <xdr:rowOff>218440</xdr:rowOff>
    </xdr:from>
    <xdr:to>
      <xdr:col>5</xdr:col>
      <xdr:colOff>352758</xdr:colOff>
      <xdr:row>41</xdr:row>
      <xdr:rowOff>316865</xdr:rowOff>
    </xdr:to>
    <xdr:pic>
      <xdr:nvPicPr>
        <xdr:cNvPr id="30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>
        <a:xfrm>
          <a:off x="4180840" y="13181965"/>
          <a:ext cx="353393" cy="98425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1847215</xdr:colOff>
      <xdr:row>42</xdr:row>
      <xdr:rowOff>196215</xdr:rowOff>
    </xdr:from>
    <xdr:to>
      <xdr:col>5</xdr:col>
      <xdr:colOff>379095</xdr:colOff>
      <xdr:row>42</xdr:row>
      <xdr:rowOff>311785</xdr:rowOff>
    </xdr:to>
    <xdr:pic>
      <xdr:nvPicPr>
        <xdr:cNvPr id="31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>
        <a:xfrm>
          <a:off x="4180840" y="13474065"/>
          <a:ext cx="379730" cy="115570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1847215</xdr:colOff>
      <xdr:row>38</xdr:row>
      <xdr:rowOff>217170</xdr:rowOff>
    </xdr:from>
    <xdr:to>
      <xdr:col>5</xdr:col>
      <xdr:colOff>394970</xdr:colOff>
      <xdr:row>38</xdr:row>
      <xdr:rowOff>316956</xdr:rowOff>
    </xdr:to>
    <xdr:pic>
      <xdr:nvPicPr>
        <xdr:cNvPr id="32" name="图片 31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80840" y="12237720"/>
          <a:ext cx="395605" cy="997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1847215</xdr:colOff>
      <xdr:row>52</xdr:row>
      <xdr:rowOff>218440</xdr:rowOff>
    </xdr:from>
    <xdr:to>
      <xdr:col>5</xdr:col>
      <xdr:colOff>473717</xdr:colOff>
      <xdr:row>52</xdr:row>
      <xdr:rowOff>316865</xdr:rowOff>
    </xdr:to>
    <xdr:pic>
      <xdr:nvPicPr>
        <xdr:cNvPr id="33" name="图片 32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80840" y="16715740"/>
          <a:ext cx="474352" cy="98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1847215</xdr:colOff>
      <xdr:row>41</xdr:row>
      <xdr:rowOff>218440</xdr:rowOff>
    </xdr:from>
    <xdr:to>
      <xdr:col>5</xdr:col>
      <xdr:colOff>352758</xdr:colOff>
      <xdr:row>41</xdr:row>
      <xdr:rowOff>316865</xdr:rowOff>
    </xdr:to>
    <xdr:pic>
      <xdr:nvPicPr>
        <xdr:cNvPr id="34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>
        <a:xfrm>
          <a:off x="4180840" y="13181965"/>
          <a:ext cx="353393" cy="98425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1847215</xdr:colOff>
      <xdr:row>35</xdr:row>
      <xdr:rowOff>60960</xdr:rowOff>
    </xdr:from>
    <xdr:to>
      <xdr:col>5</xdr:col>
      <xdr:colOff>437515</xdr:colOff>
      <xdr:row>35</xdr:row>
      <xdr:rowOff>60960</xdr:rowOff>
    </xdr:to>
    <xdr:pic>
      <xdr:nvPicPr>
        <xdr:cNvPr id="35" name="图片 34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80840" y="11071860"/>
          <a:ext cx="43815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1845945</xdr:colOff>
      <xdr:row>50</xdr:row>
      <xdr:rowOff>386080</xdr:rowOff>
    </xdr:from>
    <xdr:to>
      <xdr:col>6</xdr:col>
      <xdr:colOff>0</xdr:colOff>
      <xdr:row>51</xdr:row>
      <xdr:rowOff>274320</xdr:rowOff>
    </xdr:to>
    <xdr:pic>
      <xdr:nvPicPr>
        <xdr:cNvPr id="36" name="图片 35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9570" y="16178530"/>
          <a:ext cx="906780" cy="2787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1846580</xdr:colOff>
      <xdr:row>34</xdr:row>
      <xdr:rowOff>316230</xdr:rowOff>
    </xdr:from>
    <xdr:to>
      <xdr:col>5</xdr:col>
      <xdr:colOff>892175</xdr:colOff>
      <xdr:row>34</xdr:row>
      <xdr:rowOff>316230</xdr:rowOff>
    </xdr:to>
    <xdr:pic>
      <xdr:nvPicPr>
        <xdr:cNvPr id="37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>
        <a:xfrm>
          <a:off x="4180205" y="11012805"/>
          <a:ext cx="893445" cy="0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1845945</xdr:colOff>
      <xdr:row>36</xdr:row>
      <xdr:rowOff>1905</xdr:rowOff>
    </xdr:from>
    <xdr:to>
      <xdr:col>6</xdr:col>
      <xdr:colOff>0</xdr:colOff>
      <xdr:row>36</xdr:row>
      <xdr:rowOff>314960</xdr:rowOff>
    </xdr:to>
    <xdr:pic>
      <xdr:nvPicPr>
        <xdr:cNvPr id="38" name="图片 37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9570" y="11393805"/>
          <a:ext cx="906780" cy="3130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1845945</xdr:colOff>
      <xdr:row>38</xdr:row>
      <xdr:rowOff>5080</xdr:rowOff>
    </xdr:from>
    <xdr:to>
      <xdr:col>6</xdr:col>
      <xdr:colOff>0</xdr:colOff>
      <xdr:row>38</xdr:row>
      <xdr:rowOff>316865</xdr:rowOff>
    </xdr:to>
    <xdr:pic>
      <xdr:nvPicPr>
        <xdr:cNvPr id="39" name="图片 38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9570" y="12025630"/>
          <a:ext cx="906780" cy="3117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1845310</xdr:colOff>
      <xdr:row>51</xdr:row>
      <xdr:rowOff>295910</xdr:rowOff>
    </xdr:from>
    <xdr:to>
      <xdr:col>6</xdr:col>
      <xdr:colOff>0</xdr:colOff>
      <xdr:row>52</xdr:row>
      <xdr:rowOff>314960</xdr:rowOff>
    </xdr:to>
    <xdr:pic>
      <xdr:nvPicPr>
        <xdr:cNvPr id="40" name="图片 39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8935" y="16478885"/>
          <a:ext cx="90741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1845310</xdr:colOff>
      <xdr:row>57</xdr:row>
      <xdr:rowOff>313690</xdr:rowOff>
    </xdr:from>
    <xdr:to>
      <xdr:col>6</xdr:col>
      <xdr:colOff>0</xdr:colOff>
      <xdr:row>58</xdr:row>
      <xdr:rowOff>296545</xdr:rowOff>
    </xdr:to>
    <xdr:pic>
      <xdr:nvPicPr>
        <xdr:cNvPr id="41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4178935" y="18382615"/>
          <a:ext cx="907415" cy="297180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1845310</xdr:colOff>
      <xdr:row>58</xdr:row>
      <xdr:rowOff>299720</xdr:rowOff>
    </xdr:from>
    <xdr:to>
      <xdr:col>6</xdr:col>
      <xdr:colOff>0</xdr:colOff>
      <xdr:row>59</xdr:row>
      <xdr:rowOff>314960</xdr:rowOff>
    </xdr:to>
    <xdr:pic>
      <xdr:nvPicPr>
        <xdr:cNvPr id="42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4178935" y="18682970"/>
          <a:ext cx="907415" cy="329565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1845945</xdr:colOff>
      <xdr:row>59</xdr:row>
      <xdr:rowOff>295910</xdr:rowOff>
    </xdr:from>
    <xdr:to>
      <xdr:col>6</xdr:col>
      <xdr:colOff>0</xdr:colOff>
      <xdr:row>60</xdr:row>
      <xdr:rowOff>315595</xdr:rowOff>
    </xdr:to>
    <xdr:pic>
      <xdr:nvPicPr>
        <xdr:cNvPr id="43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4179570" y="18993485"/>
          <a:ext cx="906780" cy="334010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1845945</xdr:colOff>
      <xdr:row>52</xdr:row>
      <xdr:rowOff>307975</xdr:rowOff>
    </xdr:from>
    <xdr:to>
      <xdr:col>6</xdr:col>
      <xdr:colOff>0</xdr:colOff>
      <xdr:row>53</xdr:row>
      <xdr:rowOff>314960</xdr:rowOff>
    </xdr:to>
    <xdr:pic>
      <xdr:nvPicPr>
        <xdr:cNvPr id="44" name="图片 43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9570" y="16805275"/>
          <a:ext cx="906780" cy="321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1845945</xdr:colOff>
      <xdr:row>38</xdr:row>
      <xdr:rowOff>300990</xdr:rowOff>
    </xdr:from>
    <xdr:to>
      <xdr:col>6</xdr:col>
      <xdr:colOff>0</xdr:colOff>
      <xdr:row>39</xdr:row>
      <xdr:rowOff>316865</xdr:rowOff>
    </xdr:to>
    <xdr:pic>
      <xdr:nvPicPr>
        <xdr:cNvPr id="45" name="图片 4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9570" y="12321540"/>
          <a:ext cx="906780" cy="330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1847215</xdr:colOff>
      <xdr:row>41</xdr:row>
      <xdr:rowOff>218440</xdr:rowOff>
    </xdr:from>
    <xdr:to>
      <xdr:col>5</xdr:col>
      <xdr:colOff>352758</xdr:colOff>
      <xdr:row>41</xdr:row>
      <xdr:rowOff>316865</xdr:rowOff>
    </xdr:to>
    <xdr:pic>
      <xdr:nvPicPr>
        <xdr:cNvPr id="46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>
        <a:xfrm>
          <a:off x="4180840" y="13181965"/>
          <a:ext cx="353393" cy="98425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1847215</xdr:colOff>
      <xdr:row>45</xdr:row>
      <xdr:rowOff>66675</xdr:rowOff>
    </xdr:from>
    <xdr:to>
      <xdr:col>5</xdr:col>
      <xdr:colOff>212276</xdr:colOff>
      <xdr:row>45</xdr:row>
      <xdr:rowOff>316940</xdr:rowOff>
    </xdr:to>
    <xdr:pic>
      <xdr:nvPicPr>
        <xdr:cNvPr id="47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>
        <a:xfrm>
          <a:off x="4180840" y="14287500"/>
          <a:ext cx="212911" cy="250265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1847215</xdr:colOff>
      <xdr:row>46</xdr:row>
      <xdr:rowOff>88900</xdr:rowOff>
    </xdr:from>
    <xdr:to>
      <xdr:col>5</xdr:col>
      <xdr:colOff>201070</xdr:colOff>
      <xdr:row>46</xdr:row>
      <xdr:rowOff>316753</xdr:rowOff>
    </xdr:to>
    <xdr:pic>
      <xdr:nvPicPr>
        <xdr:cNvPr id="48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>
        <a:xfrm>
          <a:off x="4180840" y="14624050"/>
          <a:ext cx="201705" cy="227853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1845945</xdr:colOff>
      <xdr:row>45</xdr:row>
      <xdr:rowOff>297180</xdr:rowOff>
    </xdr:from>
    <xdr:to>
      <xdr:col>6</xdr:col>
      <xdr:colOff>0</xdr:colOff>
      <xdr:row>46</xdr:row>
      <xdr:rowOff>315595</xdr:rowOff>
    </xdr:to>
    <xdr:pic>
      <xdr:nvPicPr>
        <xdr:cNvPr id="49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4179570" y="14518005"/>
          <a:ext cx="906780" cy="332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1845310</xdr:colOff>
      <xdr:row>45</xdr:row>
      <xdr:rowOff>3175</xdr:rowOff>
    </xdr:from>
    <xdr:to>
      <xdr:col>6</xdr:col>
      <xdr:colOff>0</xdr:colOff>
      <xdr:row>46</xdr:row>
      <xdr:rowOff>1270</xdr:rowOff>
    </xdr:to>
    <xdr:pic>
      <xdr:nvPicPr>
        <xdr:cNvPr id="50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>
        <a:xfrm>
          <a:off x="4178935" y="14224000"/>
          <a:ext cx="907415" cy="3124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1845310</xdr:colOff>
      <xdr:row>47</xdr:row>
      <xdr:rowOff>10795</xdr:rowOff>
    </xdr:from>
    <xdr:to>
      <xdr:col>6</xdr:col>
      <xdr:colOff>0</xdr:colOff>
      <xdr:row>47</xdr:row>
      <xdr:rowOff>318135</xdr:rowOff>
    </xdr:to>
    <xdr:pic>
      <xdr:nvPicPr>
        <xdr:cNvPr id="51" name="图片 5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8935" y="14860270"/>
          <a:ext cx="907415" cy="307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1844675</xdr:colOff>
      <xdr:row>43</xdr:row>
      <xdr:rowOff>308610</xdr:rowOff>
    </xdr:from>
    <xdr:to>
      <xdr:col>6</xdr:col>
      <xdr:colOff>0</xdr:colOff>
      <xdr:row>45</xdr:row>
      <xdr:rowOff>30480</xdr:rowOff>
    </xdr:to>
    <xdr:pic>
      <xdr:nvPicPr>
        <xdr:cNvPr id="52" name="图片 51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8300" y="13900785"/>
          <a:ext cx="908050" cy="350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1845310</xdr:colOff>
      <xdr:row>61</xdr:row>
      <xdr:rowOff>13970</xdr:rowOff>
    </xdr:from>
    <xdr:to>
      <xdr:col>6</xdr:col>
      <xdr:colOff>0</xdr:colOff>
      <xdr:row>62</xdr:row>
      <xdr:rowOff>3810</xdr:rowOff>
    </xdr:to>
    <xdr:pic>
      <xdr:nvPicPr>
        <xdr:cNvPr id="53" name="图片 52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8935" y="19340195"/>
          <a:ext cx="907415" cy="3041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1845310</xdr:colOff>
      <xdr:row>39</xdr:row>
      <xdr:rowOff>313690</xdr:rowOff>
    </xdr:from>
    <xdr:to>
      <xdr:col>6</xdr:col>
      <xdr:colOff>0</xdr:colOff>
      <xdr:row>40</xdr:row>
      <xdr:rowOff>308610</xdr:rowOff>
    </xdr:to>
    <xdr:pic>
      <xdr:nvPicPr>
        <xdr:cNvPr id="54" name="图片 53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4178935" y="12648565"/>
          <a:ext cx="907415" cy="3092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1845310</xdr:colOff>
      <xdr:row>42</xdr:row>
      <xdr:rowOff>3810</xdr:rowOff>
    </xdr:from>
    <xdr:to>
      <xdr:col>6</xdr:col>
      <xdr:colOff>0</xdr:colOff>
      <xdr:row>42</xdr:row>
      <xdr:rowOff>309880</xdr:rowOff>
    </xdr:to>
    <xdr:pic>
      <xdr:nvPicPr>
        <xdr:cNvPr id="55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>
        <a:xfrm>
          <a:off x="4178935" y="13281660"/>
          <a:ext cx="907415" cy="306070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1843405</xdr:colOff>
      <xdr:row>40</xdr:row>
      <xdr:rowOff>316230</xdr:rowOff>
    </xdr:from>
    <xdr:to>
      <xdr:col>5</xdr:col>
      <xdr:colOff>901700</xdr:colOff>
      <xdr:row>42</xdr:row>
      <xdr:rowOff>14605</xdr:rowOff>
    </xdr:to>
    <xdr:pic>
      <xdr:nvPicPr>
        <xdr:cNvPr id="56" name="图片 55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177030" y="12965430"/>
          <a:ext cx="906145" cy="3270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1845945</xdr:colOff>
      <xdr:row>53</xdr:row>
      <xdr:rowOff>305435</xdr:rowOff>
    </xdr:from>
    <xdr:to>
      <xdr:col>5</xdr:col>
      <xdr:colOff>894715</xdr:colOff>
      <xdr:row>55</xdr:row>
      <xdr:rowOff>64135</xdr:rowOff>
    </xdr:to>
    <xdr:pic>
      <xdr:nvPicPr>
        <xdr:cNvPr id="57" name="图片 56" descr="00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4179570" y="17117060"/>
          <a:ext cx="896620" cy="387350"/>
        </a:xfrm>
        <a:prstGeom prst="rect">
          <a:avLst/>
        </a:prstGeom>
      </xdr:spPr>
    </xdr:pic>
    <xdr:clientData/>
  </xdr:twoCellAnchor>
  <xdr:twoCellAnchor>
    <xdr:from>
      <xdr:col>4</xdr:col>
      <xdr:colOff>1845945</xdr:colOff>
      <xdr:row>55</xdr:row>
      <xdr:rowOff>15240</xdr:rowOff>
    </xdr:from>
    <xdr:to>
      <xdr:col>6</xdr:col>
      <xdr:colOff>0</xdr:colOff>
      <xdr:row>55</xdr:row>
      <xdr:rowOff>313055</xdr:rowOff>
    </xdr:to>
    <xdr:pic>
      <xdr:nvPicPr>
        <xdr:cNvPr id="58" name="图片 57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179570" y="17455515"/>
          <a:ext cx="906780" cy="2978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1845945</xdr:colOff>
      <xdr:row>64</xdr:row>
      <xdr:rowOff>29845</xdr:rowOff>
    </xdr:from>
    <xdr:to>
      <xdr:col>5</xdr:col>
      <xdr:colOff>901700</xdr:colOff>
      <xdr:row>64</xdr:row>
      <xdr:rowOff>316865</xdr:rowOff>
    </xdr:to>
    <xdr:pic>
      <xdr:nvPicPr>
        <xdr:cNvPr id="59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>
        <a:xfrm>
          <a:off x="4179570" y="20299045"/>
          <a:ext cx="903605" cy="287020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1847215</xdr:colOff>
      <xdr:row>65</xdr:row>
      <xdr:rowOff>218440</xdr:rowOff>
    </xdr:from>
    <xdr:to>
      <xdr:col>4</xdr:col>
      <xdr:colOff>1847215</xdr:colOff>
      <xdr:row>65</xdr:row>
      <xdr:rowOff>316865</xdr:rowOff>
    </xdr:to>
    <xdr:pic>
      <xdr:nvPicPr>
        <xdr:cNvPr id="60" name="图片 59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80840" y="20801965"/>
          <a:ext cx="0" cy="98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1845310</xdr:colOff>
      <xdr:row>72</xdr:row>
      <xdr:rowOff>293370</xdr:rowOff>
    </xdr:from>
    <xdr:to>
      <xdr:col>5</xdr:col>
      <xdr:colOff>892810</xdr:colOff>
      <xdr:row>73</xdr:row>
      <xdr:rowOff>314325</xdr:rowOff>
    </xdr:to>
    <xdr:pic>
      <xdr:nvPicPr>
        <xdr:cNvPr id="61" name="图片 60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8935" y="23077170"/>
          <a:ext cx="895350" cy="3352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1845945</xdr:colOff>
      <xdr:row>65</xdr:row>
      <xdr:rowOff>278765</xdr:rowOff>
    </xdr:from>
    <xdr:to>
      <xdr:col>6</xdr:col>
      <xdr:colOff>0</xdr:colOff>
      <xdr:row>66</xdr:row>
      <xdr:rowOff>314960</xdr:rowOff>
    </xdr:to>
    <xdr:pic>
      <xdr:nvPicPr>
        <xdr:cNvPr id="62" name="图片 61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9570" y="20862290"/>
          <a:ext cx="906780" cy="350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1845310</xdr:colOff>
      <xdr:row>66</xdr:row>
      <xdr:rowOff>295910</xdr:rowOff>
    </xdr:from>
    <xdr:to>
      <xdr:col>6</xdr:col>
      <xdr:colOff>0</xdr:colOff>
      <xdr:row>67</xdr:row>
      <xdr:rowOff>314325</xdr:rowOff>
    </xdr:to>
    <xdr:pic>
      <xdr:nvPicPr>
        <xdr:cNvPr id="63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>
        <a:xfrm>
          <a:off x="4178935" y="21193760"/>
          <a:ext cx="907415" cy="332740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1845945</xdr:colOff>
      <xdr:row>67</xdr:row>
      <xdr:rowOff>306070</xdr:rowOff>
    </xdr:from>
    <xdr:to>
      <xdr:col>5</xdr:col>
      <xdr:colOff>901065</xdr:colOff>
      <xdr:row>68</xdr:row>
      <xdr:rowOff>315595</xdr:rowOff>
    </xdr:to>
    <xdr:pic>
      <xdr:nvPicPr>
        <xdr:cNvPr id="64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>
        <a:xfrm>
          <a:off x="4179570" y="21518245"/>
          <a:ext cx="902970" cy="323850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1845945</xdr:colOff>
      <xdr:row>68</xdr:row>
      <xdr:rowOff>312420</xdr:rowOff>
    </xdr:from>
    <xdr:to>
      <xdr:col>5</xdr:col>
      <xdr:colOff>886460</xdr:colOff>
      <xdr:row>70</xdr:row>
      <xdr:rowOff>0</xdr:rowOff>
    </xdr:to>
    <xdr:pic>
      <xdr:nvPicPr>
        <xdr:cNvPr id="65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>
        <a:xfrm>
          <a:off x="4179570" y="21838920"/>
          <a:ext cx="888365" cy="316230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1845945</xdr:colOff>
      <xdr:row>71</xdr:row>
      <xdr:rowOff>305435</xdr:rowOff>
    </xdr:from>
    <xdr:to>
      <xdr:col>6</xdr:col>
      <xdr:colOff>0</xdr:colOff>
      <xdr:row>72</xdr:row>
      <xdr:rowOff>302895</xdr:rowOff>
    </xdr:to>
    <xdr:pic>
      <xdr:nvPicPr>
        <xdr:cNvPr id="66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>
        <a:xfrm>
          <a:off x="4179570" y="22774910"/>
          <a:ext cx="906780" cy="311785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1845945</xdr:colOff>
      <xdr:row>74</xdr:row>
      <xdr:rowOff>14605</xdr:rowOff>
    </xdr:from>
    <xdr:to>
      <xdr:col>5</xdr:col>
      <xdr:colOff>892175</xdr:colOff>
      <xdr:row>74</xdr:row>
      <xdr:rowOff>314960</xdr:rowOff>
    </xdr:to>
    <xdr:pic>
      <xdr:nvPicPr>
        <xdr:cNvPr id="67" name="图片 66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9570" y="23427055"/>
          <a:ext cx="894080" cy="3003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1845945</xdr:colOff>
      <xdr:row>70</xdr:row>
      <xdr:rowOff>302260</xdr:rowOff>
    </xdr:from>
    <xdr:to>
      <xdr:col>5</xdr:col>
      <xdr:colOff>885190</xdr:colOff>
      <xdr:row>72</xdr:row>
      <xdr:rowOff>13970</xdr:rowOff>
    </xdr:to>
    <xdr:pic>
      <xdr:nvPicPr>
        <xdr:cNvPr id="68" name="图片 67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4179570" y="22457410"/>
          <a:ext cx="887095" cy="340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1845945</xdr:colOff>
      <xdr:row>69</xdr:row>
      <xdr:rowOff>313055</xdr:rowOff>
    </xdr:from>
    <xdr:to>
      <xdr:col>6</xdr:col>
      <xdr:colOff>0</xdr:colOff>
      <xdr:row>71</xdr:row>
      <xdr:rowOff>0</xdr:rowOff>
    </xdr:to>
    <xdr:pic>
      <xdr:nvPicPr>
        <xdr:cNvPr id="69" name="图片 68" descr="00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4179570" y="22153880"/>
          <a:ext cx="906780" cy="315595"/>
        </a:xfrm>
        <a:prstGeom prst="rect">
          <a:avLst/>
        </a:prstGeom>
      </xdr:spPr>
    </xdr:pic>
    <xdr:clientData/>
  </xdr:twoCellAnchor>
  <xdr:twoCellAnchor>
    <xdr:from>
      <xdr:col>4</xdr:col>
      <xdr:colOff>1846580</xdr:colOff>
      <xdr:row>13</xdr:row>
      <xdr:rowOff>252730</xdr:rowOff>
    </xdr:from>
    <xdr:to>
      <xdr:col>6</xdr:col>
      <xdr:colOff>0</xdr:colOff>
      <xdr:row>15</xdr:row>
      <xdr:rowOff>0</xdr:rowOff>
    </xdr:to>
    <xdr:pic>
      <xdr:nvPicPr>
        <xdr:cNvPr id="70" name="图片 69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80205" y="4281805"/>
          <a:ext cx="906145" cy="3759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1847215</xdr:colOff>
      <xdr:row>12</xdr:row>
      <xdr:rowOff>0</xdr:rowOff>
    </xdr:from>
    <xdr:to>
      <xdr:col>5</xdr:col>
      <xdr:colOff>901700</xdr:colOff>
      <xdr:row>13</xdr:row>
      <xdr:rowOff>0</xdr:rowOff>
    </xdr:to>
    <xdr:pic>
      <xdr:nvPicPr>
        <xdr:cNvPr id="71" name="图片 7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80840" y="3714750"/>
          <a:ext cx="902335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1846580</xdr:colOff>
      <xdr:row>7</xdr:row>
      <xdr:rowOff>0</xdr:rowOff>
    </xdr:from>
    <xdr:to>
      <xdr:col>5</xdr:col>
      <xdr:colOff>896620</xdr:colOff>
      <xdr:row>8</xdr:row>
      <xdr:rowOff>27305</xdr:rowOff>
    </xdr:to>
    <xdr:pic>
      <xdr:nvPicPr>
        <xdr:cNvPr id="72" name="图片 7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80205" y="2143125"/>
          <a:ext cx="897890" cy="3416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1845945</xdr:colOff>
      <xdr:row>16</xdr:row>
      <xdr:rowOff>315595</xdr:rowOff>
    </xdr:from>
    <xdr:to>
      <xdr:col>6</xdr:col>
      <xdr:colOff>0</xdr:colOff>
      <xdr:row>17</xdr:row>
      <xdr:rowOff>307340</xdr:rowOff>
    </xdr:to>
    <xdr:pic>
      <xdr:nvPicPr>
        <xdr:cNvPr id="73" name="图片 7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9570" y="5287645"/>
          <a:ext cx="906780" cy="306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1845310</xdr:colOff>
      <xdr:row>19</xdr:row>
      <xdr:rowOff>0</xdr:rowOff>
    </xdr:from>
    <xdr:to>
      <xdr:col>6</xdr:col>
      <xdr:colOff>0</xdr:colOff>
      <xdr:row>19</xdr:row>
      <xdr:rowOff>296545</xdr:rowOff>
    </xdr:to>
    <xdr:pic>
      <xdr:nvPicPr>
        <xdr:cNvPr id="74" name="图片 73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8935" y="5915025"/>
          <a:ext cx="907415" cy="296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1846580</xdr:colOff>
      <xdr:row>15</xdr:row>
      <xdr:rowOff>0</xdr:rowOff>
    </xdr:from>
    <xdr:to>
      <xdr:col>5</xdr:col>
      <xdr:colOff>903605</xdr:colOff>
      <xdr:row>16</xdr:row>
      <xdr:rowOff>16510</xdr:rowOff>
    </xdr:to>
    <xdr:pic>
      <xdr:nvPicPr>
        <xdr:cNvPr id="75" name="图片 74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4180205" y="4657725"/>
          <a:ext cx="904875" cy="3308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>
    <xdr:from>
      <xdr:col>4</xdr:col>
      <xdr:colOff>1844675</xdr:colOff>
      <xdr:row>32</xdr:row>
      <xdr:rowOff>294640</xdr:rowOff>
    </xdr:from>
    <xdr:to>
      <xdr:col>6</xdr:col>
      <xdr:colOff>0</xdr:colOff>
      <xdr:row>33</xdr:row>
      <xdr:rowOff>295275</xdr:rowOff>
    </xdr:to>
    <xdr:pic>
      <xdr:nvPicPr>
        <xdr:cNvPr id="76" name="图片 75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8300" y="10362565"/>
          <a:ext cx="908050" cy="3149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1846580</xdr:colOff>
      <xdr:row>37</xdr:row>
      <xdr:rowOff>0</xdr:rowOff>
    </xdr:from>
    <xdr:to>
      <xdr:col>6</xdr:col>
      <xdr:colOff>0</xdr:colOff>
      <xdr:row>38</xdr:row>
      <xdr:rowOff>0</xdr:rowOff>
    </xdr:to>
    <xdr:pic>
      <xdr:nvPicPr>
        <xdr:cNvPr id="77" name="图片 76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80205" y="11706225"/>
          <a:ext cx="906145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1845945</xdr:colOff>
      <xdr:row>43</xdr:row>
      <xdr:rowOff>16510</xdr:rowOff>
    </xdr:from>
    <xdr:to>
      <xdr:col>6</xdr:col>
      <xdr:colOff>0</xdr:colOff>
      <xdr:row>43</xdr:row>
      <xdr:rowOff>304800</xdr:rowOff>
    </xdr:to>
    <xdr:pic>
      <xdr:nvPicPr>
        <xdr:cNvPr id="78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>
        <a:xfrm>
          <a:off x="4179570" y="13608685"/>
          <a:ext cx="906780" cy="288290"/>
        </a:xfrm>
        <a:prstGeom prst="rect">
          <a:avLst/>
        </a:prstGeom>
        <a:noFill/>
      </xdr:spPr>
    </xdr:pic>
    <xdr:clientData/>
  </xdr:twoCellAnchor>
  <xdr:twoCellAnchor>
    <xdr:from>
      <xdr:col>4</xdr:col>
      <xdr:colOff>1845945</xdr:colOff>
      <xdr:row>65</xdr:row>
      <xdr:rowOff>0</xdr:rowOff>
    </xdr:from>
    <xdr:to>
      <xdr:col>5</xdr:col>
      <xdr:colOff>898525</xdr:colOff>
      <xdr:row>65</xdr:row>
      <xdr:rowOff>292735</xdr:rowOff>
    </xdr:to>
    <xdr:pic>
      <xdr:nvPicPr>
        <xdr:cNvPr id="79" name="图片 78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79570" y="20583525"/>
          <a:ext cx="900430" cy="2927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1846580</xdr:colOff>
      <xdr:row>57</xdr:row>
      <xdr:rowOff>0</xdr:rowOff>
    </xdr:from>
    <xdr:to>
      <xdr:col>5</xdr:col>
      <xdr:colOff>898525</xdr:colOff>
      <xdr:row>58</xdr:row>
      <xdr:rowOff>6350</xdr:rowOff>
    </xdr:to>
    <xdr:pic>
      <xdr:nvPicPr>
        <xdr:cNvPr id="80" name="图片 79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80205" y="18068925"/>
          <a:ext cx="899795" cy="3206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1847215</xdr:colOff>
      <xdr:row>50</xdr:row>
      <xdr:rowOff>60960</xdr:rowOff>
    </xdr:from>
    <xdr:to>
      <xdr:col>5</xdr:col>
      <xdr:colOff>437515</xdr:colOff>
      <xdr:row>50</xdr:row>
      <xdr:rowOff>60960</xdr:rowOff>
    </xdr:to>
    <xdr:pic>
      <xdr:nvPicPr>
        <xdr:cNvPr id="81" name="图片 80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80840" y="15853410"/>
          <a:ext cx="43815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1847215</xdr:colOff>
      <xdr:row>63</xdr:row>
      <xdr:rowOff>60960</xdr:rowOff>
    </xdr:from>
    <xdr:to>
      <xdr:col>5</xdr:col>
      <xdr:colOff>437515</xdr:colOff>
      <xdr:row>63</xdr:row>
      <xdr:rowOff>60960</xdr:rowOff>
    </xdr:to>
    <xdr:pic>
      <xdr:nvPicPr>
        <xdr:cNvPr id="82" name="图片 81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4180840" y="20015835"/>
          <a:ext cx="43815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0</xdr:colOff>
      <xdr:row>48</xdr:row>
      <xdr:rowOff>0</xdr:rowOff>
    </xdr:from>
    <xdr:to>
      <xdr:col>5</xdr:col>
      <xdr:colOff>848360</xdr:colOff>
      <xdr:row>49</xdr:row>
      <xdr:rowOff>0</xdr:rowOff>
    </xdr:to>
    <xdr:pic>
      <xdr:nvPicPr>
        <xdr:cNvPr id="83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>
        <a:xfrm>
          <a:off x="4181475" y="15163800"/>
          <a:ext cx="848360" cy="314325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eChat%20Files\wxid_0nl543xcujmo21\FileStorage\File\2024-07\M4&#39592;&#26550;&#28938;&#25509;&#24635;&#25104;&#25253;&#20215;&#34920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M4&#39592;&#26550;&#28938;&#25509;&#24635;&#25104;&#25253;&#20215;&#34920;7.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报价单"/>
      <sheetName val="Sheet3"/>
    </sheetNames>
    <sheetDataSet>
      <sheetData sheetId="0">
        <row r="4">
          <cell r="U4">
            <v>8.9504040000000007</v>
          </cell>
        </row>
        <row r="15">
          <cell r="U15">
            <v>31.806424</v>
          </cell>
        </row>
        <row r="33">
          <cell r="U33">
            <v>29.183503999999999</v>
          </cell>
        </row>
        <row r="49">
          <cell r="U49">
            <v>30.801416</v>
          </cell>
        </row>
        <row r="72">
          <cell r="U72">
            <v>18.760225999999999</v>
          </cell>
        </row>
        <row r="85">
          <cell r="U85">
            <v>18.418308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报价单"/>
      <sheetName val="Sheet3"/>
    </sheetNames>
    <sheetDataSet>
      <sheetData sheetId="0">
        <row r="4">
          <cell r="U4">
            <v>8.2394856000000001</v>
          </cell>
        </row>
        <row r="15">
          <cell r="U15">
            <v>29.634513599999998</v>
          </cell>
        </row>
        <row r="33">
          <cell r="U33">
            <v>27.102825599999999</v>
          </cell>
        </row>
        <row r="49">
          <cell r="U49">
            <v>28.531262399999999</v>
          </cell>
        </row>
        <row r="72">
          <cell r="U72">
            <v>17.042096399999998</v>
          </cell>
        </row>
        <row r="85">
          <cell r="U85">
            <v>16.7120712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55"/>
  <sheetViews>
    <sheetView zoomScale="85" zoomScaleNormal="85" workbookViewId="0">
      <pane ySplit="2" topLeftCell="A58" activePane="bottomLeft" state="frozenSplit"/>
      <selection pane="bottomLeft" activeCell="I69" sqref="I69"/>
    </sheetView>
  </sheetViews>
  <sheetFormatPr defaultColWidth="9" defaultRowHeight="13.5" x14ac:dyDescent="0.15"/>
  <cols>
    <col min="1" max="3" width="4.375" customWidth="1"/>
    <col min="4" max="4" width="17.5" customWidth="1"/>
    <col min="5" max="5" width="24.25" customWidth="1"/>
    <col min="6" max="6" width="11.875" customWidth="1"/>
    <col min="7" max="7" width="11.875" hidden="1" customWidth="1"/>
    <col min="8" max="8" width="18.25" customWidth="1"/>
    <col min="12" max="12" width="7.875" customWidth="1"/>
    <col min="13" max="13" width="12.625" customWidth="1"/>
    <col min="17" max="17" width="11.5"/>
    <col min="18" max="18" width="12.625"/>
  </cols>
  <sheetData>
    <row r="1" spans="1:21" ht="23.1" customHeight="1" x14ac:dyDescent="0.15">
      <c r="A1" s="173" t="s">
        <v>0</v>
      </c>
      <c r="B1" s="173"/>
      <c r="C1" s="173"/>
      <c r="D1" s="173" t="s">
        <v>1</v>
      </c>
      <c r="E1" s="173" t="s">
        <v>2</v>
      </c>
      <c r="F1" s="173" t="s">
        <v>3</v>
      </c>
      <c r="G1" s="173" t="s">
        <v>4</v>
      </c>
      <c r="H1" s="173" t="s">
        <v>5</v>
      </c>
      <c r="I1" s="173" t="s">
        <v>6</v>
      </c>
      <c r="J1" s="176" t="s">
        <v>7</v>
      </c>
      <c r="K1" s="173" t="s">
        <v>8</v>
      </c>
      <c r="L1" s="172" t="s">
        <v>9</v>
      </c>
      <c r="M1" s="172"/>
      <c r="N1" s="172" t="s">
        <v>10</v>
      </c>
      <c r="O1" s="172"/>
      <c r="P1" s="172" t="s">
        <v>11</v>
      </c>
      <c r="Q1" s="172" t="s">
        <v>12</v>
      </c>
    </row>
    <row r="2" spans="1:21" ht="24.95" customHeight="1" x14ac:dyDescent="0.15">
      <c r="A2" s="173"/>
      <c r="B2" s="173"/>
      <c r="C2" s="173"/>
      <c r="D2" s="174"/>
      <c r="E2" s="175"/>
      <c r="F2" s="175"/>
      <c r="G2" s="175"/>
      <c r="H2" s="175"/>
      <c r="I2" s="175"/>
      <c r="J2" s="173"/>
      <c r="K2" s="175"/>
      <c r="L2" t="s">
        <v>9</v>
      </c>
      <c r="M2" t="s">
        <v>13</v>
      </c>
      <c r="N2" t="s">
        <v>14</v>
      </c>
      <c r="O2" t="s">
        <v>15</v>
      </c>
      <c r="P2" s="172"/>
      <c r="Q2" s="172"/>
      <c r="R2" t="s">
        <v>16</v>
      </c>
    </row>
    <row r="3" spans="1:21" s="1" customFormat="1" ht="24.95" customHeight="1" x14ac:dyDescent="0.15">
      <c r="A3" s="5"/>
      <c r="B3" s="6"/>
      <c r="C3" s="6"/>
      <c r="D3" s="7"/>
      <c r="E3" s="5" t="s">
        <v>17</v>
      </c>
      <c r="F3" s="8" t="s">
        <v>18</v>
      </c>
      <c r="G3" s="8"/>
      <c r="H3" s="9"/>
      <c r="I3" s="9"/>
      <c r="J3" s="47"/>
      <c r="K3" s="48"/>
      <c r="L3" s="49"/>
      <c r="M3" s="49"/>
      <c r="N3" s="49"/>
      <c r="O3" s="49"/>
      <c r="P3" s="49"/>
      <c r="Q3" s="49"/>
    </row>
    <row r="4" spans="1:21" s="2" customFormat="1" ht="24.95" customHeight="1" x14ac:dyDescent="0.15">
      <c r="A4" s="10">
        <v>1</v>
      </c>
      <c r="B4" s="11"/>
      <c r="C4" s="11"/>
      <c r="D4" s="12" t="s">
        <v>19</v>
      </c>
      <c r="E4" s="13" t="s">
        <v>20</v>
      </c>
      <c r="F4" s="14"/>
      <c r="G4" s="14" t="s">
        <v>21</v>
      </c>
      <c r="H4" s="15"/>
      <c r="I4" s="15"/>
      <c r="J4" s="50"/>
      <c r="K4" s="51"/>
      <c r="L4" s="52"/>
      <c r="M4" s="52"/>
      <c r="N4" s="52"/>
      <c r="O4" s="52"/>
      <c r="P4" s="52"/>
      <c r="Q4" s="75">
        <f>SUM(Q5:Q8)*1.15</f>
        <v>5.1530349999999991</v>
      </c>
    </row>
    <row r="5" spans="1:21" s="3" customFormat="1" ht="23.1" customHeight="1" x14ac:dyDescent="0.15">
      <c r="A5" s="16"/>
      <c r="B5" s="17"/>
      <c r="C5" s="17"/>
      <c r="D5" s="18" t="s">
        <v>22</v>
      </c>
      <c r="E5" s="19" t="s">
        <v>23</v>
      </c>
      <c r="F5" s="20"/>
      <c r="G5" s="20"/>
      <c r="H5" s="21" t="s">
        <v>24</v>
      </c>
      <c r="I5" s="34">
        <f>SUMPRODUCT(I6:I8,J6:J8)</f>
        <v>0.51669999999999994</v>
      </c>
      <c r="J5" s="53"/>
      <c r="K5" s="31"/>
      <c r="L5" s="54"/>
      <c r="M5" s="54">
        <v>7.73</v>
      </c>
      <c r="N5" s="54"/>
      <c r="O5" s="54"/>
      <c r="P5" s="54">
        <f>0.077*13</f>
        <v>1.0009999999999999</v>
      </c>
      <c r="Q5" s="54">
        <f>P5</f>
        <v>1.0009999999999999</v>
      </c>
      <c r="R5" s="3">
        <v>5500</v>
      </c>
      <c r="T5" s="3">
        <v>4.25</v>
      </c>
    </row>
    <row r="6" spans="1:21" s="3" customFormat="1" ht="24.95" customHeight="1" x14ac:dyDescent="0.15">
      <c r="A6" s="16"/>
      <c r="B6" s="17">
        <v>1</v>
      </c>
      <c r="C6" s="17"/>
      <c r="D6" s="22" t="s">
        <v>25</v>
      </c>
      <c r="E6" s="19" t="s">
        <v>26</v>
      </c>
      <c r="F6" s="20"/>
      <c r="G6" s="20"/>
      <c r="H6" s="23" t="s">
        <v>27</v>
      </c>
      <c r="I6" s="55">
        <v>3.7400000000000003E-2</v>
      </c>
      <c r="J6" s="53">
        <v>2</v>
      </c>
      <c r="K6" s="31" t="s">
        <v>28</v>
      </c>
      <c r="L6" s="54">
        <f>J6*I6*4.5</f>
        <v>0.33660000000000001</v>
      </c>
      <c r="M6" s="56"/>
      <c r="N6" s="54">
        <f>0.1*J6</f>
        <v>0.2</v>
      </c>
      <c r="O6" s="54">
        <f>4*0.05</f>
        <v>0.2</v>
      </c>
      <c r="P6" s="54"/>
      <c r="Q6" s="54">
        <f>SUM(L6:P6)</f>
        <v>0.73659999999999992</v>
      </c>
      <c r="R6" s="3">
        <v>5500</v>
      </c>
    </row>
    <row r="7" spans="1:21" s="3" customFormat="1" ht="24.95" customHeight="1" x14ac:dyDescent="0.15">
      <c r="A7" s="16"/>
      <c r="B7" s="17">
        <v>2</v>
      </c>
      <c r="C7" s="17"/>
      <c r="D7" s="18" t="s">
        <v>29</v>
      </c>
      <c r="E7" s="19" t="s">
        <v>30</v>
      </c>
      <c r="F7" s="20"/>
      <c r="G7" s="20"/>
      <c r="H7" s="23" t="s">
        <v>31</v>
      </c>
      <c r="I7" s="55">
        <v>0.34799999999999998</v>
      </c>
      <c r="J7" s="53">
        <v>1</v>
      </c>
      <c r="K7" s="31" t="s">
        <v>28</v>
      </c>
      <c r="L7" s="54">
        <f>I7*4.5</f>
        <v>1.5659999999999998</v>
      </c>
      <c r="M7" s="56"/>
      <c r="N7" s="54">
        <f>4*0.08+0.1</f>
        <v>0.42000000000000004</v>
      </c>
      <c r="O7" s="54"/>
      <c r="P7" s="54"/>
      <c r="Q7" s="54">
        <f>SUM(L7:P7)</f>
        <v>1.9859999999999998</v>
      </c>
      <c r="R7" s="3">
        <v>15900</v>
      </c>
    </row>
    <row r="8" spans="1:21" s="3" customFormat="1" ht="24.95" customHeight="1" x14ac:dyDescent="0.15">
      <c r="A8" s="16"/>
      <c r="B8" s="17">
        <v>3</v>
      </c>
      <c r="C8" s="17"/>
      <c r="D8" s="18" t="s">
        <v>32</v>
      </c>
      <c r="E8" s="19" t="s">
        <v>33</v>
      </c>
      <c r="F8" s="20"/>
      <c r="G8" s="20"/>
      <c r="H8" s="23" t="s">
        <v>34</v>
      </c>
      <c r="I8" s="55">
        <v>9.3899999999999997E-2</v>
      </c>
      <c r="J8" s="53">
        <v>1</v>
      </c>
      <c r="K8" s="31" t="s">
        <v>28</v>
      </c>
      <c r="L8" s="54">
        <f>I8*7</f>
        <v>0.6573</v>
      </c>
      <c r="M8" s="56"/>
      <c r="N8" s="54"/>
      <c r="O8" s="54">
        <f>2*0.05</f>
        <v>0.1</v>
      </c>
      <c r="P8" s="54"/>
      <c r="Q8" s="54">
        <f>SUM(L8:P8)</f>
        <v>0.75729999999999997</v>
      </c>
    </row>
    <row r="9" spans="1:21" s="4" customFormat="1" ht="24.95" customHeight="1" x14ac:dyDescent="0.15">
      <c r="A9" s="24">
        <v>2</v>
      </c>
      <c r="B9" s="25"/>
      <c r="C9" s="25"/>
      <c r="D9" s="138" t="s">
        <v>246</v>
      </c>
      <c r="E9" s="26" t="s">
        <v>271</v>
      </c>
      <c r="F9" s="27" t="s">
        <v>15</v>
      </c>
      <c r="G9" s="14" t="s">
        <v>21</v>
      </c>
      <c r="H9" s="28" t="s">
        <v>24</v>
      </c>
      <c r="I9" s="57">
        <f t="array" ref="I9">SUMPRODUCT(I10:I20,J10:J20)</f>
        <v>2.5324</v>
      </c>
      <c r="J9" s="58"/>
      <c r="K9" s="28"/>
      <c r="L9" s="59"/>
      <c r="M9" s="59"/>
      <c r="N9" s="59"/>
      <c r="O9" s="59"/>
      <c r="P9" s="59"/>
      <c r="Q9" s="76">
        <f>SUM(Q10:Q20)*1.15</f>
        <v>20.857687999999996</v>
      </c>
      <c r="R9" s="4">
        <f>Q9*0.95</f>
        <v>19.814803599999994</v>
      </c>
      <c r="T9" s="4">
        <v>17.32</v>
      </c>
      <c r="U9" s="78">
        <f>T9+Q15+Q20</f>
        <v>19.681940000000001</v>
      </c>
    </row>
    <row r="10" spans="1:21" s="3" customFormat="1" ht="24.95" customHeight="1" x14ac:dyDescent="0.15">
      <c r="A10" s="16"/>
      <c r="B10" s="17">
        <v>1</v>
      </c>
      <c r="C10" s="17"/>
      <c r="D10" s="22" t="s">
        <v>36</v>
      </c>
      <c r="E10" s="19" t="s">
        <v>37</v>
      </c>
      <c r="F10" s="20"/>
      <c r="G10" s="20"/>
      <c r="H10" s="23" t="s">
        <v>38</v>
      </c>
      <c r="I10" s="60">
        <v>1.3280000000000001</v>
      </c>
      <c r="J10" s="23">
        <v>1</v>
      </c>
      <c r="K10" s="31" t="s">
        <v>28</v>
      </c>
      <c r="L10" s="61">
        <f>I10*J10*4.5</f>
        <v>5.976</v>
      </c>
      <c r="M10" s="61"/>
      <c r="N10" s="61">
        <v>1.33</v>
      </c>
      <c r="O10" s="61">
        <f>25.4*3.14*J10*0.05/10</f>
        <v>0.39878000000000002</v>
      </c>
      <c r="P10" s="54"/>
      <c r="Q10" s="61">
        <f t="shared" ref="Q10:Q15" si="0">SUM(L10:P10)</f>
        <v>7.7047800000000004</v>
      </c>
      <c r="R10" s="3">
        <v>6500</v>
      </c>
    </row>
    <row r="11" spans="1:21" s="3" customFormat="1" ht="24.95" customHeight="1" x14ac:dyDescent="0.15">
      <c r="A11" s="16"/>
      <c r="B11" s="17">
        <v>2</v>
      </c>
      <c r="C11" s="17"/>
      <c r="D11" s="18" t="s">
        <v>39</v>
      </c>
      <c r="E11" s="19" t="s">
        <v>40</v>
      </c>
      <c r="F11" s="19"/>
      <c r="G11" s="19"/>
      <c r="H11" s="23" t="s">
        <v>41</v>
      </c>
      <c r="I11" s="62">
        <v>0.04</v>
      </c>
      <c r="J11" s="23">
        <v>1</v>
      </c>
      <c r="K11" s="31" t="s">
        <v>28</v>
      </c>
      <c r="L11" s="61"/>
      <c r="M11" s="77">
        <v>0.69120000000000004</v>
      </c>
      <c r="N11" s="61"/>
      <c r="O11" s="61">
        <f>4*0.05*J11</f>
        <v>0.2</v>
      </c>
      <c r="P11" s="54"/>
      <c r="Q11" s="61">
        <f t="shared" si="0"/>
        <v>0.89119999999999999</v>
      </c>
      <c r="R11" s="3">
        <v>6500</v>
      </c>
    </row>
    <row r="12" spans="1:21" s="3" customFormat="1" ht="24.95" customHeight="1" x14ac:dyDescent="0.15">
      <c r="A12" s="16"/>
      <c r="B12" s="17">
        <v>3</v>
      </c>
      <c r="C12" s="17"/>
      <c r="D12" s="18" t="s">
        <v>42</v>
      </c>
      <c r="E12" s="19" t="s">
        <v>43</v>
      </c>
      <c r="F12" s="19"/>
      <c r="G12" s="19"/>
      <c r="H12" s="23" t="s">
        <v>41</v>
      </c>
      <c r="I12" s="62">
        <v>0.04</v>
      </c>
      <c r="J12" s="23">
        <v>1</v>
      </c>
      <c r="K12" s="31" t="s">
        <v>28</v>
      </c>
      <c r="L12" s="61"/>
      <c r="M12" s="77">
        <v>0.69120000000000004</v>
      </c>
      <c r="N12" s="61"/>
      <c r="O12" s="61">
        <f>4*0.05*J12</f>
        <v>0.2</v>
      </c>
      <c r="P12" s="54"/>
      <c r="Q12" s="61">
        <f t="shared" si="0"/>
        <v>0.89119999999999999</v>
      </c>
    </row>
    <row r="13" spans="1:21" s="3" customFormat="1" ht="24.95" customHeight="1" x14ac:dyDescent="0.15">
      <c r="A13" s="16"/>
      <c r="B13" s="17">
        <v>4</v>
      </c>
      <c r="C13" s="17"/>
      <c r="D13" s="22" t="s">
        <v>44</v>
      </c>
      <c r="E13" s="19" t="s">
        <v>45</v>
      </c>
      <c r="F13" s="20"/>
      <c r="G13" s="20"/>
      <c r="H13" s="23" t="s">
        <v>46</v>
      </c>
      <c r="I13" s="55">
        <v>6.5000000000000002E-2</v>
      </c>
      <c r="J13" s="23">
        <v>2</v>
      </c>
      <c r="K13" s="31" t="s">
        <v>28</v>
      </c>
      <c r="L13" s="61">
        <f>I13*J13*7</f>
        <v>0.91</v>
      </c>
      <c r="M13" s="61"/>
      <c r="N13" s="61"/>
      <c r="O13" s="61">
        <f>2*0.05*J13</f>
        <v>0.2</v>
      </c>
      <c r="P13" s="54"/>
      <c r="Q13" s="61">
        <f t="shared" si="0"/>
        <v>1.1100000000000001</v>
      </c>
    </row>
    <row r="14" spans="1:21" s="3" customFormat="1" ht="24.95" customHeight="1" x14ac:dyDescent="0.15">
      <c r="A14" s="16"/>
      <c r="B14" s="17">
        <v>5</v>
      </c>
      <c r="C14" s="17"/>
      <c r="D14" s="22" t="s">
        <v>47</v>
      </c>
      <c r="E14" s="19" t="s">
        <v>48</v>
      </c>
      <c r="F14" s="20"/>
      <c r="G14" s="20"/>
      <c r="H14" s="23" t="s">
        <v>46</v>
      </c>
      <c r="I14" s="55">
        <v>7.3999999999999996E-2</v>
      </c>
      <c r="J14" s="23">
        <v>2</v>
      </c>
      <c r="K14" s="31" t="s">
        <v>28</v>
      </c>
      <c r="L14" s="61">
        <f t="shared" ref="L14:L19" si="1">I14*J14*7</f>
        <v>1.036</v>
      </c>
      <c r="M14" s="61"/>
      <c r="N14" s="61"/>
      <c r="O14" s="61">
        <f>2*0.05*J14</f>
        <v>0.2</v>
      </c>
      <c r="P14" s="54"/>
      <c r="Q14" s="61">
        <f t="shared" si="0"/>
        <v>1.236</v>
      </c>
    </row>
    <row r="15" spans="1:21" s="3" customFormat="1" ht="24.95" customHeight="1" x14ac:dyDescent="0.15">
      <c r="A15" s="16"/>
      <c r="B15" s="17">
        <v>6</v>
      </c>
      <c r="C15" s="17"/>
      <c r="D15" s="22" t="s">
        <v>49</v>
      </c>
      <c r="E15" s="22" t="s">
        <v>50</v>
      </c>
      <c r="F15" s="20"/>
      <c r="G15" s="20"/>
      <c r="H15" s="23" t="s">
        <v>51</v>
      </c>
      <c r="I15" s="55">
        <v>6.1000000000000004E-3</v>
      </c>
      <c r="J15" s="23">
        <v>4</v>
      </c>
      <c r="K15" s="31" t="s">
        <v>28</v>
      </c>
      <c r="L15" s="61"/>
      <c r="M15" s="61">
        <f>0.175*J15</f>
        <v>0.7</v>
      </c>
      <c r="N15" s="61">
        <f>0.05*1*J15</f>
        <v>0.2</v>
      </c>
      <c r="O15" s="61">
        <f>2*0.05*J15</f>
        <v>0.4</v>
      </c>
      <c r="P15" s="54"/>
      <c r="Q15" s="61">
        <f t="shared" si="0"/>
        <v>1.2999999999999998</v>
      </c>
      <c r="R15" s="3">
        <v>1</v>
      </c>
    </row>
    <row r="16" spans="1:21" s="3" customFormat="1" ht="24.95" customHeight="1" x14ac:dyDescent="0.15">
      <c r="A16" s="16"/>
      <c r="B16" s="17">
        <v>7</v>
      </c>
      <c r="C16" s="17"/>
      <c r="D16" s="22" t="s">
        <v>52</v>
      </c>
      <c r="E16" s="19" t="s">
        <v>53</v>
      </c>
      <c r="F16" s="20"/>
      <c r="G16" s="20"/>
      <c r="H16" s="23" t="s">
        <v>34</v>
      </c>
      <c r="I16" s="55">
        <f>I17*J17+I18*J18</f>
        <v>0.31</v>
      </c>
      <c r="J16" s="23">
        <v>1</v>
      </c>
      <c r="K16" s="31" t="s">
        <v>28</v>
      </c>
      <c r="L16" s="61">
        <f t="shared" si="1"/>
        <v>2.17</v>
      </c>
      <c r="M16" s="61"/>
      <c r="N16" s="61"/>
      <c r="O16" s="61">
        <f>18*0.05*J16</f>
        <v>0.9</v>
      </c>
      <c r="P16" s="54"/>
      <c r="Q16" s="61">
        <f>SUM(L16:O16)</f>
        <v>3.07</v>
      </c>
    </row>
    <row r="17" spans="1:21" s="3" customFormat="1" ht="24.95" customHeight="1" x14ac:dyDescent="0.15">
      <c r="A17" s="16"/>
      <c r="B17" s="17"/>
      <c r="C17" s="17">
        <v>1</v>
      </c>
      <c r="D17" s="22" t="s">
        <v>54</v>
      </c>
      <c r="E17" s="19" t="s">
        <v>55</v>
      </c>
      <c r="F17" s="20"/>
      <c r="G17" s="20"/>
      <c r="H17" s="23" t="s">
        <v>34</v>
      </c>
      <c r="I17" s="55">
        <v>6.3E-2</v>
      </c>
      <c r="J17" s="23">
        <v>3</v>
      </c>
      <c r="K17" s="31" t="s">
        <v>28</v>
      </c>
      <c r="L17" s="61"/>
      <c r="M17" s="61"/>
      <c r="N17" s="61"/>
      <c r="O17" s="61"/>
      <c r="P17" s="54"/>
      <c r="Q17" s="61"/>
    </row>
    <row r="18" spans="1:21" s="3" customFormat="1" ht="24.95" customHeight="1" x14ac:dyDescent="0.15">
      <c r="A18" s="16"/>
      <c r="B18" s="17"/>
      <c r="C18" s="17">
        <v>2</v>
      </c>
      <c r="D18" s="22" t="s">
        <v>56</v>
      </c>
      <c r="E18" s="19" t="s">
        <v>57</v>
      </c>
      <c r="F18" s="20"/>
      <c r="G18" s="20"/>
      <c r="H18" s="23" t="s">
        <v>34</v>
      </c>
      <c r="I18" s="55">
        <v>6.0499999999999998E-2</v>
      </c>
      <c r="J18" s="23">
        <v>2</v>
      </c>
      <c r="K18" s="31" t="s">
        <v>28</v>
      </c>
      <c r="L18" s="61"/>
      <c r="M18" s="61"/>
      <c r="N18" s="61"/>
      <c r="O18" s="61"/>
      <c r="P18" s="54"/>
      <c r="Q18" s="61"/>
    </row>
    <row r="19" spans="1:21" s="3" customFormat="1" ht="24.95" customHeight="1" x14ac:dyDescent="0.15">
      <c r="A19" s="16"/>
      <c r="B19" s="17">
        <v>8</v>
      </c>
      <c r="C19" s="17"/>
      <c r="D19" s="22" t="s">
        <v>58</v>
      </c>
      <c r="E19" s="19" t="s">
        <v>59</v>
      </c>
      <c r="F19" s="20"/>
      <c r="G19" s="20"/>
      <c r="H19" s="23" t="s">
        <v>46</v>
      </c>
      <c r="I19" s="55">
        <v>4.8000000000000001E-2</v>
      </c>
      <c r="J19" s="63">
        <v>2</v>
      </c>
      <c r="K19" s="31" t="s">
        <v>28</v>
      </c>
      <c r="L19" s="61">
        <f t="shared" si="1"/>
        <v>0.67200000000000004</v>
      </c>
      <c r="M19" s="61"/>
      <c r="N19" s="61"/>
      <c r="O19" s="61">
        <f>0.05*2*J19</f>
        <v>0.2</v>
      </c>
      <c r="P19" s="54"/>
      <c r="Q19" s="61">
        <f>SUM(L19:O19)</f>
        <v>0.87200000000000011</v>
      </c>
    </row>
    <row r="20" spans="1:21" s="3" customFormat="1" ht="24.95" customHeight="1" x14ac:dyDescent="0.15">
      <c r="A20" s="16"/>
      <c r="B20" s="17">
        <v>9</v>
      </c>
      <c r="C20" s="17"/>
      <c r="D20" s="22" t="s">
        <v>60</v>
      </c>
      <c r="E20" s="29" t="s">
        <v>61</v>
      </c>
      <c r="F20" s="20"/>
      <c r="G20" s="20"/>
      <c r="H20" s="23" t="s">
        <v>62</v>
      </c>
      <c r="I20" s="55">
        <v>5.2999999999999999E-2</v>
      </c>
      <c r="J20" s="63">
        <v>2</v>
      </c>
      <c r="K20" s="31" t="s">
        <v>28</v>
      </c>
      <c r="L20" s="61"/>
      <c r="M20" s="61">
        <f>0.53097*J20</f>
        <v>1.0619400000000001</v>
      </c>
      <c r="N20" s="61"/>
      <c r="O20" s="61"/>
      <c r="P20" s="54"/>
      <c r="Q20" s="61">
        <f>SUM(L20:O20)</f>
        <v>1.0619400000000001</v>
      </c>
      <c r="R20" s="3">
        <v>1</v>
      </c>
    </row>
    <row r="21" spans="1:21" s="1" customFormat="1" ht="24.95" customHeight="1" x14ac:dyDescent="0.15">
      <c r="A21" s="5"/>
      <c r="B21" s="6"/>
      <c r="C21" s="6"/>
      <c r="D21" s="6"/>
      <c r="E21" s="5" t="s">
        <v>63</v>
      </c>
      <c r="F21" s="8" t="s">
        <v>18</v>
      </c>
      <c r="G21" s="5"/>
      <c r="H21" s="5"/>
      <c r="I21" s="5"/>
      <c r="J21" s="5"/>
      <c r="K21" s="5"/>
      <c r="L21" s="49"/>
      <c r="M21" s="49"/>
      <c r="N21" s="49"/>
      <c r="O21" s="49"/>
      <c r="P21" s="49"/>
      <c r="Q21" s="49"/>
    </row>
    <row r="22" spans="1:21" s="4" customFormat="1" ht="30" customHeight="1" x14ac:dyDescent="0.15">
      <c r="A22" s="24">
        <v>3</v>
      </c>
      <c r="B22" s="25"/>
      <c r="C22" s="25"/>
      <c r="D22" s="25"/>
      <c r="E22" s="24" t="s">
        <v>64</v>
      </c>
      <c r="F22" s="27" t="s">
        <v>15</v>
      </c>
      <c r="G22" s="14" t="s">
        <v>21</v>
      </c>
      <c r="H22" s="30" t="s">
        <v>24</v>
      </c>
      <c r="I22" s="24">
        <f t="array" ref="I22">SUMPRODUCT(I23:I34,J23:J34)</f>
        <v>2.7060000000000004</v>
      </c>
      <c r="J22" s="24"/>
      <c r="K22" s="24"/>
      <c r="L22" s="59"/>
      <c r="M22" s="59"/>
      <c r="N22" s="59"/>
      <c r="O22" s="59"/>
      <c r="P22" s="59"/>
      <c r="Q22" s="76">
        <f>SUM(Q23:Q34)*1.15</f>
        <v>20.308056999999998</v>
      </c>
      <c r="R22" s="4">
        <f>Q22*0.95</f>
        <v>19.292654149999997</v>
      </c>
      <c r="T22" s="4">
        <v>17.45</v>
      </c>
      <c r="U22" s="4">
        <f>T22+Q34</f>
        <v>18.881999999999998</v>
      </c>
    </row>
    <row r="23" spans="1:21" s="3" customFormat="1" ht="24.95" customHeight="1" x14ac:dyDescent="0.15">
      <c r="A23" s="16"/>
      <c r="B23" s="17">
        <v>1</v>
      </c>
      <c r="C23" s="17"/>
      <c r="D23" s="22" t="s">
        <v>36</v>
      </c>
      <c r="E23" s="19" t="s">
        <v>37</v>
      </c>
      <c r="F23" s="31"/>
      <c r="G23" s="31"/>
      <c r="H23" s="23" t="s">
        <v>38</v>
      </c>
      <c r="I23" s="60">
        <v>1.3280000000000001</v>
      </c>
      <c r="J23" s="23">
        <v>1</v>
      </c>
      <c r="K23" s="31" t="s">
        <v>28</v>
      </c>
      <c r="L23" s="54">
        <f>I23*J23*4.5</f>
        <v>5.976</v>
      </c>
      <c r="M23" s="54"/>
      <c r="N23" s="61">
        <v>1.33</v>
      </c>
      <c r="O23" s="61">
        <f>25.4*3.14*J23*0.05/10</f>
        <v>0.39878000000000002</v>
      </c>
      <c r="P23" s="54"/>
      <c r="Q23" s="54">
        <f>SUM(L23:P23)</f>
        <v>7.7047800000000004</v>
      </c>
    </row>
    <row r="24" spans="1:21" s="3" customFormat="1" ht="24.95" customHeight="1" x14ac:dyDescent="0.15">
      <c r="A24" s="16"/>
      <c r="B24" s="17">
        <v>2</v>
      </c>
      <c r="C24" s="17"/>
      <c r="D24" s="42" t="s">
        <v>39</v>
      </c>
      <c r="E24" s="19" t="s">
        <v>40</v>
      </c>
      <c r="F24" s="19"/>
      <c r="G24" s="19"/>
      <c r="H24" s="23" t="s">
        <v>41</v>
      </c>
      <c r="I24" s="64">
        <v>0.04</v>
      </c>
      <c r="J24" s="23">
        <v>1</v>
      </c>
      <c r="K24" s="31" t="s">
        <v>28</v>
      </c>
      <c r="L24" s="54"/>
      <c r="M24" s="16">
        <v>0.69120000000000004</v>
      </c>
      <c r="N24" s="54"/>
      <c r="O24" s="61">
        <f>4*0.05*J24</f>
        <v>0.2</v>
      </c>
      <c r="P24" s="54"/>
      <c r="Q24" s="54">
        <f t="shared" ref="Q24:Q34" si="2">SUM(L24:P24)</f>
        <v>0.89119999999999999</v>
      </c>
    </row>
    <row r="25" spans="1:21" s="3" customFormat="1" ht="24.95" customHeight="1" x14ac:dyDescent="0.15">
      <c r="A25" s="16"/>
      <c r="B25" s="17">
        <v>3</v>
      </c>
      <c r="C25" s="17"/>
      <c r="D25" s="42" t="s">
        <v>42</v>
      </c>
      <c r="E25" s="19" t="s">
        <v>43</v>
      </c>
      <c r="F25" s="19"/>
      <c r="G25" s="19"/>
      <c r="H25" s="23" t="s">
        <v>41</v>
      </c>
      <c r="I25" s="64">
        <v>0.04</v>
      </c>
      <c r="J25" s="23">
        <v>1</v>
      </c>
      <c r="K25" s="31" t="s">
        <v>28</v>
      </c>
      <c r="L25" s="54"/>
      <c r="M25" s="16">
        <v>0.69120000000000004</v>
      </c>
      <c r="N25" s="54"/>
      <c r="O25" s="61">
        <f>4*0.05*J25</f>
        <v>0.2</v>
      </c>
      <c r="P25" s="54"/>
      <c r="Q25" s="54">
        <f t="shared" si="2"/>
        <v>0.89119999999999999</v>
      </c>
    </row>
    <row r="26" spans="1:21" s="3" customFormat="1" ht="24.95" customHeight="1" x14ac:dyDescent="0.15">
      <c r="A26" s="16"/>
      <c r="B26" s="17">
        <v>4</v>
      </c>
      <c r="C26" s="17"/>
      <c r="D26" s="18" t="s">
        <v>65</v>
      </c>
      <c r="E26" s="23" t="s">
        <v>66</v>
      </c>
      <c r="F26" s="23"/>
      <c r="G26" s="23"/>
      <c r="H26" s="21" t="s">
        <v>24</v>
      </c>
      <c r="I26" s="65">
        <f>I27+I28</f>
        <v>9.1999999999999998E-2</v>
      </c>
      <c r="J26" s="23">
        <v>2</v>
      </c>
      <c r="K26" s="31" t="s">
        <v>28</v>
      </c>
      <c r="L26" s="54">
        <f>I26*J26*7</f>
        <v>1.288</v>
      </c>
      <c r="M26" s="54"/>
      <c r="N26" s="54"/>
      <c r="O26" s="54">
        <f>4*0.05*J26</f>
        <v>0.4</v>
      </c>
      <c r="P26" s="54"/>
      <c r="Q26" s="54">
        <f t="shared" si="2"/>
        <v>1.6880000000000002</v>
      </c>
    </row>
    <row r="27" spans="1:21" s="3" customFormat="1" ht="24.95" customHeight="1" x14ac:dyDescent="0.15">
      <c r="A27" s="16"/>
      <c r="B27" s="17"/>
      <c r="C27" s="17">
        <v>1</v>
      </c>
      <c r="D27" s="22" t="s">
        <v>47</v>
      </c>
      <c r="E27" s="19" t="s">
        <v>48</v>
      </c>
      <c r="F27" s="31"/>
      <c r="G27" s="31"/>
      <c r="H27" s="23" t="s">
        <v>67</v>
      </c>
      <c r="I27" s="55">
        <v>7.3999999999999996E-2</v>
      </c>
      <c r="J27" s="23">
        <v>1</v>
      </c>
      <c r="K27" s="31" t="s">
        <v>28</v>
      </c>
      <c r="L27" s="54"/>
      <c r="M27" s="54"/>
      <c r="N27" s="54"/>
      <c r="O27" s="54"/>
      <c r="P27" s="54"/>
      <c r="Q27" s="54">
        <f t="shared" si="2"/>
        <v>0</v>
      </c>
    </row>
    <row r="28" spans="1:21" s="3" customFormat="1" ht="24.95" customHeight="1" x14ac:dyDescent="0.15">
      <c r="A28" s="16"/>
      <c r="B28" s="17"/>
      <c r="C28" s="17">
        <v>2</v>
      </c>
      <c r="D28" s="22" t="s">
        <v>68</v>
      </c>
      <c r="E28" s="19" t="s">
        <v>69</v>
      </c>
      <c r="F28" s="31"/>
      <c r="G28" s="31"/>
      <c r="H28" s="23" t="s">
        <v>34</v>
      </c>
      <c r="I28" s="66">
        <v>1.7999999999999999E-2</v>
      </c>
      <c r="J28" s="23">
        <v>1</v>
      </c>
      <c r="K28" s="31" t="s">
        <v>28</v>
      </c>
      <c r="L28" s="54"/>
      <c r="M28" s="54"/>
      <c r="N28" s="54"/>
      <c r="O28" s="54"/>
      <c r="P28" s="54"/>
      <c r="Q28" s="54">
        <f t="shared" si="2"/>
        <v>0</v>
      </c>
    </row>
    <row r="29" spans="1:21" s="3" customFormat="1" ht="24.95" customHeight="1" x14ac:dyDescent="0.15">
      <c r="A29" s="16"/>
      <c r="B29" s="17">
        <v>5</v>
      </c>
      <c r="C29" s="17"/>
      <c r="D29" s="22" t="s">
        <v>52</v>
      </c>
      <c r="E29" s="19" t="s">
        <v>53</v>
      </c>
      <c r="F29" s="31"/>
      <c r="G29" s="31"/>
      <c r="H29" s="23" t="s">
        <v>34</v>
      </c>
      <c r="I29" s="55">
        <f>I30*J30+I31*J31</f>
        <v>0.31</v>
      </c>
      <c r="J29" s="23">
        <v>1</v>
      </c>
      <c r="K29" s="31" t="s">
        <v>28</v>
      </c>
      <c r="L29" s="54">
        <f>I29*7</f>
        <v>2.17</v>
      </c>
      <c r="M29" s="54"/>
      <c r="N29" s="54"/>
      <c r="O29" s="54">
        <f>18*0.05*J29</f>
        <v>0.9</v>
      </c>
      <c r="P29" s="54"/>
      <c r="Q29" s="54">
        <f t="shared" si="2"/>
        <v>3.07</v>
      </c>
    </row>
    <row r="30" spans="1:21" s="3" customFormat="1" ht="24.95" customHeight="1" x14ac:dyDescent="0.15">
      <c r="A30" s="16"/>
      <c r="B30" s="17"/>
      <c r="C30" s="17">
        <v>1</v>
      </c>
      <c r="D30" s="32" t="s">
        <v>54</v>
      </c>
      <c r="E30" s="33" t="s">
        <v>55</v>
      </c>
      <c r="F30" s="31"/>
      <c r="G30" s="31"/>
      <c r="H30" s="23" t="s">
        <v>34</v>
      </c>
      <c r="I30" s="66">
        <v>6.3E-2</v>
      </c>
      <c r="J30" s="23">
        <v>3</v>
      </c>
      <c r="K30" s="31" t="s">
        <v>28</v>
      </c>
      <c r="L30" s="54"/>
      <c r="M30" s="54"/>
      <c r="N30" s="54"/>
      <c r="O30" s="54"/>
      <c r="P30" s="54"/>
      <c r="Q30" s="54">
        <f t="shared" si="2"/>
        <v>0</v>
      </c>
    </row>
    <row r="31" spans="1:21" s="3" customFormat="1" ht="24.95" customHeight="1" x14ac:dyDescent="0.15">
      <c r="A31" s="16"/>
      <c r="B31" s="17"/>
      <c r="C31" s="17">
        <v>2</v>
      </c>
      <c r="D31" s="22" t="s">
        <v>56</v>
      </c>
      <c r="E31" s="19" t="s">
        <v>57</v>
      </c>
      <c r="F31" s="31"/>
      <c r="G31" s="31"/>
      <c r="H31" s="23" t="s">
        <v>34</v>
      </c>
      <c r="I31" s="55">
        <v>6.0499999999999998E-2</v>
      </c>
      <c r="J31" s="23">
        <v>2</v>
      </c>
      <c r="K31" s="31" t="s">
        <v>28</v>
      </c>
      <c r="L31" s="54"/>
      <c r="M31" s="54"/>
      <c r="N31" s="54"/>
      <c r="O31" s="54"/>
      <c r="P31" s="54"/>
      <c r="Q31" s="54">
        <f t="shared" si="2"/>
        <v>0</v>
      </c>
    </row>
    <row r="32" spans="1:21" s="3" customFormat="1" ht="24.95" customHeight="1" x14ac:dyDescent="0.15">
      <c r="A32" s="16"/>
      <c r="B32" s="17">
        <v>6</v>
      </c>
      <c r="C32" s="17"/>
      <c r="D32" s="22" t="s">
        <v>58</v>
      </c>
      <c r="E32" s="19" t="s">
        <v>59</v>
      </c>
      <c r="F32" s="31"/>
      <c r="G32" s="31"/>
      <c r="H32" s="23" t="s">
        <v>46</v>
      </c>
      <c r="I32" s="66">
        <v>4.8000000000000001E-2</v>
      </c>
      <c r="J32" s="23">
        <v>2</v>
      </c>
      <c r="K32" s="31" t="s">
        <v>28</v>
      </c>
      <c r="L32" s="54">
        <f>I32*J32*7</f>
        <v>0.67200000000000004</v>
      </c>
      <c r="M32" s="54"/>
      <c r="N32" s="54"/>
      <c r="O32" s="54">
        <f>0.05*2*J32</f>
        <v>0.2</v>
      </c>
      <c r="P32" s="54"/>
      <c r="Q32" s="54">
        <f t="shared" si="2"/>
        <v>0.87200000000000011</v>
      </c>
    </row>
    <row r="33" spans="1:20" s="3" customFormat="1" ht="24.95" customHeight="1" x14ac:dyDescent="0.15">
      <c r="A33" s="16"/>
      <c r="B33" s="17">
        <v>7</v>
      </c>
      <c r="C33" s="17"/>
      <c r="D33" s="22" t="s">
        <v>44</v>
      </c>
      <c r="E33" s="19" t="s">
        <v>45</v>
      </c>
      <c r="F33" s="31"/>
      <c r="G33" s="31"/>
      <c r="H33" s="23" t="s">
        <v>46</v>
      </c>
      <c r="I33" s="55">
        <v>6.5000000000000002E-2</v>
      </c>
      <c r="J33" s="23">
        <v>2</v>
      </c>
      <c r="K33" s="31" t="s">
        <v>28</v>
      </c>
      <c r="L33" s="54">
        <f>I33*J33*7</f>
        <v>0.91</v>
      </c>
      <c r="M33" s="54"/>
      <c r="N33" s="54"/>
      <c r="O33" s="54">
        <f>0.05*2*J33</f>
        <v>0.2</v>
      </c>
      <c r="P33" s="54"/>
      <c r="Q33" s="54">
        <f t="shared" si="2"/>
        <v>1.1100000000000001</v>
      </c>
    </row>
    <row r="34" spans="1:20" s="3" customFormat="1" ht="24.95" customHeight="1" x14ac:dyDescent="0.15">
      <c r="A34" s="16"/>
      <c r="B34" s="16">
        <v>8</v>
      </c>
      <c r="C34" s="16"/>
      <c r="D34" s="23" t="s">
        <v>70</v>
      </c>
      <c r="E34" s="19" t="s">
        <v>71</v>
      </c>
      <c r="F34" s="34"/>
      <c r="G34" s="34"/>
      <c r="H34" s="23" t="s">
        <v>46</v>
      </c>
      <c r="I34" s="66">
        <v>8.7999999999999995E-2</v>
      </c>
      <c r="J34" s="23">
        <v>2</v>
      </c>
      <c r="K34" s="31" t="s">
        <v>28</v>
      </c>
      <c r="L34" s="54">
        <f>I34*J34*7</f>
        <v>1.232</v>
      </c>
      <c r="M34" s="54"/>
      <c r="N34" s="54"/>
      <c r="O34" s="54">
        <f>0.05*2*J34</f>
        <v>0.2</v>
      </c>
      <c r="P34" s="54"/>
      <c r="Q34" s="54">
        <f t="shared" si="2"/>
        <v>1.4319999999999999</v>
      </c>
      <c r="R34" s="3">
        <v>1</v>
      </c>
    </row>
    <row r="35" spans="1:20" s="1" customFormat="1" ht="24.95" customHeight="1" x14ac:dyDescent="0.15">
      <c r="A35" s="5"/>
      <c r="B35" s="6"/>
      <c r="C35" s="6"/>
      <c r="D35" s="35"/>
      <c r="E35" s="36" t="s">
        <v>72</v>
      </c>
      <c r="F35" s="8" t="s">
        <v>18</v>
      </c>
      <c r="G35" s="9"/>
      <c r="H35" s="37" t="s">
        <v>24</v>
      </c>
      <c r="I35" s="67"/>
      <c r="J35" s="37">
        <v>1</v>
      </c>
      <c r="K35" s="68" t="s">
        <v>28</v>
      </c>
      <c r="L35" s="49"/>
      <c r="M35" s="49"/>
      <c r="N35" s="49"/>
      <c r="O35" s="49"/>
      <c r="P35" s="49"/>
      <c r="Q35" s="49"/>
    </row>
    <row r="36" spans="1:20" s="4" customFormat="1" ht="30" customHeight="1" x14ac:dyDescent="0.15">
      <c r="A36" s="24">
        <v>4</v>
      </c>
      <c r="B36" s="25"/>
      <c r="C36" s="25"/>
      <c r="D36" s="38"/>
      <c r="E36" s="26" t="s">
        <v>73</v>
      </c>
      <c r="F36" s="27" t="s">
        <v>15</v>
      </c>
      <c r="G36" s="14" t="s">
        <v>21</v>
      </c>
      <c r="H36" s="30" t="s">
        <v>24</v>
      </c>
      <c r="I36" s="69">
        <f>SUMPRODUCT(I37:I49,J37:J49)</f>
        <v>2.2893000000000003</v>
      </c>
      <c r="J36" s="30"/>
      <c r="K36" s="70"/>
      <c r="L36" s="59"/>
      <c r="M36" s="59"/>
      <c r="N36" s="59"/>
      <c r="O36" s="59"/>
      <c r="P36" s="59"/>
      <c r="Q36" s="76">
        <f>SUM(Q37:Q49)*1.15</f>
        <v>19.464715999999996</v>
      </c>
      <c r="R36" s="4">
        <f>Q36*0.95</f>
        <v>18.491480199999994</v>
      </c>
      <c r="T36" s="4">
        <v>18.149999999999999</v>
      </c>
    </row>
    <row r="37" spans="1:20" s="3" customFormat="1" ht="24.95" customHeight="1" x14ac:dyDescent="0.15">
      <c r="A37" s="16"/>
      <c r="B37" s="17">
        <v>1</v>
      </c>
      <c r="C37" s="17"/>
      <c r="D37" s="22" t="s">
        <v>60</v>
      </c>
      <c r="E37" s="19" t="s">
        <v>61</v>
      </c>
      <c r="F37" s="31"/>
      <c r="G37" s="31"/>
      <c r="H37" s="23" t="s">
        <v>62</v>
      </c>
      <c r="I37" s="55">
        <v>5.2999999999999999E-2</v>
      </c>
      <c r="J37" s="23">
        <v>2</v>
      </c>
      <c r="K37" s="31" t="s">
        <v>28</v>
      </c>
      <c r="L37" s="54"/>
      <c r="M37" s="54">
        <f>0.53097*J37</f>
        <v>1.0619400000000001</v>
      </c>
      <c r="N37" s="54"/>
      <c r="O37" s="54">
        <f>4*0.05*J37</f>
        <v>0.4</v>
      </c>
      <c r="P37" s="54"/>
      <c r="Q37" s="54">
        <f>SUM(L37:P37)</f>
        <v>1.4619400000000002</v>
      </c>
      <c r="R37" s="3">
        <v>1</v>
      </c>
      <c r="T37" s="3">
        <f>T36-1.5+Q37</f>
        <v>18.111939999999997</v>
      </c>
    </row>
    <row r="38" spans="1:20" s="3" customFormat="1" ht="24.95" customHeight="1" x14ac:dyDescent="0.15">
      <c r="A38" s="16"/>
      <c r="B38" s="17">
        <v>2</v>
      </c>
      <c r="C38" s="17"/>
      <c r="D38" s="39" t="s">
        <v>74</v>
      </c>
      <c r="E38" s="19" t="s">
        <v>75</v>
      </c>
      <c r="F38" s="40"/>
      <c r="G38" s="40"/>
      <c r="H38" s="23" t="s">
        <v>38</v>
      </c>
      <c r="I38" s="71">
        <v>1.0229999999999999</v>
      </c>
      <c r="J38" s="23">
        <v>1</v>
      </c>
      <c r="K38" s="31" t="s">
        <v>28</v>
      </c>
      <c r="L38" s="54">
        <f>I38*J38*4.5</f>
        <v>4.6034999999999995</v>
      </c>
      <c r="M38" s="54"/>
      <c r="N38" s="54">
        <f>3*0.05*J38</f>
        <v>0.15000000000000002</v>
      </c>
      <c r="O38" s="54">
        <f>25*3.14/10*2*0.05</f>
        <v>0.78500000000000003</v>
      </c>
      <c r="P38" s="54"/>
      <c r="Q38" s="54">
        <f t="shared" ref="Q38:Q49" si="3">SUM(L38:P38)</f>
        <v>5.5385</v>
      </c>
      <c r="R38" s="3">
        <v>6500</v>
      </c>
    </row>
    <row r="39" spans="1:20" s="3" customFormat="1" ht="24.95" customHeight="1" x14ac:dyDescent="0.15">
      <c r="A39" s="16"/>
      <c r="B39" s="17">
        <v>3</v>
      </c>
      <c r="C39" s="17"/>
      <c r="D39" s="39" t="s">
        <v>76</v>
      </c>
      <c r="E39" s="19" t="s">
        <v>77</v>
      </c>
      <c r="F39" s="40"/>
      <c r="H39" s="23" t="s">
        <v>38</v>
      </c>
      <c r="I39" s="71">
        <v>0.29899999999999999</v>
      </c>
      <c r="J39" s="23">
        <v>1</v>
      </c>
      <c r="K39" s="31" t="s">
        <v>28</v>
      </c>
      <c r="L39" s="54">
        <f>I39*J39*4.5</f>
        <v>1.3454999999999999</v>
      </c>
      <c r="M39" s="54"/>
      <c r="N39" s="54">
        <f>1*0.05*J39</f>
        <v>0.05</v>
      </c>
      <c r="O39" s="54"/>
      <c r="P39" s="54"/>
      <c r="Q39" s="54">
        <f t="shared" si="3"/>
        <v>1.3955</v>
      </c>
    </row>
    <row r="40" spans="1:20" s="3" customFormat="1" ht="24.95" customHeight="1" x14ac:dyDescent="0.15">
      <c r="A40" s="16"/>
      <c r="B40" s="17">
        <v>4</v>
      </c>
      <c r="C40" s="17"/>
      <c r="D40" s="22" t="s">
        <v>58</v>
      </c>
      <c r="E40" s="19" t="s">
        <v>59</v>
      </c>
      <c r="F40" s="31"/>
      <c r="G40" s="31"/>
      <c r="H40" s="23" t="s">
        <v>46</v>
      </c>
      <c r="I40" s="55">
        <v>4.8000000000000001E-2</v>
      </c>
      <c r="J40" s="23">
        <v>2</v>
      </c>
      <c r="K40" s="31" t="s">
        <v>28</v>
      </c>
      <c r="L40" s="54">
        <f>I40*J40*7</f>
        <v>0.67200000000000004</v>
      </c>
      <c r="M40" s="54"/>
      <c r="N40" s="54"/>
      <c r="O40" s="54">
        <f>2*0.05*J40</f>
        <v>0.2</v>
      </c>
      <c r="P40" s="54"/>
      <c r="Q40" s="54">
        <f t="shared" si="3"/>
        <v>0.87200000000000011</v>
      </c>
      <c r="R40" s="3">
        <v>12500</v>
      </c>
    </row>
    <row r="41" spans="1:20" s="3" customFormat="1" ht="24.95" customHeight="1" x14ac:dyDescent="0.15">
      <c r="A41" s="16"/>
      <c r="B41" s="17">
        <v>5</v>
      </c>
      <c r="C41" s="17"/>
      <c r="D41" s="22" t="s">
        <v>78</v>
      </c>
      <c r="E41" s="19" t="s">
        <v>79</v>
      </c>
      <c r="F41" s="31"/>
      <c r="G41" s="31"/>
      <c r="H41" s="23" t="s">
        <v>34</v>
      </c>
      <c r="I41" s="55">
        <f>I42*J42+I43*J43</f>
        <v>0.16439999999999999</v>
      </c>
      <c r="J41" s="23">
        <v>1</v>
      </c>
      <c r="K41" s="31" t="s">
        <v>28</v>
      </c>
      <c r="L41" s="54">
        <f>I41*7</f>
        <v>1.1507999999999998</v>
      </c>
      <c r="M41" s="54"/>
      <c r="N41" s="54"/>
      <c r="O41" s="54">
        <f>12*0.05*J41</f>
        <v>0.60000000000000009</v>
      </c>
      <c r="P41" s="54"/>
      <c r="Q41" s="54">
        <f t="shared" si="3"/>
        <v>1.7507999999999999</v>
      </c>
    </row>
    <row r="42" spans="1:20" s="3" customFormat="1" ht="24.95" customHeight="1" x14ac:dyDescent="0.15">
      <c r="A42" s="16"/>
      <c r="B42" s="17"/>
      <c r="C42" s="17">
        <v>1</v>
      </c>
      <c r="D42" s="41" t="s">
        <v>80</v>
      </c>
      <c r="E42" s="19" t="s">
        <v>81</v>
      </c>
      <c r="F42" s="40"/>
      <c r="G42" s="40"/>
      <c r="H42" s="23" t="s">
        <v>34</v>
      </c>
      <c r="I42" s="55">
        <v>6.6000000000000003E-2</v>
      </c>
      <c r="J42" s="23">
        <v>2</v>
      </c>
      <c r="K42" s="31" t="s">
        <v>28</v>
      </c>
      <c r="L42" s="54"/>
      <c r="M42" s="54"/>
      <c r="N42" s="54"/>
      <c r="O42" s="54"/>
      <c r="P42" s="54"/>
      <c r="Q42" s="54">
        <f t="shared" si="3"/>
        <v>0</v>
      </c>
    </row>
    <row r="43" spans="1:20" s="3" customFormat="1" ht="24.95" customHeight="1" x14ac:dyDescent="0.15">
      <c r="A43" s="16"/>
      <c r="B43" s="17"/>
      <c r="C43" s="17">
        <v>2</v>
      </c>
      <c r="D43" s="41" t="s">
        <v>82</v>
      </c>
      <c r="E43" s="19" t="s">
        <v>83</v>
      </c>
      <c r="F43" s="40"/>
      <c r="G43" s="40"/>
      <c r="H43" s="23" t="s">
        <v>34</v>
      </c>
      <c r="I43" s="55">
        <v>1.6199999999999999E-2</v>
      </c>
      <c r="J43" s="23">
        <v>2</v>
      </c>
      <c r="K43" s="31" t="s">
        <v>28</v>
      </c>
      <c r="L43" s="54"/>
      <c r="M43" s="54"/>
      <c r="N43" s="54"/>
      <c r="O43" s="54"/>
      <c r="P43" s="54"/>
      <c r="Q43" s="54">
        <f t="shared" si="3"/>
        <v>0</v>
      </c>
    </row>
    <row r="44" spans="1:20" s="3" customFormat="1" ht="24.95" customHeight="1" x14ac:dyDescent="0.15">
      <c r="A44" s="16"/>
      <c r="B44" s="17">
        <v>6</v>
      </c>
      <c r="C44" s="17"/>
      <c r="D44" s="41" t="s">
        <v>84</v>
      </c>
      <c r="E44" s="19" t="s">
        <v>85</v>
      </c>
      <c r="F44" s="40"/>
      <c r="G44" s="40"/>
      <c r="H44" s="23" t="s">
        <v>34</v>
      </c>
      <c r="I44" s="55">
        <v>4.9700000000000001E-2</v>
      </c>
      <c r="J44" s="23">
        <v>1</v>
      </c>
      <c r="K44" s="31" t="s">
        <v>28</v>
      </c>
      <c r="L44" s="54">
        <f>I44*7</f>
        <v>0.34789999999999999</v>
      </c>
      <c r="M44" s="54"/>
      <c r="N44" s="54"/>
      <c r="O44" s="54">
        <f>2*0.05*J44</f>
        <v>0.1</v>
      </c>
      <c r="P44" s="54"/>
      <c r="Q44" s="54">
        <f t="shared" si="3"/>
        <v>0.44789999999999996</v>
      </c>
    </row>
    <row r="45" spans="1:20" s="3" customFormat="1" ht="24.95" customHeight="1" x14ac:dyDescent="0.15">
      <c r="A45" s="16"/>
      <c r="B45" s="17">
        <v>7</v>
      </c>
      <c r="C45" s="17"/>
      <c r="D45" s="22" t="s">
        <v>49</v>
      </c>
      <c r="E45" s="19" t="s">
        <v>50</v>
      </c>
      <c r="F45" s="31"/>
      <c r="G45" s="31"/>
      <c r="H45" s="23" t="s">
        <v>51</v>
      </c>
      <c r="I45" s="55">
        <v>6.1000000000000004E-3</v>
      </c>
      <c r="J45" s="23">
        <v>4</v>
      </c>
      <c r="K45" s="31" t="s">
        <v>28</v>
      </c>
      <c r="L45" s="54"/>
      <c r="M45" s="54">
        <f>0.175*J45</f>
        <v>0.7</v>
      </c>
      <c r="N45" s="54">
        <f>0.05*J45*1</f>
        <v>0.2</v>
      </c>
      <c r="O45" s="54">
        <f>2*0.05*J45</f>
        <v>0.4</v>
      </c>
      <c r="P45" s="54"/>
      <c r="Q45" s="54">
        <f t="shared" si="3"/>
        <v>1.2999999999999998</v>
      </c>
    </row>
    <row r="46" spans="1:20" s="3" customFormat="1" ht="24.95" customHeight="1" x14ac:dyDescent="0.15">
      <c r="A46" s="16"/>
      <c r="B46" s="17">
        <v>8</v>
      </c>
      <c r="C46" s="17"/>
      <c r="D46" s="81" t="s">
        <v>39</v>
      </c>
      <c r="E46" s="19" t="s">
        <v>40</v>
      </c>
      <c r="F46" s="19"/>
      <c r="G46" s="19"/>
      <c r="H46" s="23" t="s">
        <v>41</v>
      </c>
      <c r="I46" s="62">
        <v>0.04</v>
      </c>
      <c r="J46" s="23">
        <v>1</v>
      </c>
      <c r="K46" s="31" t="s">
        <v>28</v>
      </c>
      <c r="L46" s="54"/>
      <c r="M46" s="16">
        <v>0.69120000000000004</v>
      </c>
      <c r="N46" s="54"/>
      <c r="O46" s="54">
        <f>4*0.05*J46</f>
        <v>0.2</v>
      </c>
      <c r="P46" s="54"/>
      <c r="Q46" s="54">
        <f t="shared" si="3"/>
        <v>0.89119999999999999</v>
      </c>
    </row>
    <row r="47" spans="1:20" s="3" customFormat="1" ht="24.95" customHeight="1" x14ac:dyDescent="0.15">
      <c r="A47" s="16"/>
      <c r="B47" s="17">
        <v>9</v>
      </c>
      <c r="C47" s="17"/>
      <c r="D47" s="42" t="s">
        <v>42</v>
      </c>
      <c r="E47" s="19" t="s">
        <v>43</v>
      </c>
      <c r="F47" s="19"/>
      <c r="G47" s="19"/>
      <c r="H47" s="23" t="s">
        <v>41</v>
      </c>
      <c r="I47" s="62">
        <v>0.04</v>
      </c>
      <c r="J47" s="23">
        <v>1</v>
      </c>
      <c r="K47" s="31" t="s">
        <v>28</v>
      </c>
      <c r="L47" s="54"/>
      <c r="M47" s="16">
        <v>0.69120000000000004</v>
      </c>
      <c r="N47" s="54"/>
      <c r="O47" s="54">
        <f>4*0.05*J47</f>
        <v>0.2</v>
      </c>
      <c r="P47" s="54"/>
      <c r="Q47" s="54">
        <f t="shared" si="3"/>
        <v>0.89119999999999999</v>
      </c>
    </row>
    <row r="48" spans="1:20" s="3" customFormat="1" ht="24.95" customHeight="1" x14ac:dyDescent="0.15">
      <c r="A48" s="16"/>
      <c r="B48" s="17">
        <v>10</v>
      </c>
      <c r="C48" s="17"/>
      <c r="D48" s="22" t="s">
        <v>44</v>
      </c>
      <c r="E48" s="19" t="s">
        <v>45</v>
      </c>
      <c r="F48" s="31"/>
      <c r="G48" s="31"/>
      <c r="H48" s="23" t="s">
        <v>46</v>
      </c>
      <c r="I48" s="55">
        <v>6.5199999999999994E-2</v>
      </c>
      <c r="J48" s="23">
        <v>2</v>
      </c>
      <c r="K48" s="31" t="s">
        <v>28</v>
      </c>
      <c r="L48" s="54">
        <f>I48*J48*7</f>
        <v>0.91279999999999994</v>
      </c>
      <c r="M48" s="54"/>
      <c r="N48" s="54"/>
      <c r="O48" s="54">
        <f>2*0.05*J48</f>
        <v>0.2</v>
      </c>
      <c r="P48" s="54"/>
      <c r="Q48" s="54">
        <f t="shared" si="3"/>
        <v>1.1128</v>
      </c>
    </row>
    <row r="49" spans="1:20" s="3" customFormat="1" ht="24.95" customHeight="1" x14ac:dyDescent="0.15">
      <c r="A49" s="16"/>
      <c r="B49" s="17">
        <v>11</v>
      </c>
      <c r="C49" s="17"/>
      <c r="D49" s="41" t="s">
        <v>86</v>
      </c>
      <c r="E49" s="19" t="s">
        <v>87</v>
      </c>
      <c r="F49" s="40"/>
      <c r="G49" s="40"/>
      <c r="H49" s="23" t="s">
        <v>46</v>
      </c>
      <c r="I49" s="55">
        <v>7.5999999999999998E-2</v>
      </c>
      <c r="J49" s="23">
        <v>2</v>
      </c>
      <c r="K49" s="31" t="s">
        <v>28</v>
      </c>
      <c r="L49" s="54">
        <f>I49*J49*7</f>
        <v>1.0640000000000001</v>
      </c>
      <c r="M49" s="54"/>
      <c r="N49" s="54"/>
      <c r="O49" s="54">
        <f>2*0.05*J49</f>
        <v>0.2</v>
      </c>
      <c r="P49" s="54"/>
      <c r="Q49" s="54">
        <f t="shared" si="3"/>
        <v>1.264</v>
      </c>
    </row>
    <row r="50" spans="1:20" s="1" customFormat="1" ht="24.95" customHeight="1" x14ac:dyDescent="0.15">
      <c r="A50" s="5"/>
      <c r="B50" s="6"/>
      <c r="C50" s="6"/>
      <c r="D50" s="35"/>
      <c r="E50" s="36" t="s">
        <v>88</v>
      </c>
      <c r="F50" s="8" t="s">
        <v>18</v>
      </c>
      <c r="G50" s="43"/>
      <c r="H50" s="37" t="s">
        <v>24</v>
      </c>
      <c r="I50" s="72"/>
      <c r="J50" s="37">
        <v>1</v>
      </c>
      <c r="K50" s="68" t="s">
        <v>28</v>
      </c>
      <c r="L50" s="49"/>
      <c r="M50" s="49"/>
      <c r="N50" s="49"/>
      <c r="O50" s="49"/>
      <c r="P50" s="49"/>
      <c r="Q50" s="49"/>
    </row>
    <row r="51" spans="1:20" s="4" customFormat="1" ht="30.95" customHeight="1" x14ac:dyDescent="0.15">
      <c r="A51" s="24">
        <v>5</v>
      </c>
      <c r="B51" s="25"/>
      <c r="C51" s="25"/>
      <c r="D51" s="38"/>
      <c r="E51" s="137" t="s">
        <v>248</v>
      </c>
      <c r="F51" s="27" t="s">
        <v>15</v>
      </c>
      <c r="G51" s="14" t="s">
        <v>21</v>
      </c>
      <c r="H51" s="30" t="s">
        <v>24</v>
      </c>
      <c r="I51" s="69">
        <f>SUMPRODUCT(I52:I62,J52:J62)</f>
        <v>2.3878000000000004</v>
      </c>
      <c r="J51" s="30"/>
      <c r="K51" s="70"/>
      <c r="L51" s="59"/>
      <c r="M51" s="59"/>
      <c r="N51" s="59"/>
      <c r="O51" s="59"/>
      <c r="P51" s="59"/>
      <c r="Q51" s="76">
        <f>SUM(Q52:Q61)*1.15</f>
        <v>14.180419999999998</v>
      </c>
      <c r="R51" s="78">
        <f>Q51*0.95</f>
        <v>13.471398999999998</v>
      </c>
      <c r="T51" s="4">
        <v>15</v>
      </c>
    </row>
    <row r="52" spans="1:20" s="3" customFormat="1" ht="24.95" customHeight="1" x14ac:dyDescent="0.15">
      <c r="A52" s="16"/>
      <c r="B52" s="17">
        <v>1</v>
      </c>
      <c r="C52" s="17"/>
      <c r="D52" s="41" t="s">
        <v>89</v>
      </c>
      <c r="E52" s="19" t="s">
        <v>90</v>
      </c>
      <c r="F52" s="44"/>
      <c r="H52" s="23" t="s">
        <v>91</v>
      </c>
      <c r="I52" s="71">
        <v>0.85199999999999998</v>
      </c>
      <c r="J52" s="23">
        <v>1</v>
      </c>
      <c r="K52" s="31" t="s">
        <v>28</v>
      </c>
      <c r="L52" s="54">
        <f>I52*J52*4.5</f>
        <v>3.8340000000000001</v>
      </c>
      <c r="M52" s="54"/>
      <c r="N52" s="54">
        <f>(0.08*2+0.05*1+0.05*1)*J52</f>
        <v>0.26</v>
      </c>
      <c r="O52" s="54"/>
      <c r="P52" s="54"/>
      <c r="Q52" s="54">
        <f>SUM(L52:P52)</f>
        <v>4.0940000000000003</v>
      </c>
      <c r="R52" s="79">
        <v>5500</v>
      </c>
    </row>
    <row r="53" spans="1:20" s="3" customFormat="1" ht="24.95" customHeight="1" x14ac:dyDescent="0.15">
      <c r="A53" s="16"/>
      <c r="B53" s="17">
        <v>2</v>
      </c>
      <c r="C53" s="17"/>
      <c r="D53" s="41" t="s">
        <v>92</v>
      </c>
      <c r="E53" s="19" t="s">
        <v>93</v>
      </c>
      <c r="F53" s="44"/>
      <c r="H53" s="23" t="s">
        <v>91</v>
      </c>
      <c r="I53" s="71">
        <v>0.30499999999999999</v>
      </c>
      <c r="J53" s="23">
        <v>1</v>
      </c>
      <c r="K53" s="31" t="s">
        <v>28</v>
      </c>
      <c r="L53" s="54">
        <f>I53*J53*4.5</f>
        <v>1.3725000000000001</v>
      </c>
      <c r="M53" s="54"/>
      <c r="N53" s="54">
        <v>0.16</v>
      </c>
      <c r="O53" s="54"/>
      <c r="P53" s="54"/>
      <c r="Q53" s="54">
        <f t="shared" ref="Q53:Q62" si="4">SUM(L53:P53)</f>
        <v>1.5325</v>
      </c>
      <c r="R53" s="79">
        <v>5000</v>
      </c>
    </row>
    <row r="54" spans="1:20" s="3" customFormat="1" ht="24.95" customHeight="1" x14ac:dyDescent="0.15">
      <c r="A54" s="16"/>
      <c r="B54" s="17">
        <v>3</v>
      </c>
      <c r="C54" s="17"/>
      <c r="D54" s="41" t="s">
        <v>94</v>
      </c>
      <c r="E54" s="19" t="s">
        <v>95</v>
      </c>
      <c r="F54" s="44"/>
      <c r="G54" s="44"/>
      <c r="H54" s="23" t="s">
        <v>96</v>
      </c>
      <c r="I54" s="71">
        <v>4.8000000000000001E-2</v>
      </c>
      <c r="J54" s="23">
        <v>1</v>
      </c>
      <c r="K54" s="31" t="s">
        <v>28</v>
      </c>
      <c r="L54" s="54">
        <f>I54*J54*7</f>
        <v>0.33600000000000002</v>
      </c>
      <c r="M54" s="54"/>
      <c r="N54" s="54"/>
      <c r="O54" s="54">
        <f>2*0.05*J54</f>
        <v>0.1</v>
      </c>
      <c r="P54" s="54"/>
      <c r="Q54" s="54">
        <f t="shared" si="4"/>
        <v>0.43600000000000005</v>
      </c>
      <c r="R54" s="79">
        <v>2200</v>
      </c>
    </row>
    <row r="55" spans="1:20" s="3" customFormat="1" ht="24.95" customHeight="1" x14ac:dyDescent="0.15">
      <c r="A55" s="16"/>
      <c r="B55" s="17">
        <v>4</v>
      </c>
      <c r="C55" s="17"/>
      <c r="D55" s="41" t="s">
        <v>97</v>
      </c>
      <c r="E55" s="19" t="s">
        <v>98</v>
      </c>
      <c r="F55" s="44"/>
      <c r="G55" s="44"/>
      <c r="H55" s="23" t="s">
        <v>96</v>
      </c>
      <c r="I55" s="71">
        <f>I56*J56+I57*J57</f>
        <v>0.16120000000000001</v>
      </c>
      <c r="J55" s="23">
        <v>1</v>
      </c>
      <c r="K55" s="31" t="s">
        <v>28</v>
      </c>
      <c r="L55" s="54">
        <f>I55*J55*7</f>
        <v>1.1284000000000001</v>
      </c>
      <c r="M55" s="54"/>
      <c r="N55" s="54"/>
      <c r="O55" s="54">
        <f>12*0.05*J55</f>
        <v>0.60000000000000009</v>
      </c>
      <c r="P55" s="54"/>
      <c r="Q55" s="54">
        <f t="shared" si="4"/>
        <v>1.7284000000000002</v>
      </c>
      <c r="R55" s="79"/>
    </row>
    <row r="56" spans="1:20" s="3" customFormat="1" ht="24.95" customHeight="1" x14ac:dyDescent="0.15">
      <c r="A56" s="16"/>
      <c r="B56" s="17"/>
      <c r="C56" s="17">
        <v>1</v>
      </c>
      <c r="D56" s="41" t="s">
        <v>99</v>
      </c>
      <c r="E56" s="19" t="s">
        <v>100</v>
      </c>
      <c r="F56" s="23"/>
      <c r="G56" s="23"/>
      <c r="H56" s="23" t="s">
        <v>96</v>
      </c>
      <c r="I56" s="71">
        <v>2.01E-2</v>
      </c>
      <c r="J56" s="23">
        <v>2</v>
      </c>
      <c r="K56" s="31" t="s">
        <v>28</v>
      </c>
      <c r="L56" s="54"/>
      <c r="M56" s="54"/>
      <c r="N56" s="54"/>
      <c r="O56" s="54"/>
      <c r="P56" s="54"/>
      <c r="Q56" s="54">
        <f t="shared" si="4"/>
        <v>0</v>
      </c>
      <c r="R56" s="79"/>
    </row>
    <row r="57" spans="1:20" s="3" customFormat="1" ht="24.95" customHeight="1" x14ac:dyDescent="0.15">
      <c r="A57" s="16"/>
      <c r="B57" s="17"/>
      <c r="C57" s="17">
        <v>2</v>
      </c>
      <c r="D57" s="41" t="s">
        <v>101</v>
      </c>
      <c r="E57" s="19" t="s">
        <v>102</v>
      </c>
      <c r="F57" s="23"/>
      <c r="G57" s="23"/>
      <c r="H57" s="23" t="s">
        <v>96</v>
      </c>
      <c r="I57" s="71">
        <v>6.0499999999999998E-2</v>
      </c>
      <c r="J57" s="23">
        <v>2</v>
      </c>
      <c r="K57" s="31" t="s">
        <v>28</v>
      </c>
      <c r="L57" s="54"/>
      <c r="M57" s="54"/>
      <c r="N57" s="54"/>
      <c r="O57" s="54"/>
      <c r="P57" s="54"/>
      <c r="Q57" s="54">
        <f t="shared" si="4"/>
        <v>0</v>
      </c>
      <c r="R57" s="79"/>
    </row>
    <row r="58" spans="1:20" s="3" customFormat="1" ht="24.95" customHeight="1" x14ac:dyDescent="0.15">
      <c r="A58" s="16"/>
      <c r="B58" s="17">
        <v>5</v>
      </c>
      <c r="C58" s="17"/>
      <c r="D58" s="41" t="s">
        <v>103</v>
      </c>
      <c r="E58" s="19" t="s">
        <v>104</v>
      </c>
      <c r="F58" s="44"/>
      <c r="G58" s="44"/>
      <c r="H58" s="23" t="s">
        <v>46</v>
      </c>
      <c r="I58" s="71">
        <v>9.0999999999999998E-2</v>
      </c>
      <c r="J58" s="23">
        <v>2</v>
      </c>
      <c r="K58" s="31" t="s">
        <v>28</v>
      </c>
      <c r="L58" s="54">
        <f>I58*J58*7</f>
        <v>1.274</v>
      </c>
      <c r="M58" s="54"/>
      <c r="N58" s="54"/>
      <c r="O58" s="54">
        <f>2*0.05*J58</f>
        <v>0.2</v>
      </c>
      <c r="P58" s="54"/>
      <c r="Q58" s="54">
        <f t="shared" si="4"/>
        <v>1.474</v>
      </c>
      <c r="R58" s="79"/>
    </row>
    <row r="59" spans="1:20" s="3" customFormat="1" ht="24.95" customHeight="1" x14ac:dyDescent="0.15">
      <c r="A59" s="16"/>
      <c r="B59" s="17">
        <v>6</v>
      </c>
      <c r="C59" s="17"/>
      <c r="D59" s="41" t="s">
        <v>105</v>
      </c>
      <c r="E59" s="19" t="s">
        <v>106</v>
      </c>
      <c r="F59" s="44"/>
      <c r="G59" s="44"/>
      <c r="H59" s="23" t="s">
        <v>24</v>
      </c>
      <c r="I59" s="71">
        <f>I60*J60+I61*J61</f>
        <v>0.32369999999999999</v>
      </c>
      <c r="J59" s="23">
        <v>1</v>
      </c>
      <c r="K59" s="31" t="s">
        <v>28</v>
      </c>
      <c r="L59" s="54">
        <f>I59*J59*7</f>
        <v>2.2658999999999998</v>
      </c>
      <c r="M59" s="54"/>
      <c r="N59" s="54"/>
      <c r="O59" s="54">
        <f>16*0.05*J59</f>
        <v>0.8</v>
      </c>
      <c r="P59" s="54"/>
      <c r="Q59" s="54">
        <f t="shared" si="4"/>
        <v>3.0659000000000001</v>
      </c>
      <c r="R59" s="79"/>
    </row>
    <row r="60" spans="1:20" s="3" customFormat="1" ht="24.95" customHeight="1" x14ac:dyDescent="0.15">
      <c r="A60" s="16"/>
      <c r="B60" s="17"/>
      <c r="C60" s="17"/>
      <c r="D60" s="41" t="s">
        <v>107</v>
      </c>
      <c r="E60" s="19" t="s">
        <v>108</v>
      </c>
      <c r="F60" s="44"/>
      <c r="G60" s="44"/>
      <c r="H60" s="23" t="s">
        <v>96</v>
      </c>
      <c r="I60" s="71">
        <v>0.10050000000000001</v>
      </c>
      <c r="J60" s="23">
        <v>2</v>
      </c>
      <c r="K60" s="31" t="s">
        <v>28</v>
      </c>
      <c r="L60" s="54"/>
      <c r="M60" s="54"/>
      <c r="N60" s="54"/>
      <c r="O60" s="54"/>
      <c r="P60" s="54"/>
      <c r="Q60" s="54">
        <f t="shared" si="4"/>
        <v>0</v>
      </c>
      <c r="R60" s="79"/>
    </row>
    <row r="61" spans="1:20" s="3" customFormat="1" ht="24.95" customHeight="1" x14ac:dyDescent="0.15">
      <c r="A61" s="16"/>
      <c r="B61" s="17"/>
      <c r="C61" s="17"/>
      <c r="D61" s="41" t="s">
        <v>109</v>
      </c>
      <c r="E61" s="19" t="s">
        <v>110</v>
      </c>
      <c r="F61" s="44"/>
      <c r="G61" s="44"/>
      <c r="H61" s="23" t="s">
        <v>96</v>
      </c>
      <c r="I61" s="71">
        <v>4.0899999999999999E-2</v>
      </c>
      <c r="J61" s="23">
        <v>3</v>
      </c>
      <c r="K61" s="31" t="s">
        <v>28</v>
      </c>
      <c r="L61" s="54"/>
      <c r="M61" s="54"/>
      <c r="N61" s="54"/>
      <c r="O61" s="54"/>
      <c r="P61" s="54"/>
      <c r="Q61" s="54">
        <f t="shared" si="4"/>
        <v>0</v>
      </c>
      <c r="R61" s="79"/>
    </row>
    <row r="62" spans="1:20" s="3" customFormat="1" ht="24.95" customHeight="1" x14ac:dyDescent="0.15">
      <c r="A62" s="16"/>
      <c r="B62" s="17">
        <v>7</v>
      </c>
      <c r="C62" s="17"/>
      <c r="D62" s="41" t="s">
        <v>111</v>
      </c>
      <c r="E62" s="19" t="s">
        <v>112</v>
      </c>
      <c r="F62" s="23"/>
      <c r="G62" s="23"/>
      <c r="H62" s="23" t="s">
        <v>96</v>
      </c>
      <c r="I62" s="71">
        <v>3.1E-2</v>
      </c>
      <c r="J62" s="23">
        <v>1</v>
      </c>
      <c r="K62" s="31" t="s">
        <v>28</v>
      </c>
      <c r="L62" s="54">
        <f>I62*7</f>
        <v>0.217</v>
      </c>
      <c r="M62" s="54"/>
      <c r="N62" s="54"/>
      <c r="O62" s="54"/>
      <c r="P62" s="54"/>
      <c r="Q62" s="54">
        <f t="shared" si="4"/>
        <v>0.217</v>
      </c>
      <c r="R62" s="79"/>
    </row>
    <row r="63" spans="1:20" s="1" customFormat="1" ht="24.95" customHeight="1" x14ac:dyDescent="0.15">
      <c r="A63" s="5"/>
      <c r="B63" s="6"/>
      <c r="C63" s="6"/>
      <c r="D63" s="45" t="s">
        <v>113</v>
      </c>
      <c r="E63" s="36" t="s">
        <v>114</v>
      </c>
      <c r="F63" s="8" t="s">
        <v>18</v>
      </c>
      <c r="G63" s="43"/>
      <c r="H63" s="37" t="s">
        <v>24</v>
      </c>
      <c r="I63" s="73"/>
      <c r="J63" s="37"/>
      <c r="K63" s="68"/>
      <c r="L63" s="49"/>
      <c r="M63" s="49"/>
      <c r="N63" s="49"/>
      <c r="O63" s="49"/>
      <c r="P63" s="49"/>
      <c r="Q63" s="49"/>
      <c r="R63" s="80"/>
    </row>
    <row r="64" spans="1:20" s="4" customFormat="1" ht="24.95" customHeight="1" x14ac:dyDescent="0.15">
      <c r="A64" s="24">
        <v>6</v>
      </c>
      <c r="B64" s="25"/>
      <c r="C64" s="25"/>
      <c r="D64" s="46"/>
      <c r="E64" s="137" t="s">
        <v>250</v>
      </c>
      <c r="F64" s="27" t="s">
        <v>15</v>
      </c>
      <c r="G64" s="14" t="s">
        <v>21</v>
      </c>
      <c r="H64" s="30" t="s">
        <v>24</v>
      </c>
      <c r="I64" s="74">
        <f>SUMPRODUCT(I65:I75,J65:J75)</f>
        <v>2.3180000000000001</v>
      </c>
      <c r="J64" s="30"/>
      <c r="K64" s="70"/>
      <c r="L64" s="59"/>
      <c r="M64" s="59"/>
      <c r="N64" s="59"/>
      <c r="O64" s="59"/>
      <c r="P64" s="59"/>
      <c r="Q64" s="76">
        <f>SUM(Q65:Q74)*1.15</f>
        <v>13.840824999999997</v>
      </c>
      <c r="R64" s="78">
        <f>Q64*0.95</f>
        <v>13.148783749999996</v>
      </c>
      <c r="T64" s="4">
        <v>15</v>
      </c>
    </row>
    <row r="65" spans="1:17" s="3" customFormat="1" ht="24.95" customHeight="1" x14ac:dyDescent="0.15">
      <c r="A65" s="16"/>
      <c r="B65" s="17">
        <v>1</v>
      </c>
      <c r="C65" s="17"/>
      <c r="D65" s="18" t="s">
        <v>115</v>
      </c>
      <c r="E65" s="19" t="s">
        <v>90</v>
      </c>
      <c r="F65" s="44"/>
      <c r="H65" s="23" t="s">
        <v>91</v>
      </c>
      <c r="I65" s="71">
        <v>0.82599999999999996</v>
      </c>
      <c r="J65" s="23">
        <v>1</v>
      </c>
      <c r="K65" s="31" t="s">
        <v>28</v>
      </c>
      <c r="L65" s="54">
        <f>I65*J65*4.5</f>
        <v>3.7169999999999996</v>
      </c>
      <c r="M65" s="54"/>
      <c r="N65" s="54">
        <f>(0.08*2+0.05*1+0.05*1)*J65</f>
        <v>0.26</v>
      </c>
      <c r="O65" s="54"/>
      <c r="P65" s="54"/>
      <c r="Q65" s="54">
        <f>SUM(L65:P65)</f>
        <v>3.9769999999999994</v>
      </c>
    </row>
    <row r="66" spans="1:17" s="3" customFormat="1" ht="24.95" customHeight="1" x14ac:dyDescent="0.15">
      <c r="A66" s="16"/>
      <c r="B66" s="17">
        <v>2</v>
      </c>
      <c r="C66" s="17"/>
      <c r="D66" s="41" t="s">
        <v>116</v>
      </c>
      <c r="E66" s="19" t="s">
        <v>93</v>
      </c>
      <c r="F66" s="44"/>
      <c r="H66" s="23" t="s">
        <v>91</v>
      </c>
      <c r="I66" s="71">
        <v>0.28000000000000003</v>
      </c>
      <c r="J66" s="23">
        <v>1</v>
      </c>
      <c r="K66" s="31" t="s">
        <v>28</v>
      </c>
      <c r="L66" s="54">
        <f>I66*J66*4.5</f>
        <v>1.2600000000000002</v>
      </c>
      <c r="M66" s="54"/>
      <c r="N66" s="54">
        <v>0.16</v>
      </c>
      <c r="O66" s="54"/>
      <c r="P66" s="54"/>
      <c r="Q66" s="54">
        <f t="shared" ref="Q66:Q75" si="5">SUM(L66:P66)</f>
        <v>1.4200000000000002</v>
      </c>
    </row>
    <row r="67" spans="1:17" s="3" customFormat="1" ht="24.95" customHeight="1" x14ac:dyDescent="0.15">
      <c r="A67" s="16"/>
      <c r="B67" s="17">
        <v>3</v>
      </c>
      <c r="C67" s="17"/>
      <c r="D67" s="41" t="s">
        <v>94</v>
      </c>
      <c r="E67" s="19" t="s">
        <v>95</v>
      </c>
      <c r="F67" s="44"/>
      <c r="G67" s="44"/>
      <c r="H67" s="23" t="s">
        <v>96</v>
      </c>
      <c r="I67" s="71">
        <v>4.8000000000000001E-2</v>
      </c>
      <c r="J67" s="23">
        <v>1</v>
      </c>
      <c r="K67" s="31" t="s">
        <v>28</v>
      </c>
      <c r="L67" s="54">
        <f>I67*J67*7</f>
        <v>0.33600000000000002</v>
      </c>
      <c r="M67" s="54"/>
      <c r="N67" s="54"/>
      <c r="O67" s="54">
        <f>0.05*2*J67</f>
        <v>0.1</v>
      </c>
      <c r="P67" s="54"/>
      <c r="Q67" s="54">
        <f t="shared" si="5"/>
        <v>0.43600000000000005</v>
      </c>
    </row>
    <row r="68" spans="1:17" s="3" customFormat="1" ht="24.95" customHeight="1" x14ac:dyDescent="0.15">
      <c r="A68" s="16"/>
      <c r="B68" s="17">
        <v>4</v>
      </c>
      <c r="C68" s="17"/>
      <c r="D68" s="41" t="s">
        <v>105</v>
      </c>
      <c r="E68" s="19" t="s">
        <v>106</v>
      </c>
      <c r="F68" s="44"/>
      <c r="G68" s="44"/>
      <c r="H68" s="23" t="s">
        <v>24</v>
      </c>
      <c r="I68" s="71">
        <v>0.32369999999999999</v>
      </c>
      <c r="J68" s="23">
        <v>1</v>
      </c>
      <c r="K68" s="31" t="s">
        <v>28</v>
      </c>
      <c r="L68" s="54">
        <f>I68*J68*7</f>
        <v>2.2658999999999998</v>
      </c>
      <c r="M68" s="54"/>
      <c r="N68" s="54"/>
      <c r="O68" s="54">
        <f>16*0.05*J68</f>
        <v>0.8</v>
      </c>
      <c r="P68" s="54"/>
      <c r="Q68" s="54">
        <f t="shared" si="5"/>
        <v>3.0659000000000001</v>
      </c>
    </row>
    <row r="69" spans="1:17" s="3" customFormat="1" ht="24.95" customHeight="1" x14ac:dyDescent="0.15">
      <c r="A69" s="16"/>
      <c r="B69" s="17"/>
      <c r="C69" s="17">
        <v>1</v>
      </c>
      <c r="D69" s="41" t="s">
        <v>107</v>
      </c>
      <c r="E69" s="19" t="s">
        <v>108</v>
      </c>
      <c r="F69" s="44"/>
      <c r="G69" s="44"/>
      <c r="H69" s="23" t="s">
        <v>96</v>
      </c>
      <c r="I69" s="71">
        <v>0.10050000000000001</v>
      </c>
      <c r="J69" s="23">
        <v>2</v>
      </c>
      <c r="K69" s="31" t="s">
        <v>28</v>
      </c>
      <c r="L69" s="54"/>
      <c r="M69" s="54"/>
      <c r="N69" s="54"/>
      <c r="O69" s="54"/>
      <c r="P69" s="54"/>
      <c r="Q69" s="54">
        <f t="shared" si="5"/>
        <v>0</v>
      </c>
    </row>
    <row r="70" spans="1:17" s="3" customFormat="1" ht="24.95" customHeight="1" x14ac:dyDescent="0.15">
      <c r="A70" s="16"/>
      <c r="B70" s="17"/>
      <c r="C70" s="17">
        <v>2</v>
      </c>
      <c r="D70" s="41" t="s">
        <v>109</v>
      </c>
      <c r="E70" s="19" t="s">
        <v>110</v>
      </c>
      <c r="F70" s="44"/>
      <c r="G70" s="44"/>
      <c r="H70" s="23" t="s">
        <v>96</v>
      </c>
      <c r="I70" s="71">
        <v>4.0899999999999999E-2</v>
      </c>
      <c r="J70" s="23">
        <v>3</v>
      </c>
      <c r="K70" s="31" t="s">
        <v>28</v>
      </c>
      <c r="L70" s="54"/>
      <c r="M70" s="54"/>
      <c r="N70" s="54"/>
      <c r="O70" s="54"/>
      <c r="P70" s="54"/>
      <c r="Q70" s="54">
        <f t="shared" si="5"/>
        <v>0</v>
      </c>
    </row>
    <row r="71" spans="1:17" s="3" customFormat="1" ht="24.95" customHeight="1" x14ac:dyDescent="0.15">
      <c r="A71" s="16"/>
      <c r="B71" s="17">
        <v>5</v>
      </c>
      <c r="C71" s="17"/>
      <c r="D71" s="41" t="s">
        <v>117</v>
      </c>
      <c r="E71" s="19" t="s">
        <v>98</v>
      </c>
      <c r="F71" s="44"/>
      <c r="G71" s="44"/>
      <c r="H71" s="23" t="s">
        <v>96</v>
      </c>
      <c r="I71" s="71">
        <f>I72*J72+I73*J73</f>
        <v>0.15179999999999999</v>
      </c>
      <c r="J71" s="23">
        <v>1</v>
      </c>
      <c r="K71" s="31" t="s">
        <v>28</v>
      </c>
      <c r="L71" s="54">
        <f>I71*J71*7</f>
        <v>1.0626</v>
      </c>
      <c r="M71" s="54"/>
      <c r="N71" s="54"/>
      <c r="O71" s="54">
        <f>12*0.05*J71</f>
        <v>0.60000000000000009</v>
      </c>
      <c r="P71" s="54"/>
      <c r="Q71" s="54">
        <f t="shared" si="5"/>
        <v>1.6626000000000001</v>
      </c>
    </row>
    <row r="72" spans="1:17" s="3" customFormat="1" ht="24.95" customHeight="1" x14ac:dyDescent="0.15">
      <c r="A72" s="16"/>
      <c r="B72" s="17"/>
      <c r="C72" s="17">
        <v>1</v>
      </c>
      <c r="D72" s="41" t="s">
        <v>99</v>
      </c>
      <c r="E72" s="19" t="s">
        <v>100</v>
      </c>
      <c r="F72" s="23"/>
      <c r="G72" s="23"/>
      <c r="H72" s="23" t="s">
        <v>96</v>
      </c>
      <c r="I72" s="71">
        <v>2.01E-2</v>
      </c>
      <c r="J72" s="23">
        <v>2</v>
      </c>
      <c r="K72" s="31" t="s">
        <v>28</v>
      </c>
      <c r="L72" s="54"/>
      <c r="M72" s="54"/>
      <c r="N72" s="54"/>
      <c r="O72" s="54"/>
      <c r="P72" s="54"/>
      <c r="Q72" s="54">
        <f t="shared" si="5"/>
        <v>0</v>
      </c>
    </row>
    <row r="73" spans="1:17" s="3" customFormat="1" ht="24.95" customHeight="1" x14ac:dyDescent="0.15">
      <c r="A73" s="16"/>
      <c r="B73" s="17"/>
      <c r="C73" s="17">
        <v>2</v>
      </c>
      <c r="D73" s="41" t="s">
        <v>118</v>
      </c>
      <c r="E73" s="19" t="s">
        <v>102</v>
      </c>
      <c r="F73" s="23"/>
      <c r="G73" s="23"/>
      <c r="H73" s="23" t="s">
        <v>96</v>
      </c>
      <c r="I73" s="71">
        <v>5.5800000000000002E-2</v>
      </c>
      <c r="J73" s="23">
        <v>2</v>
      </c>
      <c r="K73" s="31" t="s">
        <v>28</v>
      </c>
      <c r="L73" s="54"/>
      <c r="M73" s="54"/>
      <c r="N73" s="54"/>
      <c r="O73" s="54"/>
      <c r="P73" s="54"/>
      <c r="Q73" s="54">
        <f t="shared" si="5"/>
        <v>0</v>
      </c>
    </row>
    <row r="74" spans="1:17" s="3" customFormat="1" ht="24.95" customHeight="1" x14ac:dyDescent="0.15">
      <c r="A74" s="16"/>
      <c r="B74" s="17">
        <v>6</v>
      </c>
      <c r="C74" s="17"/>
      <c r="D74" s="41" t="s">
        <v>103</v>
      </c>
      <c r="E74" s="19" t="s">
        <v>104</v>
      </c>
      <c r="F74" s="44"/>
      <c r="G74" s="44"/>
      <c r="H74" s="23" t="s">
        <v>46</v>
      </c>
      <c r="I74" s="71">
        <v>9.0999999999999998E-2</v>
      </c>
      <c r="J74" s="23">
        <v>2</v>
      </c>
      <c r="K74" s="31" t="s">
        <v>28</v>
      </c>
      <c r="L74" s="54">
        <f>I74*J74*7</f>
        <v>1.274</v>
      </c>
      <c r="M74" s="54"/>
      <c r="N74" s="54"/>
      <c r="O74" s="54">
        <f>0.05*2*J74</f>
        <v>0.2</v>
      </c>
      <c r="P74" s="54"/>
      <c r="Q74" s="54">
        <f t="shared" si="5"/>
        <v>1.474</v>
      </c>
    </row>
    <row r="75" spans="1:17" s="3" customFormat="1" ht="24.95" customHeight="1" x14ac:dyDescent="0.15">
      <c r="A75" s="16"/>
      <c r="B75" s="17">
        <v>7</v>
      </c>
      <c r="C75" s="17"/>
      <c r="D75" s="41" t="s">
        <v>111</v>
      </c>
      <c r="E75" s="19" t="s">
        <v>112</v>
      </c>
      <c r="F75" s="23"/>
      <c r="G75" s="23"/>
      <c r="H75" s="23" t="s">
        <v>96</v>
      </c>
      <c r="I75" s="71">
        <v>3.1E-2</v>
      </c>
      <c r="J75" s="23">
        <v>1</v>
      </c>
      <c r="K75" s="31" t="s">
        <v>28</v>
      </c>
      <c r="L75" s="54">
        <f>I75*J75*7</f>
        <v>0.217</v>
      </c>
      <c r="M75" s="54"/>
      <c r="N75" s="54"/>
      <c r="O75" s="54"/>
      <c r="P75" s="54"/>
      <c r="Q75" s="54">
        <f t="shared" si="5"/>
        <v>0.217</v>
      </c>
    </row>
    <row r="76" spans="1:17" x14ac:dyDescent="0.15">
      <c r="J76" t="s">
        <v>119</v>
      </c>
    </row>
    <row r="109" spans="1:1" x14ac:dyDescent="0.15">
      <c r="A109">
        <v>18</v>
      </c>
    </row>
    <row r="110" spans="1:1" x14ac:dyDescent="0.15">
      <c r="A110">
        <v>19</v>
      </c>
    </row>
    <row r="111" spans="1:1" x14ac:dyDescent="0.15">
      <c r="A111">
        <v>20</v>
      </c>
    </row>
    <row r="112" spans="1:1" x14ac:dyDescent="0.15">
      <c r="A112">
        <v>21</v>
      </c>
    </row>
    <row r="113" spans="1:1" x14ac:dyDescent="0.15">
      <c r="A113">
        <v>22</v>
      </c>
    </row>
    <row r="114" spans="1:1" x14ac:dyDescent="0.15">
      <c r="A114">
        <v>23</v>
      </c>
    </row>
    <row r="115" spans="1:1" x14ac:dyDescent="0.15">
      <c r="A115">
        <v>24</v>
      </c>
    </row>
    <row r="116" spans="1:1" x14ac:dyDescent="0.15">
      <c r="A116">
        <v>25</v>
      </c>
    </row>
    <row r="117" spans="1:1" x14ac:dyDescent="0.15">
      <c r="A117">
        <v>26</v>
      </c>
    </row>
    <row r="118" spans="1:1" x14ac:dyDescent="0.15">
      <c r="A118">
        <v>27</v>
      </c>
    </row>
    <row r="119" spans="1:1" x14ac:dyDescent="0.15">
      <c r="A119">
        <v>28</v>
      </c>
    </row>
    <row r="120" spans="1:1" x14ac:dyDescent="0.15">
      <c r="A120">
        <v>29</v>
      </c>
    </row>
    <row r="121" spans="1:1" x14ac:dyDescent="0.15">
      <c r="A121">
        <v>30</v>
      </c>
    </row>
    <row r="122" spans="1:1" x14ac:dyDescent="0.15">
      <c r="A122">
        <v>31</v>
      </c>
    </row>
    <row r="123" spans="1:1" x14ac:dyDescent="0.15">
      <c r="A123">
        <v>32</v>
      </c>
    </row>
    <row r="124" spans="1:1" x14ac:dyDescent="0.15">
      <c r="A124">
        <v>33</v>
      </c>
    </row>
    <row r="125" spans="1:1" x14ac:dyDescent="0.15">
      <c r="A125">
        <v>34</v>
      </c>
    </row>
    <row r="126" spans="1:1" x14ac:dyDescent="0.15">
      <c r="A126">
        <v>35</v>
      </c>
    </row>
    <row r="127" spans="1:1" x14ac:dyDescent="0.15">
      <c r="A127">
        <v>36</v>
      </c>
    </row>
    <row r="128" spans="1:1" x14ac:dyDescent="0.15">
      <c r="A128">
        <v>37</v>
      </c>
    </row>
    <row r="129" spans="1:1" x14ac:dyDescent="0.15">
      <c r="A129">
        <v>38</v>
      </c>
    </row>
    <row r="130" spans="1:1" x14ac:dyDescent="0.15">
      <c r="A130">
        <v>39</v>
      </c>
    </row>
    <row r="131" spans="1:1" x14ac:dyDescent="0.15">
      <c r="A131">
        <v>40</v>
      </c>
    </row>
    <row r="132" spans="1:1" x14ac:dyDescent="0.15">
      <c r="A132">
        <v>41</v>
      </c>
    </row>
    <row r="133" spans="1:1" x14ac:dyDescent="0.15">
      <c r="A133">
        <v>42</v>
      </c>
    </row>
    <row r="134" spans="1:1" x14ac:dyDescent="0.15">
      <c r="A134">
        <v>43</v>
      </c>
    </row>
    <row r="135" spans="1:1" x14ac:dyDescent="0.15">
      <c r="A135">
        <v>44</v>
      </c>
    </row>
    <row r="136" spans="1:1" x14ac:dyDescent="0.15">
      <c r="A136">
        <v>45</v>
      </c>
    </row>
    <row r="137" spans="1:1" x14ac:dyDescent="0.15">
      <c r="A137">
        <v>46</v>
      </c>
    </row>
    <row r="138" spans="1:1" x14ac:dyDescent="0.15">
      <c r="A138">
        <v>47</v>
      </c>
    </row>
    <row r="139" spans="1:1" x14ac:dyDescent="0.15">
      <c r="A139">
        <v>48</v>
      </c>
    </row>
    <row r="140" spans="1:1" x14ac:dyDescent="0.15">
      <c r="A140">
        <v>49</v>
      </c>
    </row>
    <row r="141" spans="1:1" x14ac:dyDescent="0.15">
      <c r="A141">
        <v>50</v>
      </c>
    </row>
    <row r="142" spans="1:1" x14ac:dyDescent="0.15">
      <c r="A142">
        <v>51</v>
      </c>
    </row>
    <row r="143" spans="1:1" x14ac:dyDescent="0.15">
      <c r="A143">
        <v>52</v>
      </c>
    </row>
    <row r="144" spans="1:1" x14ac:dyDescent="0.15">
      <c r="A144">
        <v>53</v>
      </c>
    </row>
    <row r="145" spans="1:1" x14ac:dyDescent="0.15">
      <c r="A145">
        <v>54</v>
      </c>
    </row>
    <row r="146" spans="1:1" x14ac:dyDescent="0.15">
      <c r="A146">
        <v>55</v>
      </c>
    </row>
    <row r="147" spans="1:1" x14ac:dyDescent="0.15">
      <c r="A147">
        <v>56</v>
      </c>
    </row>
    <row r="148" spans="1:1" x14ac:dyDescent="0.15">
      <c r="A148">
        <v>57</v>
      </c>
    </row>
    <row r="149" spans="1:1" x14ac:dyDescent="0.15">
      <c r="A149">
        <v>58</v>
      </c>
    </row>
    <row r="150" spans="1:1" x14ac:dyDescent="0.15">
      <c r="A150">
        <v>59</v>
      </c>
    </row>
    <row r="151" spans="1:1" x14ac:dyDescent="0.15">
      <c r="A151">
        <v>60</v>
      </c>
    </row>
    <row r="152" spans="1:1" x14ac:dyDescent="0.15">
      <c r="A152">
        <v>61</v>
      </c>
    </row>
    <row r="153" spans="1:1" x14ac:dyDescent="0.15">
      <c r="A153">
        <v>62</v>
      </c>
    </row>
    <row r="154" spans="1:1" x14ac:dyDescent="0.15">
      <c r="A154">
        <v>63</v>
      </c>
    </row>
    <row r="155" spans="1:1" x14ac:dyDescent="0.15">
      <c r="A155">
        <v>64</v>
      </c>
    </row>
  </sheetData>
  <mergeCells count="13">
    <mergeCell ref="P1:P2"/>
    <mergeCell ref="Q1:Q2"/>
    <mergeCell ref="A1:C2"/>
    <mergeCell ref="L1:M1"/>
    <mergeCell ref="N1:O1"/>
    <mergeCell ref="D1:D2"/>
    <mergeCell ref="E1:E2"/>
    <mergeCell ref="F1:F2"/>
    <mergeCell ref="G1:G2"/>
    <mergeCell ref="H1:H2"/>
    <mergeCell ref="I1:I2"/>
    <mergeCell ref="J1:J2"/>
    <mergeCell ref="K1:K2"/>
  </mergeCells>
  <phoneticPr fontId="6" type="noConversion"/>
  <conditionalFormatting sqref="D15:E15">
    <cfRule type="duplicateValues" dxfId="57" priority="3"/>
  </conditionalFormatting>
  <conditionalFormatting sqref="D20:E20">
    <cfRule type="duplicateValues" dxfId="56" priority="2"/>
  </conditionalFormatting>
  <conditionalFormatting sqref="D34">
    <cfRule type="duplicateValues" dxfId="55" priority="1"/>
  </conditionalFormatting>
  <conditionalFormatting sqref="D43">
    <cfRule type="duplicateValues" dxfId="54" priority="8"/>
    <cfRule type="duplicateValues" dxfId="53" priority="9"/>
  </conditionalFormatting>
  <conditionalFormatting sqref="D23:D33">
    <cfRule type="duplicateValues" dxfId="52" priority="11"/>
  </conditionalFormatting>
  <conditionalFormatting sqref="D3:D14 D16:D19">
    <cfRule type="duplicateValues" dxfId="51" priority="12"/>
  </conditionalFormatting>
  <conditionalFormatting sqref="D35:D42 D44:D62">
    <cfRule type="duplicateValues" dxfId="50" priority="10"/>
  </conditionalFormatting>
  <conditionalFormatting sqref="D63:D70 D73:D75">
    <cfRule type="duplicateValues" dxfId="49" priority="4"/>
    <cfRule type="duplicateValues" dxfId="48" priority="5"/>
    <cfRule type="duplicateValues" dxfId="47" priority="6"/>
    <cfRule type="duplicateValues" dxfId="46" priority="7"/>
  </conditionalFormatting>
  <pageMargins left="0.75" right="0.75" top="1" bottom="1" header="0.5" footer="0.5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W33"/>
  <sheetViews>
    <sheetView zoomScale="70" zoomScaleNormal="70" workbookViewId="0">
      <selection activeCell="H8" sqref="H8:I8"/>
    </sheetView>
  </sheetViews>
  <sheetFormatPr defaultColWidth="9" defaultRowHeight="13.5" x14ac:dyDescent="0.15"/>
  <cols>
    <col min="1" max="1" width="6.25" customWidth="1"/>
    <col min="2" max="2" width="7.375" customWidth="1"/>
    <col min="3" max="3" width="31.75" customWidth="1"/>
    <col min="4" max="4" width="18.125" customWidth="1"/>
    <col min="5" max="6" width="9.125" customWidth="1"/>
    <col min="7" max="7" width="8.125" customWidth="1"/>
    <col min="8" max="8" width="8.875" customWidth="1"/>
    <col min="9" max="9" width="6.875" customWidth="1"/>
    <col min="10" max="10" width="8.875" customWidth="1"/>
    <col min="11" max="11" width="6.875" customWidth="1"/>
    <col min="12" max="12" width="8.875" hidden="1" customWidth="1"/>
    <col min="13" max="13" width="6.875" hidden="1" customWidth="1"/>
    <col min="14" max="14" width="8.875" customWidth="1"/>
    <col min="15" max="15" width="6.875" customWidth="1"/>
    <col min="16" max="16" width="7" customWidth="1"/>
    <col min="17" max="17" width="13.625" customWidth="1"/>
    <col min="18" max="19" width="8" customWidth="1"/>
    <col min="20" max="20" width="8.25" customWidth="1"/>
    <col min="21" max="21" width="8.875" customWidth="1"/>
    <col min="22" max="22" width="22.5" customWidth="1"/>
    <col min="23" max="23" width="51" customWidth="1"/>
  </cols>
  <sheetData>
    <row r="1" spans="1:23" ht="27.75" x14ac:dyDescent="0.15">
      <c r="A1" s="177" t="s">
        <v>120</v>
      </c>
      <c r="B1" s="177"/>
      <c r="C1" s="177"/>
      <c r="D1" s="177"/>
      <c r="E1" s="177"/>
      <c r="F1" s="177"/>
      <c r="G1" s="177"/>
      <c r="H1" s="177"/>
      <c r="I1" s="177"/>
      <c r="J1" s="177"/>
      <c r="K1" s="177"/>
      <c r="L1" s="177"/>
      <c r="M1" s="177"/>
      <c r="N1" s="177"/>
      <c r="O1" s="177"/>
      <c r="P1" s="177"/>
      <c r="Q1" s="177"/>
      <c r="R1" s="177"/>
      <c r="S1" s="177"/>
      <c r="T1" s="177"/>
      <c r="U1" s="177"/>
    </row>
    <row r="2" spans="1:23" ht="54" x14ac:dyDescent="0.15">
      <c r="A2" s="82" t="s">
        <v>121</v>
      </c>
      <c r="B2" s="82" t="s">
        <v>122</v>
      </c>
      <c r="C2" s="82" t="s">
        <v>123</v>
      </c>
      <c r="D2" s="82" t="s">
        <v>124</v>
      </c>
      <c r="E2" s="82" t="s">
        <v>125</v>
      </c>
      <c r="F2" s="82" t="s">
        <v>126</v>
      </c>
      <c r="G2" s="82" t="s">
        <v>127</v>
      </c>
      <c r="H2" s="83" t="s">
        <v>128</v>
      </c>
      <c r="I2" s="83" t="s">
        <v>129</v>
      </c>
      <c r="J2" s="83" t="s">
        <v>130</v>
      </c>
      <c r="K2" s="83" t="s">
        <v>129</v>
      </c>
      <c r="L2" s="83" t="s">
        <v>131</v>
      </c>
      <c r="M2" s="83" t="s">
        <v>129</v>
      </c>
      <c r="N2" s="83" t="s">
        <v>132</v>
      </c>
      <c r="O2" s="83" t="s">
        <v>129</v>
      </c>
      <c r="P2" s="83" t="s">
        <v>133</v>
      </c>
      <c r="Q2" s="83" t="s">
        <v>134</v>
      </c>
      <c r="R2" s="83" t="s">
        <v>135</v>
      </c>
      <c r="S2" s="83" t="s">
        <v>136</v>
      </c>
      <c r="T2" s="83" t="s">
        <v>137</v>
      </c>
      <c r="U2" s="84" t="s">
        <v>138</v>
      </c>
      <c r="V2" s="85" t="s">
        <v>136</v>
      </c>
      <c r="W2" s="86" t="s">
        <v>135</v>
      </c>
    </row>
    <row r="3" spans="1:23" ht="40.5" x14ac:dyDescent="0.15">
      <c r="A3" s="87" t="s">
        <v>139</v>
      </c>
      <c r="B3" s="178" t="s">
        <v>140</v>
      </c>
      <c r="C3" s="88" t="s">
        <v>141</v>
      </c>
      <c r="D3" s="87" t="s">
        <v>142</v>
      </c>
      <c r="E3" s="89">
        <v>42.65</v>
      </c>
      <c r="F3" s="89">
        <v>2.5499999999999998</v>
      </c>
      <c r="G3" s="89">
        <f>E3+F3</f>
        <v>45.199999999999996</v>
      </c>
      <c r="H3" s="89">
        <v>1.06</v>
      </c>
      <c r="I3" s="89">
        <v>0.16</v>
      </c>
      <c r="J3" s="89">
        <v>1.4363222222222201</v>
      </c>
      <c r="K3" s="89">
        <v>0.42772916666666699</v>
      </c>
      <c r="L3" s="89" t="s">
        <v>143</v>
      </c>
      <c r="M3" s="89" t="s">
        <v>143</v>
      </c>
      <c r="N3" s="89">
        <v>0.54649999999999999</v>
      </c>
      <c r="O3" s="89">
        <v>0.86799999999999999</v>
      </c>
      <c r="P3" s="89">
        <f>SUM(H3:O3)</f>
        <v>4.4985513888888873</v>
      </c>
      <c r="Q3" s="89">
        <f>(F3+P3)*1.18</f>
        <v>8.3172906388888865</v>
      </c>
      <c r="R3" s="89">
        <v>1.03</v>
      </c>
      <c r="S3" s="89">
        <v>3.44</v>
      </c>
      <c r="T3" s="89">
        <f>E3*1.03</f>
        <v>43.929499999999997</v>
      </c>
      <c r="U3" s="89">
        <f>T3+S3+R3+Q3</f>
        <v>56.716790638888881</v>
      </c>
      <c r="V3" s="90" t="s">
        <v>144</v>
      </c>
      <c r="W3" s="90" t="s">
        <v>145</v>
      </c>
    </row>
    <row r="4" spans="1:23" ht="54" x14ac:dyDescent="0.15">
      <c r="A4" s="87" t="s">
        <v>139</v>
      </c>
      <c r="B4" s="178"/>
      <c r="C4" s="88" t="s">
        <v>146</v>
      </c>
      <c r="D4" s="87" t="s">
        <v>147</v>
      </c>
      <c r="E4" s="89">
        <v>15.14</v>
      </c>
      <c r="F4" s="89">
        <v>6.62</v>
      </c>
      <c r="G4" s="89">
        <f>E4+F4</f>
        <v>21.76</v>
      </c>
      <c r="H4" s="89">
        <v>1.64</v>
      </c>
      <c r="I4" s="89">
        <v>0.38</v>
      </c>
      <c r="J4" s="89">
        <v>0.97436111111111101</v>
      </c>
      <c r="K4" s="89">
        <v>0.28515277777777798</v>
      </c>
      <c r="L4" s="89" t="s">
        <v>143</v>
      </c>
      <c r="M4" s="89" t="s">
        <v>143</v>
      </c>
      <c r="N4" s="89">
        <v>0.44900000000000001</v>
      </c>
      <c r="O4" s="89">
        <v>0.71299999999999997</v>
      </c>
      <c r="P4" s="89">
        <f>SUM(H4:O4)</f>
        <v>4.4415138888888883</v>
      </c>
      <c r="Q4" s="89">
        <f>(F4+P4)*1.18</f>
        <v>13.052586388888889</v>
      </c>
      <c r="R4" s="89">
        <v>0.34</v>
      </c>
      <c r="S4" s="89">
        <v>1.1499999999999999</v>
      </c>
      <c r="T4" s="89">
        <f>E4*1.03</f>
        <v>15.594200000000001</v>
      </c>
      <c r="U4" s="89">
        <f>T4+S4+R4+Q4</f>
        <v>30.136786388888886</v>
      </c>
      <c r="V4" s="90" t="s">
        <v>144</v>
      </c>
      <c r="W4" s="90" t="s">
        <v>148</v>
      </c>
    </row>
    <row r="5" spans="1:23" ht="40.5" x14ac:dyDescent="0.15">
      <c r="A5" s="87" t="s">
        <v>139</v>
      </c>
      <c r="B5" s="178"/>
      <c r="C5" s="88" t="s">
        <v>149</v>
      </c>
      <c r="D5" s="87" t="s">
        <v>150</v>
      </c>
      <c r="E5" s="89">
        <v>42.61</v>
      </c>
      <c r="F5" s="89">
        <v>7.97</v>
      </c>
      <c r="G5" s="89">
        <f>E5+F5</f>
        <v>50.58</v>
      </c>
      <c r="H5" s="89">
        <v>2.1259999999999999</v>
      </c>
      <c r="I5" s="89">
        <v>0.39</v>
      </c>
      <c r="J5" s="89">
        <v>1.0303944444444499</v>
      </c>
      <c r="K5" s="89">
        <v>0.62213490990991005</v>
      </c>
      <c r="L5" s="89" t="s">
        <v>143</v>
      </c>
      <c r="M5" s="89" t="s">
        <v>143</v>
      </c>
      <c r="N5" s="89">
        <v>0.54649999999999999</v>
      </c>
      <c r="O5" s="89">
        <v>0.86799999999999999</v>
      </c>
      <c r="P5" s="89">
        <f>SUM(H5:O5)</f>
        <v>5.5830293543543608</v>
      </c>
      <c r="Q5" s="89">
        <f>(F5+P5)*1.18</f>
        <v>15.992574638138146</v>
      </c>
      <c r="R5" s="89">
        <v>1.03</v>
      </c>
      <c r="S5" s="89">
        <v>3.44</v>
      </c>
      <c r="T5" s="89">
        <f>E5*1.03</f>
        <v>43.888300000000001</v>
      </c>
      <c r="U5" s="89">
        <f>T5+S5+R5+Q5</f>
        <v>64.350874638138151</v>
      </c>
      <c r="V5" s="90" t="s">
        <v>144</v>
      </c>
      <c r="W5" s="90" t="s">
        <v>145</v>
      </c>
    </row>
    <row r="6" spans="1:23" ht="54" x14ac:dyDescent="0.15">
      <c r="A6" s="87" t="s">
        <v>139</v>
      </c>
      <c r="B6" s="178"/>
      <c r="C6" s="88" t="s">
        <v>151</v>
      </c>
      <c r="D6" s="87" t="s">
        <v>152</v>
      </c>
      <c r="E6" s="89">
        <v>19.64</v>
      </c>
      <c r="F6" s="89">
        <v>2.99</v>
      </c>
      <c r="G6" s="89">
        <f>E6+F6</f>
        <v>22.630000000000003</v>
      </c>
      <c r="H6" s="89">
        <v>0.61963636363636398</v>
      </c>
      <c r="I6" s="89">
        <v>0.15049999999999999</v>
      </c>
      <c r="J6" s="89">
        <v>1.0303944444444499</v>
      </c>
      <c r="K6" s="89">
        <v>0.62213490990991005</v>
      </c>
      <c r="L6" s="89" t="s">
        <v>143</v>
      </c>
      <c r="M6" s="89" t="s">
        <v>143</v>
      </c>
      <c r="N6" s="89">
        <v>0.44900000000000001</v>
      </c>
      <c r="O6" s="89">
        <v>0.71299999999999997</v>
      </c>
      <c r="P6" s="89">
        <f>SUM(H6:O6)</f>
        <v>3.584665717990724</v>
      </c>
      <c r="Q6" s="89">
        <f>(F6+P6)*1.18</f>
        <v>7.7581055472290545</v>
      </c>
      <c r="R6" s="89">
        <v>0.34</v>
      </c>
      <c r="S6" s="89">
        <v>1.1499999999999999</v>
      </c>
      <c r="T6" s="89">
        <f>E6*1.03</f>
        <v>20.229200000000002</v>
      </c>
      <c r="U6" s="89">
        <f>T6+S6+R6+Q6</f>
        <v>29.477305547229054</v>
      </c>
      <c r="V6" s="90" t="s">
        <v>144</v>
      </c>
      <c r="W6" s="90" t="s">
        <v>148</v>
      </c>
    </row>
    <row r="7" spans="1:23" ht="40.5" x14ac:dyDescent="0.15">
      <c r="A7" s="87" t="s">
        <v>139</v>
      </c>
      <c r="B7" s="178"/>
      <c r="C7" s="88" t="s">
        <v>153</v>
      </c>
      <c r="D7" s="91" t="s">
        <v>154</v>
      </c>
      <c r="E7" s="89">
        <v>0.25</v>
      </c>
      <c r="F7" s="89">
        <v>0.94662999999999997</v>
      </c>
      <c r="G7" s="89">
        <f>E7+F7</f>
        <v>1.1966299999999999</v>
      </c>
      <c r="H7" s="89">
        <v>0.34424242424242402</v>
      </c>
      <c r="I7" s="89">
        <v>0.12</v>
      </c>
      <c r="J7" s="89" t="s">
        <v>143</v>
      </c>
      <c r="K7" s="89" t="s">
        <v>143</v>
      </c>
      <c r="L7" s="89" t="s">
        <v>143</v>
      </c>
      <c r="M7" s="89" t="s">
        <v>143</v>
      </c>
      <c r="N7" s="89">
        <v>3.7435223639237E-2</v>
      </c>
      <c r="O7" s="89">
        <v>5.9445771619684701E-2</v>
      </c>
      <c r="P7" s="89">
        <f t="shared" ref="P7:P33" si="0">SUM(H7:O7)</f>
        <v>0.5611234195013457</v>
      </c>
      <c r="Q7" s="89">
        <f t="shared" ref="Q7:Q33" si="1">(F7+P7)*1.18</f>
        <v>1.7791490350115879</v>
      </c>
      <c r="R7" s="89">
        <v>0.06</v>
      </c>
      <c r="S7" s="89">
        <v>0.35</v>
      </c>
      <c r="T7" s="89">
        <f t="shared" ref="T7:T33" si="2">E7*1.03</f>
        <v>0.25750000000000001</v>
      </c>
      <c r="U7" s="89">
        <f t="shared" ref="U7:U33" si="3">T7+S7+R7+Q7</f>
        <v>2.4466490350115881</v>
      </c>
      <c r="V7" s="90" t="s">
        <v>144</v>
      </c>
      <c r="W7" s="90" t="s">
        <v>155</v>
      </c>
    </row>
    <row r="8" spans="1:23" ht="27" x14ac:dyDescent="0.15">
      <c r="A8" s="87" t="s">
        <v>139</v>
      </c>
      <c r="B8" s="178"/>
      <c r="C8" s="88" t="s">
        <v>37</v>
      </c>
      <c r="D8" s="91" t="s">
        <v>36</v>
      </c>
      <c r="E8" s="89">
        <v>0</v>
      </c>
      <c r="F8" s="89">
        <v>5.89</v>
      </c>
      <c r="G8" s="89">
        <v>6.7468735000000004</v>
      </c>
      <c r="H8" s="89">
        <v>1.29</v>
      </c>
      <c r="I8" s="89">
        <v>3.7499999999999999E-2</v>
      </c>
      <c r="J8" s="89" t="s">
        <v>143</v>
      </c>
      <c r="K8" s="89" t="s">
        <v>143</v>
      </c>
      <c r="L8" s="89" t="s">
        <v>143</v>
      </c>
      <c r="M8" s="89" t="s">
        <v>143</v>
      </c>
      <c r="N8" s="89" t="s">
        <v>143</v>
      </c>
      <c r="O8" s="89" t="s">
        <v>143</v>
      </c>
      <c r="P8" s="89">
        <f t="shared" si="0"/>
        <v>1.3275000000000001</v>
      </c>
      <c r="Q8" s="89">
        <f t="shared" si="1"/>
        <v>8.5166499999999985</v>
      </c>
      <c r="R8" s="89">
        <v>0.6</v>
      </c>
      <c r="S8" s="89">
        <v>6.88</v>
      </c>
      <c r="T8" s="89">
        <f t="shared" si="2"/>
        <v>0</v>
      </c>
      <c r="U8" s="89">
        <f t="shared" si="3"/>
        <v>15.996649999999999</v>
      </c>
      <c r="V8" s="90" t="s">
        <v>144</v>
      </c>
      <c r="W8" s="90" t="s">
        <v>156</v>
      </c>
    </row>
    <row r="9" spans="1:23" ht="54" x14ac:dyDescent="0.15">
      <c r="A9" s="87" t="s">
        <v>139</v>
      </c>
      <c r="B9" s="178"/>
      <c r="C9" s="88" t="s">
        <v>157</v>
      </c>
      <c r="D9" s="91" t="s">
        <v>158</v>
      </c>
      <c r="E9" s="89">
        <v>0.13</v>
      </c>
      <c r="F9" s="89">
        <v>0.83541200000000004</v>
      </c>
      <c r="G9" s="89">
        <v>1.066648</v>
      </c>
      <c r="H9" s="89">
        <v>0.51636363636363602</v>
      </c>
      <c r="I9" s="89">
        <v>5.5E-2</v>
      </c>
      <c r="J9" s="89" t="s">
        <v>143</v>
      </c>
      <c r="K9" s="89" t="s">
        <v>143</v>
      </c>
      <c r="L9" s="89" t="s">
        <v>143</v>
      </c>
      <c r="M9" s="89" t="s">
        <v>143</v>
      </c>
      <c r="N9" s="89" t="s">
        <v>143</v>
      </c>
      <c r="O9" s="89" t="s">
        <v>143</v>
      </c>
      <c r="P9" s="89">
        <f t="shared" si="0"/>
        <v>0.57136363636363607</v>
      </c>
      <c r="Q9" s="89">
        <f t="shared" si="1"/>
        <v>1.6599952509090905</v>
      </c>
      <c r="R9" s="89">
        <v>2.8000000000000001E-2</v>
      </c>
      <c r="S9" s="89">
        <v>7.0999999999999994E-2</v>
      </c>
      <c r="T9" s="89">
        <f t="shared" si="2"/>
        <v>0.13390000000000002</v>
      </c>
      <c r="U9" s="89">
        <f t="shared" si="3"/>
        <v>1.8928952509090906</v>
      </c>
      <c r="V9" s="90" t="s">
        <v>144</v>
      </c>
      <c r="W9" s="90" t="s">
        <v>159</v>
      </c>
    </row>
    <row r="10" spans="1:23" ht="54" x14ac:dyDescent="0.15">
      <c r="A10" s="87" t="s">
        <v>139</v>
      </c>
      <c r="B10" s="178"/>
      <c r="C10" s="88" t="s">
        <v>160</v>
      </c>
      <c r="D10" s="91" t="s">
        <v>161</v>
      </c>
      <c r="E10" s="89">
        <v>0.13</v>
      </c>
      <c r="F10" s="89">
        <v>0.45250499999999999</v>
      </c>
      <c r="G10" s="89">
        <v>0.61626999999999998</v>
      </c>
      <c r="H10" s="89">
        <v>0.34424242424242402</v>
      </c>
      <c r="I10" s="89">
        <v>5.5E-2</v>
      </c>
      <c r="J10" s="89" t="s">
        <v>143</v>
      </c>
      <c r="K10" s="89" t="s">
        <v>143</v>
      </c>
      <c r="L10" s="89" t="s">
        <v>143</v>
      </c>
      <c r="M10" s="89" t="s">
        <v>143</v>
      </c>
      <c r="N10" s="89" t="s">
        <v>143</v>
      </c>
      <c r="O10" s="89" t="s">
        <v>143</v>
      </c>
      <c r="P10" s="89">
        <f t="shared" si="0"/>
        <v>0.39924242424242401</v>
      </c>
      <c r="Q10" s="89">
        <f t="shared" si="1"/>
        <v>1.0050619606060602</v>
      </c>
      <c r="R10" s="89">
        <v>2.8000000000000001E-2</v>
      </c>
      <c r="S10" s="89">
        <v>7.0999999999999994E-2</v>
      </c>
      <c r="T10" s="89">
        <f t="shared" si="2"/>
        <v>0.13390000000000002</v>
      </c>
      <c r="U10" s="89">
        <f t="shared" si="3"/>
        <v>1.2379619606060603</v>
      </c>
      <c r="V10" s="90" t="s">
        <v>144</v>
      </c>
      <c r="W10" s="90" t="s">
        <v>159</v>
      </c>
    </row>
    <row r="11" spans="1:23" ht="54" x14ac:dyDescent="0.15">
      <c r="A11" s="87" t="s">
        <v>139</v>
      </c>
      <c r="B11" s="178"/>
      <c r="C11" s="88" t="s">
        <v>162</v>
      </c>
      <c r="D11" s="91" t="s">
        <v>163</v>
      </c>
      <c r="E11" s="89">
        <v>0.13</v>
      </c>
      <c r="F11" s="89">
        <v>0.24398600000000001</v>
      </c>
      <c r="G11" s="89">
        <v>0.38344400000000001</v>
      </c>
      <c r="H11" s="89">
        <v>0.43030303030303002</v>
      </c>
      <c r="I11" s="89">
        <v>6.8750000000000006E-2</v>
      </c>
      <c r="J11" s="89" t="s">
        <v>143</v>
      </c>
      <c r="K11" s="89" t="s">
        <v>143</v>
      </c>
      <c r="L11" s="89" t="s">
        <v>143</v>
      </c>
      <c r="M11" s="89" t="s">
        <v>143</v>
      </c>
      <c r="N11" s="89" t="s">
        <v>143</v>
      </c>
      <c r="O11" s="89" t="s">
        <v>143</v>
      </c>
      <c r="P11" s="89">
        <f t="shared" si="0"/>
        <v>0.49905303030303005</v>
      </c>
      <c r="Q11" s="89">
        <f t="shared" si="1"/>
        <v>0.87678605575757551</v>
      </c>
      <c r="R11" s="89">
        <v>2.8000000000000001E-2</v>
      </c>
      <c r="S11" s="89">
        <v>7.0999999999999994E-2</v>
      </c>
      <c r="T11" s="89">
        <f t="shared" si="2"/>
        <v>0.13390000000000002</v>
      </c>
      <c r="U11" s="89">
        <f t="shared" si="3"/>
        <v>1.1096860557575756</v>
      </c>
      <c r="V11" s="90" t="s">
        <v>144</v>
      </c>
      <c r="W11" s="90" t="s">
        <v>159</v>
      </c>
    </row>
    <row r="12" spans="1:23" ht="54" x14ac:dyDescent="0.15">
      <c r="A12" s="87" t="s">
        <v>139</v>
      </c>
      <c r="B12" s="178"/>
      <c r="C12" s="88" t="s">
        <v>164</v>
      </c>
      <c r="D12" s="91" t="s">
        <v>165</v>
      </c>
      <c r="E12" s="89">
        <v>0.13</v>
      </c>
      <c r="F12" s="89">
        <v>0.24398600000000001</v>
      </c>
      <c r="G12" s="89">
        <v>0.38344400000000001</v>
      </c>
      <c r="H12" s="89">
        <v>0.43030303030303002</v>
      </c>
      <c r="I12" s="89">
        <v>6.8750000000000006E-2</v>
      </c>
      <c r="J12" s="89" t="s">
        <v>143</v>
      </c>
      <c r="K12" s="89" t="s">
        <v>143</v>
      </c>
      <c r="L12" s="89" t="s">
        <v>143</v>
      </c>
      <c r="M12" s="89" t="s">
        <v>143</v>
      </c>
      <c r="N12" s="89" t="s">
        <v>143</v>
      </c>
      <c r="O12" s="89" t="s">
        <v>143</v>
      </c>
      <c r="P12" s="89">
        <f t="shared" si="0"/>
        <v>0.49905303030303005</v>
      </c>
      <c r="Q12" s="89">
        <f t="shared" si="1"/>
        <v>0.87678605575757551</v>
      </c>
      <c r="R12" s="89">
        <v>2.8000000000000001E-2</v>
      </c>
      <c r="S12" s="89">
        <v>7.0999999999999994E-2</v>
      </c>
      <c r="T12" s="89">
        <f t="shared" si="2"/>
        <v>0.13390000000000002</v>
      </c>
      <c r="U12" s="89">
        <f t="shared" si="3"/>
        <v>1.1096860557575756</v>
      </c>
      <c r="V12" s="90" t="s">
        <v>144</v>
      </c>
      <c r="W12" s="90" t="s">
        <v>159</v>
      </c>
    </row>
    <row r="13" spans="1:23" ht="40.5" x14ac:dyDescent="0.15">
      <c r="A13" s="87" t="s">
        <v>139</v>
      </c>
      <c r="B13" s="179" t="s">
        <v>166</v>
      </c>
      <c r="C13" s="88" t="s">
        <v>167</v>
      </c>
      <c r="D13" s="87" t="s">
        <v>168</v>
      </c>
      <c r="E13" s="89">
        <v>28.67</v>
      </c>
      <c r="F13" s="89">
        <v>0.29299999999999998</v>
      </c>
      <c r="G13" s="89">
        <f>E13+F13</f>
        <v>28.963000000000001</v>
      </c>
      <c r="H13" s="89">
        <v>0</v>
      </c>
      <c r="I13" s="89">
        <v>0</v>
      </c>
      <c r="J13" s="89">
        <v>0.82143333333333401</v>
      </c>
      <c r="K13" s="89">
        <v>0.48947378941441499</v>
      </c>
      <c r="L13" s="89" t="s">
        <v>143</v>
      </c>
      <c r="M13" s="89" t="s">
        <v>143</v>
      </c>
      <c r="N13" s="89">
        <v>0.224611341835422</v>
      </c>
      <c r="O13" s="89">
        <v>0.35667462971810798</v>
      </c>
      <c r="P13" s="89">
        <f t="shared" si="0"/>
        <v>1.8921930943012792</v>
      </c>
      <c r="Q13" s="89">
        <f t="shared" si="1"/>
        <v>2.5785278512755094</v>
      </c>
      <c r="R13" s="89">
        <v>1.03</v>
      </c>
      <c r="S13" s="89">
        <v>3.44</v>
      </c>
      <c r="T13" s="89">
        <f t="shared" si="2"/>
        <v>29.530100000000001</v>
      </c>
      <c r="U13" s="89">
        <f t="shared" si="3"/>
        <v>36.578627851275513</v>
      </c>
      <c r="V13" s="90" t="s">
        <v>144</v>
      </c>
      <c r="W13" s="92" t="s">
        <v>145</v>
      </c>
    </row>
    <row r="14" spans="1:23" ht="27" x14ac:dyDescent="0.15">
      <c r="A14" s="87" t="s">
        <v>139</v>
      </c>
      <c r="B14" s="180"/>
      <c r="C14" s="88" t="s">
        <v>169</v>
      </c>
      <c r="D14" s="91" t="s">
        <v>170</v>
      </c>
      <c r="E14" s="93">
        <v>0</v>
      </c>
      <c r="F14" s="93">
        <v>6.0250000000000004</v>
      </c>
      <c r="G14" s="89">
        <v>6.89</v>
      </c>
      <c r="H14" s="89">
        <v>1.47</v>
      </c>
      <c r="I14" s="89">
        <v>9.8000000000000004E-2</v>
      </c>
      <c r="J14" s="89" t="s">
        <v>143</v>
      </c>
      <c r="K14" s="89" t="s">
        <v>143</v>
      </c>
      <c r="L14" s="89" t="s">
        <v>143</v>
      </c>
      <c r="M14" s="89" t="s">
        <v>143</v>
      </c>
      <c r="N14" s="89" t="s">
        <v>143</v>
      </c>
      <c r="O14" s="89" t="s">
        <v>143</v>
      </c>
      <c r="P14" s="89">
        <f t="shared" si="0"/>
        <v>1.5680000000000001</v>
      </c>
      <c r="Q14" s="89">
        <f t="shared" si="1"/>
        <v>8.95974</v>
      </c>
      <c r="R14" s="89">
        <v>0.6</v>
      </c>
      <c r="S14" s="89">
        <v>6.88</v>
      </c>
      <c r="T14" s="89">
        <f t="shared" si="2"/>
        <v>0</v>
      </c>
      <c r="U14" s="89">
        <f t="shared" si="3"/>
        <v>16.43974</v>
      </c>
      <c r="V14" s="90" t="s">
        <v>144</v>
      </c>
      <c r="W14" s="90" t="s">
        <v>156</v>
      </c>
    </row>
    <row r="15" spans="1:23" ht="54" x14ac:dyDescent="0.15">
      <c r="A15" s="87" t="s">
        <v>139</v>
      </c>
      <c r="B15" s="180"/>
      <c r="C15" s="88" t="s">
        <v>171</v>
      </c>
      <c r="D15" s="91" t="s">
        <v>172</v>
      </c>
      <c r="E15" s="93">
        <v>0.13</v>
      </c>
      <c r="F15" s="93">
        <v>0.58775999999999995</v>
      </c>
      <c r="G15" s="89">
        <v>0.68776000000000004</v>
      </c>
      <c r="H15" s="89">
        <v>0.43030303030303002</v>
      </c>
      <c r="I15" s="89">
        <v>0.55000000000000004</v>
      </c>
      <c r="J15" s="89" t="s">
        <v>143</v>
      </c>
      <c r="K15" s="89" t="s">
        <v>143</v>
      </c>
      <c r="L15" s="89" t="s">
        <v>143</v>
      </c>
      <c r="M15" s="89" t="s">
        <v>143</v>
      </c>
      <c r="N15" s="89" t="s">
        <v>143</v>
      </c>
      <c r="O15" s="89" t="s">
        <v>143</v>
      </c>
      <c r="P15" s="89">
        <f t="shared" si="0"/>
        <v>0.98030303030303001</v>
      </c>
      <c r="Q15" s="89">
        <f t="shared" si="1"/>
        <v>1.8503143757575751</v>
      </c>
      <c r="R15" s="89">
        <v>2.8000000000000001E-2</v>
      </c>
      <c r="S15" s="89">
        <v>7.0999999999999994E-2</v>
      </c>
      <c r="T15" s="89">
        <f t="shared" si="2"/>
        <v>0.13390000000000002</v>
      </c>
      <c r="U15" s="89">
        <f t="shared" si="3"/>
        <v>2.0832143757575752</v>
      </c>
      <c r="V15" s="90" t="s">
        <v>144</v>
      </c>
      <c r="W15" s="90" t="s">
        <v>159</v>
      </c>
    </row>
    <row r="16" spans="1:23" ht="54" x14ac:dyDescent="0.15">
      <c r="A16" s="87" t="s">
        <v>139</v>
      </c>
      <c r="B16" s="180"/>
      <c r="C16" s="88" t="s">
        <v>173</v>
      </c>
      <c r="D16" s="91" t="s">
        <v>174</v>
      </c>
      <c r="E16" s="93">
        <v>0.13</v>
      </c>
      <c r="F16" s="93">
        <v>0.43789</v>
      </c>
      <c r="G16" s="89">
        <v>0.60655999999999999</v>
      </c>
      <c r="H16" s="89">
        <v>0.43030303030303002</v>
      </c>
      <c r="I16" s="89">
        <v>5.5E-2</v>
      </c>
      <c r="J16" s="89" t="s">
        <v>143</v>
      </c>
      <c r="K16" s="89" t="s">
        <v>143</v>
      </c>
      <c r="L16" s="89" t="s">
        <v>143</v>
      </c>
      <c r="M16" s="89" t="s">
        <v>143</v>
      </c>
      <c r="N16" s="89" t="s">
        <v>143</v>
      </c>
      <c r="O16" s="89" t="s">
        <v>143</v>
      </c>
      <c r="P16" s="89">
        <f t="shared" si="0"/>
        <v>0.48530303030303001</v>
      </c>
      <c r="Q16" s="89">
        <f t="shared" si="1"/>
        <v>1.0893677757575753</v>
      </c>
      <c r="R16" s="89">
        <v>2.8000000000000001E-2</v>
      </c>
      <c r="S16" s="89">
        <v>7.0999999999999994E-2</v>
      </c>
      <c r="T16" s="89">
        <f t="shared" si="2"/>
        <v>0.13390000000000002</v>
      </c>
      <c r="U16" s="89">
        <f t="shared" si="3"/>
        <v>1.3222677757575754</v>
      </c>
      <c r="V16" s="90" t="s">
        <v>144</v>
      </c>
      <c r="W16" s="90" t="s">
        <v>159</v>
      </c>
    </row>
    <row r="17" spans="1:23" ht="54" x14ac:dyDescent="0.15">
      <c r="A17" s="87" t="s">
        <v>139</v>
      </c>
      <c r="B17" s="180"/>
      <c r="C17" s="88" t="s">
        <v>175</v>
      </c>
      <c r="D17" s="91" t="s">
        <v>176</v>
      </c>
      <c r="E17" s="93">
        <v>0.13</v>
      </c>
      <c r="F17" s="93">
        <v>0.48274</v>
      </c>
      <c r="G17" s="89">
        <v>0.64595999999999998</v>
      </c>
      <c r="H17" s="89">
        <v>0.43030303030303002</v>
      </c>
      <c r="I17" s="89">
        <v>5.5E-2</v>
      </c>
      <c r="J17" s="89" t="s">
        <v>143</v>
      </c>
      <c r="K17" s="89" t="s">
        <v>143</v>
      </c>
      <c r="L17" s="89" t="s">
        <v>143</v>
      </c>
      <c r="M17" s="89" t="s">
        <v>143</v>
      </c>
      <c r="N17" s="89" t="s">
        <v>143</v>
      </c>
      <c r="O17" s="89" t="s">
        <v>143</v>
      </c>
      <c r="P17" s="89">
        <f t="shared" si="0"/>
        <v>0.48530303030303001</v>
      </c>
      <c r="Q17" s="89">
        <f t="shared" si="1"/>
        <v>1.1422907757575753</v>
      </c>
      <c r="R17" s="89">
        <v>2.8000000000000001E-2</v>
      </c>
      <c r="S17" s="89">
        <v>7.0999999999999994E-2</v>
      </c>
      <c r="T17" s="89">
        <f t="shared" si="2"/>
        <v>0.13390000000000002</v>
      </c>
      <c r="U17" s="89">
        <f t="shared" si="3"/>
        <v>1.3751907757575754</v>
      </c>
      <c r="V17" s="90" t="s">
        <v>144</v>
      </c>
      <c r="W17" s="90" t="s">
        <v>159</v>
      </c>
    </row>
    <row r="18" spans="1:23" ht="27" x14ac:dyDescent="0.15">
      <c r="A18" s="87" t="s">
        <v>139</v>
      </c>
      <c r="B18" s="179" t="s">
        <v>177</v>
      </c>
      <c r="C18" s="88" t="s">
        <v>178</v>
      </c>
      <c r="D18" s="87" t="s">
        <v>179</v>
      </c>
      <c r="E18" s="93">
        <v>18.28</v>
      </c>
      <c r="F18" s="93">
        <v>3.3</v>
      </c>
      <c r="G18" s="89">
        <f>E18+F18</f>
        <v>21.580000000000002</v>
      </c>
      <c r="H18" s="89">
        <v>1.01</v>
      </c>
      <c r="I18" s="89">
        <v>0.35</v>
      </c>
      <c r="J18" s="89">
        <v>0.86466666666666703</v>
      </c>
      <c r="K18" s="89">
        <v>0.51692091779279303</v>
      </c>
      <c r="L18" s="89" t="s">
        <v>143</v>
      </c>
      <c r="M18" s="89" t="s">
        <v>143</v>
      </c>
      <c r="N18" s="89">
        <v>0.32200000000000001</v>
      </c>
      <c r="O18" s="89">
        <v>0.51</v>
      </c>
      <c r="P18" s="89">
        <f t="shared" si="0"/>
        <v>3.5735875844594602</v>
      </c>
      <c r="Q18" s="89">
        <f t="shared" si="1"/>
        <v>8.1108333496621619</v>
      </c>
      <c r="R18" s="89">
        <v>0.7</v>
      </c>
      <c r="S18" s="89">
        <v>2.29</v>
      </c>
      <c r="T18" s="89">
        <f t="shared" si="2"/>
        <v>18.828400000000002</v>
      </c>
      <c r="U18" s="89">
        <f t="shared" si="3"/>
        <v>29.929233349662162</v>
      </c>
      <c r="V18" s="90" t="s">
        <v>144</v>
      </c>
      <c r="W18" s="92" t="s">
        <v>180</v>
      </c>
    </row>
    <row r="19" spans="1:23" ht="27" x14ac:dyDescent="0.15">
      <c r="A19" s="87" t="s">
        <v>139</v>
      </c>
      <c r="B19" s="180"/>
      <c r="C19" s="88" t="s">
        <v>181</v>
      </c>
      <c r="D19" s="91" t="s">
        <v>182</v>
      </c>
      <c r="E19" s="93">
        <v>2.77</v>
      </c>
      <c r="F19" s="93">
        <v>0.96003099999999997</v>
      </c>
      <c r="G19" s="89">
        <f>E19+F19</f>
        <v>3.7300309999999999</v>
      </c>
      <c r="H19" s="89">
        <v>1.39848484848485</v>
      </c>
      <c r="I19" s="89">
        <v>0.13800000000000001</v>
      </c>
      <c r="J19" s="89" t="s">
        <v>143</v>
      </c>
      <c r="K19" s="89" t="s">
        <v>143</v>
      </c>
      <c r="L19" s="89" t="s">
        <v>143</v>
      </c>
      <c r="M19" s="89" t="s">
        <v>143</v>
      </c>
      <c r="N19" s="89">
        <v>7.4870447278474098E-2</v>
      </c>
      <c r="O19" s="89">
        <v>0.118891543239369</v>
      </c>
      <c r="P19" s="89">
        <f t="shared" si="0"/>
        <v>1.730246839002693</v>
      </c>
      <c r="Q19" s="89">
        <f t="shared" si="1"/>
        <v>3.1745278500231779</v>
      </c>
      <c r="R19" s="89">
        <v>0.11</v>
      </c>
      <c r="S19" s="89">
        <v>0.69</v>
      </c>
      <c r="T19" s="89">
        <f t="shared" si="2"/>
        <v>2.8531</v>
      </c>
      <c r="U19" s="89">
        <f t="shared" si="3"/>
        <v>6.8276278500231777</v>
      </c>
      <c r="V19" s="90" t="s">
        <v>144</v>
      </c>
      <c r="W19" s="90" t="s">
        <v>183</v>
      </c>
    </row>
    <row r="20" spans="1:23" ht="54" x14ac:dyDescent="0.15">
      <c r="A20" s="87" t="s">
        <v>139</v>
      </c>
      <c r="B20" s="180"/>
      <c r="C20" s="88" t="s">
        <v>184</v>
      </c>
      <c r="D20" s="91" t="s">
        <v>89</v>
      </c>
      <c r="E20" s="93">
        <v>0</v>
      </c>
      <c r="F20" s="93">
        <v>3.82</v>
      </c>
      <c r="G20" s="89">
        <v>4.37924325</v>
      </c>
      <c r="H20" s="89">
        <v>0.25</v>
      </c>
      <c r="I20" s="89">
        <v>1.32E-2</v>
      </c>
      <c r="J20" s="89" t="s">
        <v>143</v>
      </c>
      <c r="K20" s="89" t="s">
        <v>143</v>
      </c>
      <c r="L20" s="89" t="s">
        <v>143</v>
      </c>
      <c r="M20" s="89" t="s">
        <v>143</v>
      </c>
      <c r="N20" s="89" t="s">
        <v>143</v>
      </c>
      <c r="O20" s="89" t="s">
        <v>143</v>
      </c>
      <c r="P20" s="89">
        <f t="shared" si="0"/>
        <v>0.26319999999999999</v>
      </c>
      <c r="Q20" s="89">
        <f t="shared" si="1"/>
        <v>4.8181759999999993</v>
      </c>
      <c r="R20" s="89">
        <v>0.3</v>
      </c>
      <c r="S20" s="89">
        <v>4</v>
      </c>
      <c r="T20" s="89">
        <f t="shared" si="2"/>
        <v>0</v>
      </c>
      <c r="U20" s="89">
        <f t="shared" si="3"/>
        <v>9.1181759999999983</v>
      </c>
      <c r="V20" s="90" t="s">
        <v>144</v>
      </c>
      <c r="W20" s="90" t="s">
        <v>159</v>
      </c>
    </row>
    <row r="21" spans="1:23" ht="27" x14ac:dyDescent="0.15">
      <c r="A21" s="87" t="s">
        <v>139</v>
      </c>
      <c r="B21" s="180"/>
      <c r="C21" s="88" t="s">
        <v>185</v>
      </c>
      <c r="D21" s="91" t="s">
        <v>92</v>
      </c>
      <c r="E21" s="93">
        <v>0</v>
      </c>
      <c r="F21" s="93">
        <v>1.37</v>
      </c>
      <c r="G21" s="89">
        <v>1.573</v>
      </c>
      <c r="H21" s="89">
        <v>0.14299999999999999</v>
      </c>
      <c r="I21" s="89">
        <v>1.32E-2</v>
      </c>
      <c r="J21" s="89" t="s">
        <v>143</v>
      </c>
      <c r="K21" s="89" t="s">
        <v>143</v>
      </c>
      <c r="L21" s="89" t="s">
        <v>143</v>
      </c>
      <c r="M21" s="89" t="s">
        <v>143</v>
      </c>
      <c r="N21" s="89" t="s">
        <v>143</v>
      </c>
      <c r="O21" s="89" t="s">
        <v>143</v>
      </c>
      <c r="P21" s="89">
        <f t="shared" si="0"/>
        <v>0.15619999999999998</v>
      </c>
      <c r="Q21" s="89">
        <f t="shared" si="1"/>
        <v>1.800916</v>
      </c>
      <c r="R21" s="89">
        <v>0.14000000000000001</v>
      </c>
      <c r="S21" s="89">
        <v>0.98</v>
      </c>
      <c r="T21" s="89">
        <f t="shared" si="2"/>
        <v>0</v>
      </c>
      <c r="U21" s="89">
        <f t="shared" si="3"/>
        <v>2.9209160000000001</v>
      </c>
      <c r="V21" s="90" t="s">
        <v>144</v>
      </c>
      <c r="W21" s="90" t="s">
        <v>186</v>
      </c>
    </row>
    <row r="22" spans="1:23" ht="54" x14ac:dyDescent="0.15">
      <c r="A22" s="87" t="s">
        <v>139</v>
      </c>
      <c r="B22" s="180"/>
      <c r="C22" s="88" t="s">
        <v>187</v>
      </c>
      <c r="D22" s="91" t="s">
        <v>188</v>
      </c>
      <c r="E22" s="93">
        <v>0.13</v>
      </c>
      <c r="F22" s="93">
        <v>0.70660699999999999</v>
      </c>
      <c r="G22" s="89">
        <v>0.91767799999999999</v>
      </c>
      <c r="H22" s="89">
        <v>0.43030303030303002</v>
      </c>
      <c r="I22" s="89">
        <v>5.5E-2</v>
      </c>
      <c r="J22" s="89" t="s">
        <v>143</v>
      </c>
      <c r="K22" s="89" t="s">
        <v>143</v>
      </c>
      <c r="L22" s="89" t="s">
        <v>143</v>
      </c>
      <c r="M22" s="89" t="s">
        <v>143</v>
      </c>
      <c r="N22" s="89" t="s">
        <v>143</v>
      </c>
      <c r="O22" s="89" t="s">
        <v>143</v>
      </c>
      <c r="P22" s="89">
        <f t="shared" si="0"/>
        <v>0.48530303030303001</v>
      </c>
      <c r="Q22" s="89">
        <f t="shared" si="1"/>
        <v>1.4064538357575751</v>
      </c>
      <c r="R22" s="89">
        <v>2.8000000000000001E-2</v>
      </c>
      <c r="S22" s="89">
        <v>7.0999999999999994E-2</v>
      </c>
      <c r="T22" s="89">
        <f t="shared" si="2"/>
        <v>0.13390000000000002</v>
      </c>
      <c r="U22" s="89">
        <f t="shared" si="3"/>
        <v>1.6393538357575752</v>
      </c>
      <c r="V22" s="90" t="s">
        <v>144</v>
      </c>
      <c r="W22" s="90" t="s">
        <v>159</v>
      </c>
    </row>
    <row r="23" spans="1:23" ht="54" x14ac:dyDescent="0.15">
      <c r="A23" s="87" t="s">
        <v>139</v>
      </c>
      <c r="B23" s="180"/>
      <c r="C23" s="88" t="s">
        <v>175</v>
      </c>
      <c r="D23" s="91" t="s">
        <v>176</v>
      </c>
      <c r="E23" s="93">
        <v>0.13</v>
      </c>
      <c r="F23" s="93">
        <v>0.48274</v>
      </c>
      <c r="G23" s="89">
        <v>0.64595999999999998</v>
      </c>
      <c r="H23" s="89">
        <v>0.43030303030303002</v>
      </c>
      <c r="I23" s="89">
        <v>5.5E-2</v>
      </c>
      <c r="J23" s="89" t="s">
        <v>143</v>
      </c>
      <c r="K23" s="89" t="s">
        <v>143</v>
      </c>
      <c r="L23" s="89" t="s">
        <v>143</v>
      </c>
      <c r="M23" s="89" t="s">
        <v>143</v>
      </c>
      <c r="N23" s="89" t="s">
        <v>143</v>
      </c>
      <c r="O23" s="89" t="s">
        <v>143</v>
      </c>
      <c r="P23" s="89">
        <f t="shared" si="0"/>
        <v>0.48530303030303001</v>
      </c>
      <c r="Q23" s="89">
        <f t="shared" si="1"/>
        <v>1.1422907757575753</v>
      </c>
      <c r="R23" s="89">
        <v>2.8000000000000001E-2</v>
      </c>
      <c r="S23" s="89">
        <v>7.0999999999999994E-2</v>
      </c>
      <c r="T23" s="89">
        <f t="shared" si="2"/>
        <v>0.13390000000000002</v>
      </c>
      <c r="U23" s="89">
        <f t="shared" si="3"/>
        <v>1.3751907757575754</v>
      </c>
      <c r="V23" s="90" t="s">
        <v>144</v>
      </c>
      <c r="W23" s="90" t="s">
        <v>159</v>
      </c>
    </row>
    <row r="24" spans="1:23" ht="54" x14ac:dyDescent="0.15">
      <c r="A24" s="87" t="s">
        <v>139</v>
      </c>
      <c r="B24" s="180"/>
      <c r="C24" s="88" t="s">
        <v>189</v>
      </c>
      <c r="D24" s="91" t="s">
        <v>190</v>
      </c>
      <c r="E24" s="93">
        <v>0.13</v>
      </c>
      <c r="F24" s="93">
        <v>0.85934200000000005</v>
      </c>
      <c r="G24" s="89">
        <v>0.95934200000000003</v>
      </c>
      <c r="H24" s="89">
        <v>0.34424242424242402</v>
      </c>
      <c r="I24" s="89">
        <v>5.5E-2</v>
      </c>
      <c r="J24" s="89" t="s">
        <v>143</v>
      </c>
      <c r="K24" s="89" t="s">
        <v>143</v>
      </c>
      <c r="L24" s="89" t="s">
        <v>143</v>
      </c>
      <c r="M24" s="89" t="s">
        <v>143</v>
      </c>
      <c r="N24" s="89" t="s">
        <v>143</v>
      </c>
      <c r="O24" s="89" t="s">
        <v>143</v>
      </c>
      <c r="P24" s="89">
        <f t="shared" si="0"/>
        <v>0.39924242424242401</v>
      </c>
      <c r="Q24" s="89">
        <f t="shared" si="1"/>
        <v>1.4851296206060602</v>
      </c>
      <c r="R24" s="89">
        <v>2.8000000000000001E-2</v>
      </c>
      <c r="S24" s="89">
        <v>7.0999999999999994E-2</v>
      </c>
      <c r="T24" s="89">
        <f t="shared" si="2"/>
        <v>0.13390000000000002</v>
      </c>
      <c r="U24" s="89">
        <f t="shared" si="3"/>
        <v>1.7180296206060603</v>
      </c>
      <c r="V24" s="90" t="s">
        <v>144</v>
      </c>
      <c r="W24" s="90" t="s">
        <v>159</v>
      </c>
    </row>
    <row r="25" spans="1:23" ht="54" x14ac:dyDescent="0.15">
      <c r="A25" s="87" t="s">
        <v>139</v>
      </c>
      <c r="B25" s="180"/>
      <c r="C25" s="88" t="s">
        <v>191</v>
      </c>
      <c r="D25" s="91" t="s">
        <v>192</v>
      </c>
      <c r="E25" s="93">
        <v>0</v>
      </c>
      <c r="F25" s="93">
        <v>1.951338</v>
      </c>
      <c r="G25" s="89">
        <v>1.951338</v>
      </c>
      <c r="H25" s="89">
        <v>0.60242424242424197</v>
      </c>
      <c r="I25" s="89">
        <v>0.20275000000000001</v>
      </c>
      <c r="J25" s="89" t="s">
        <v>143</v>
      </c>
      <c r="K25" s="89" t="s">
        <v>143</v>
      </c>
      <c r="L25" s="89" t="s">
        <v>143</v>
      </c>
      <c r="M25" s="89" t="s">
        <v>143</v>
      </c>
      <c r="N25" s="89" t="s">
        <v>143</v>
      </c>
      <c r="O25" s="89" t="s">
        <v>143</v>
      </c>
      <c r="P25" s="89">
        <f t="shared" si="0"/>
        <v>0.80517424242424196</v>
      </c>
      <c r="Q25" s="89">
        <f t="shared" si="1"/>
        <v>3.2526844460606053</v>
      </c>
      <c r="R25" s="89">
        <v>8.7499999999999994E-2</v>
      </c>
      <c r="S25" s="89">
        <v>0.33</v>
      </c>
      <c r="T25" s="89">
        <f t="shared" si="2"/>
        <v>0</v>
      </c>
      <c r="U25" s="89">
        <f t="shared" si="3"/>
        <v>3.6701844460606052</v>
      </c>
      <c r="V25" s="90" t="s">
        <v>144</v>
      </c>
      <c r="W25" s="90" t="s">
        <v>193</v>
      </c>
    </row>
    <row r="26" spans="1:23" ht="27" x14ac:dyDescent="0.15">
      <c r="A26" s="87" t="s">
        <v>139</v>
      </c>
      <c r="B26" s="178" t="s">
        <v>194</v>
      </c>
      <c r="C26" s="88" t="s">
        <v>178</v>
      </c>
      <c r="D26" s="87" t="s">
        <v>179</v>
      </c>
      <c r="E26" s="93">
        <v>18.28</v>
      </c>
      <c r="F26" s="93">
        <v>3.3</v>
      </c>
      <c r="G26" s="89">
        <f>E26+F26</f>
        <v>21.580000000000002</v>
      </c>
      <c r="H26" s="89">
        <v>1.01</v>
      </c>
      <c r="I26" s="89">
        <v>0.35</v>
      </c>
      <c r="J26" s="89">
        <v>0.86466666666666703</v>
      </c>
      <c r="K26" s="89">
        <v>0.51692091779279303</v>
      </c>
      <c r="L26" s="89" t="s">
        <v>143</v>
      </c>
      <c r="M26" s="89" t="s">
        <v>143</v>
      </c>
      <c r="N26" s="89">
        <v>0.32200000000000001</v>
      </c>
      <c r="O26" s="89">
        <v>0.51</v>
      </c>
      <c r="P26" s="89">
        <f t="shared" si="0"/>
        <v>3.5735875844594602</v>
      </c>
      <c r="Q26" s="89">
        <f t="shared" si="1"/>
        <v>8.1108333496621619</v>
      </c>
      <c r="R26" s="89">
        <v>0.7</v>
      </c>
      <c r="S26" s="89">
        <v>2.29</v>
      </c>
      <c r="T26" s="89">
        <f t="shared" si="2"/>
        <v>18.828400000000002</v>
      </c>
      <c r="U26" s="89">
        <f t="shared" si="3"/>
        <v>29.929233349662162</v>
      </c>
      <c r="V26" s="90" t="s">
        <v>144</v>
      </c>
      <c r="W26" s="90" t="s">
        <v>195</v>
      </c>
    </row>
    <row r="27" spans="1:23" ht="27" x14ac:dyDescent="0.15">
      <c r="A27" s="87" t="s">
        <v>139</v>
      </c>
      <c r="B27" s="178"/>
      <c r="C27" s="88" t="s">
        <v>181</v>
      </c>
      <c r="D27" s="91" t="s">
        <v>182</v>
      </c>
      <c r="E27" s="93">
        <v>2.77</v>
      </c>
      <c r="F27" s="93">
        <v>0.96003099999999997</v>
      </c>
      <c r="G27" s="89">
        <v>3.7300309999999999</v>
      </c>
      <c r="H27" s="89">
        <v>1.39848484848485</v>
      </c>
      <c r="I27" s="89">
        <v>0.13800000000000001</v>
      </c>
      <c r="J27" s="89" t="s">
        <v>143</v>
      </c>
      <c r="K27" s="89" t="s">
        <v>143</v>
      </c>
      <c r="L27" s="89" t="s">
        <v>143</v>
      </c>
      <c r="M27" s="89" t="s">
        <v>143</v>
      </c>
      <c r="N27" s="89">
        <v>7.4870447278474098E-2</v>
      </c>
      <c r="O27" s="89">
        <v>0.118891543239369</v>
      </c>
      <c r="P27" s="89">
        <f t="shared" si="0"/>
        <v>1.730246839002693</v>
      </c>
      <c r="Q27" s="89">
        <f t="shared" si="1"/>
        <v>3.1745278500231779</v>
      </c>
      <c r="R27" s="89">
        <v>0.11</v>
      </c>
      <c r="S27" s="89">
        <v>0.69</v>
      </c>
      <c r="T27" s="89">
        <f t="shared" si="2"/>
        <v>2.8531</v>
      </c>
      <c r="U27" s="89">
        <f t="shared" si="3"/>
        <v>6.8276278500231777</v>
      </c>
      <c r="V27" s="90" t="s">
        <v>144</v>
      </c>
      <c r="W27" s="90" t="s">
        <v>183</v>
      </c>
    </row>
    <row r="28" spans="1:23" ht="27" x14ac:dyDescent="0.15">
      <c r="A28" s="87" t="s">
        <v>139</v>
      </c>
      <c r="B28" s="178"/>
      <c r="C28" s="88" t="s">
        <v>196</v>
      </c>
      <c r="D28" s="87" t="s">
        <v>115</v>
      </c>
      <c r="E28" s="93">
        <v>0</v>
      </c>
      <c r="F28" s="93">
        <v>3.71</v>
      </c>
      <c r="G28" s="89">
        <v>4.246048</v>
      </c>
      <c r="H28" s="89">
        <v>0.25</v>
      </c>
      <c r="I28" s="89">
        <v>1.32E-2</v>
      </c>
      <c r="J28" s="89" t="s">
        <v>143</v>
      </c>
      <c r="K28" s="89" t="s">
        <v>143</v>
      </c>
      <c r="L28" s="89" t="s">
        <v>143</v>
      </c>
      <c r="M28" s="89" t="s">
        <v>143</v>
      </c>
      <c r="N28" s="89" t="s">
        <v>143</v>
      </c>
      <c r="O28" s="89" t="s">
        <v>143</v>
      </c>
      <c r="P28" s="89">
        <f t="shared" si="0"/>
        <v>0.26319999999999999</v>
      </c>
      <c r="Q28" s="89">
        <f t="shared" si="1"/>
        <v>4.6883759999999999</v>
      </c>
      <c r="R28" s="89">
        <v>0.3</v>
      </c>
      <c r="S28" s="89">
        <v>3.44</v>
      </c>
      <c r="T28" s="89">
        <f t="shared" si="2"/>
        <v>0</v>
      </c>
      <c r="U28" s="89">
        <f t="shared" si="3"/>
        <v>8.4283760000000001</v>
      </c>
      <c r="V28" s="90" t="s">
        <v>144</v>
      </c>
      <c r="W28" s="90" t="s">
        <v>156</v>
      </c>
    </row>
    <row r="29" spans="1:23" ht="27" x14ac:dyDescent="0.15">
      <c r="A29" s="87" t="s">
        <v>139</v>
      </c>
      <c r="B29" s="178"/>
      <c r="C29" s="88" t="s">
        <v>197</v>
      </c>
      <c r="D29" s="87" t="s">
        <v>116</v>
      </c>
      <c r="E29" s="93">
        <v>0</v>
      </c>
      <c r="F29" s="93">
        <v>1.26</v>
      </c>
      <c r="G29" s="89">
        <v>1.4402587499999999</v>
      </c>
      <c r="H29" s="89">
        <v>0.14299999999999999</v>
      </c>
      <c r="I29" s="89">
        <v>1.32E-2</v>
      </c>
      <c r="J29" s="89" t="s">
        <v>143</v>
      </c>
      <c r="K29" s="89" t="s">
        <v>143</v>
      </c>
      <c r="L29" s="89" t="s">
        <v>143</v>
      </c>
      <c r="M29" s="89" t="s">
        <v>143</v>
      </c>
      <c r="N29" s="89" t="s">
        <v>143</v>
      </c>
      <c r="O29" s="89" t="s">
        <v>143</v>
      </c>
      <c r="P29" s="89">
        <f t="shared" si="0"/>
        <v>0.15619999999999998</v>
      </c>
      <c r="Q29" s="89">
        <f t="shared" si="1"/>
        <v>1.6711159999999998</v>
      </c>
      <c r="R29" s="89">
        <v>0.14000000000000001</v>
      </c>
      <c r="S29" s="89">
        <v>0.38</v>
      </c>
      <c r="T29" s="89">
        <f t="shared" si="2"/>
        <v>0</v>
      </c>
      <c r="U29" s="89">
        <f t="shared" si="3"/>
        <v>2.1911160000000001</v>
      </c>
      <c r="V29" s="90" t="s">
        <v>144</v>
      </c>
      <c r="W29" s="90" t="s">
        <v>186</v>
      </c>
    </row>
    <row r="30" spans="1:23" ht="27" x14ac:dyDescent="0.15">
      <c r="A30" s="87" t="s">
        <v>139</v>
      </c>
      <c r="B30" s="178"/>
      <c r="C30" s="88" t="s">
        <v>187</v>
      </c>
      <c r="D30" s="91" t="s">
        <v>188</v>
      </c>
      <c r="E30" s="93">
        <v>0.13</v>
      </c>
      <c r="F30" s="93">
        <v>0.70660699999999999</v>
      </c>
      <c r="G30" s="89">
        <v>0.91767799999999999</v>
      </c>
      <c r="H30" s="89">
        <v>0.43030303030303002</v>
      </c>
      <c r="I30" s="89">
        <v>5.5E-2</v>
      </c>
      <c r="J30" s="89" t="s">
        <v>143</v>
      </c>
      <c r="K30" s="89" t="s">
        <v>143</v>
      </c>
      <c r="L30" s="89" t="s">
        <v>143</v>
      </c>
      <c r="M30" s="89" t="s">
        <v>143</v>
      </c>
      <c r="N30" s="89" t="s">
        <v>143</v>
      </c>
      <c r="O30" s="89" t="s">
        <v>143</v>
      </c>
      <c r="P30" s="89">
        <f t="shared" si="0"/>
        <v>0.48530303030303001</v>
      </c>
      <c r="Q30" s="89">
        <f t="shared" si="1"/>
        <v>1.4064538357575751</v>
      </c>
      <c r="R30" s="89">
        <v>2.8000000000000001E-2</v>
      </c>
      <c r="S30" s="89">
        <v>3.44</v>
      </c>
      <c r="T30" s="89">
        <f t="shared" si="2"/>
        <v>0.13390000000000002</v>
      </c>
      <c r="U30" s="89">
        <f t="shared" si="3"/>
        <v>5.0083538357575748</v>
      </c>
      <c r="V30" s="90" t="s">
        <v>144</v>
      </c>
      <c r="W30" s="90" t="s">
        <v>156</v>
      </c>
    </row>
    <row r="31" spans="1:23" ht="54" x14ac:dyDescent="0.15">
      <c r="A31" s="87" t="s">
        <v>139</v>
      </c>
      <c r="B31" s="178"/>
      <c r="C31" s="88" t="s">
        <v>175</v>
      </c>
      <c r="D31" s="87" t="s">
        <v>176</v>
      </c>
      <c r="E31" s="93">
        <v>0.13</v>
      </c>
      <c r="F31" s="93">
        <v>0.48274</v>
      </c>
      <c r="G31" s="89">
        <v>0.64595999999999998</v>
      </c>
      <c r="H31" s="89">
        <v>0.43030303030303002</v>
      </c>
      <c r="I31" s="89">
        <v>5.5E-2</v>
      </c>
      <c r="J31" s="89" t="s">
        <v>143</v>
      </c>
      <c r="K31" s="89" t="s">
        <v>143</v>
      </c>
      <c r="L31" s="89" t="s">
        <v>143</v>
      </c>
      <c r="M31" s="89" t="s">
        <v>143</v>
      </c>
      <c r="N31" s="89" t="s">
        <v>143</v>
      </c>
      <c r="O31" s="89" t="s">
        <v>143</v>
      </c>
      <c r="P31" s="89">
        <f t="shared" si="0"/>
        <v>0.48530303030303001</v>
      </c>
      <c r="Q31" s="89">
        <f t="shared" si="1"/>
        <v>1.1422907757575753</v>
      </c>
      <c r="R31" s="89">
        <v>2.8000000000000001E-2</v>
      </c>
      <c r="S31" s="89">
        <v>7.0999999999999994E-2</v>
      </c>
      <c r="T31" s="89">
        <f t="shared" si="2"/>
        <v>0.13390000000000002</v>
      </c>
      <c r="U31" s="89">
        <f t="shared" si="3"/>
        <v>1.3751907757575754</v>
      </c>
      <c r="V31" s="90" t="s">
        <v>144</v>
      </c>
      <c r="W31" s="90" t="s">
        <v>159</v>
      </c>
    </row>
    <row r="32" spans="1:23" ht="54" x14ac:dyDescent="0.15">
      <c r="A32" s="87" t="s">
        <v>139</v>
      </c>
      <c r="B32" s="178"/>
      <c r="C32" s="88" t="s">
        <v>189</v>
      </c>
      <c r="D32" s="91" t="s">
        <v>190</v>
      </c>
      <c r="E32" s="93">
        <v>0.13</v>
      </c>
      <c r="F32" s="93">
        <v>0.85934200000000005</v>
      </c>
      <c r="G32" s="89">
        <v>0.95934200000000003</v>
      </c>
      <c r="H32" s="89">
        <v>0.34424242424242402</v>
      </c>
      <c r="I32" s="89">
        <v>5.5E-2</v>
      </c>
      <c r="J32" s="89" t="s">
        <v>143</v>
      </c>
      <c r="K32" s="89" t="s">
        <v>143</v>
      </c>
      <c r="L32" s="89" t="s">
        <v>143</v>
      </c>
      <c r="M32" s="89" t="s">
        <v>143</v>
      </c>
      <c r="N32" s="89" t="s">
        <v>143</v>
      </c>
      <c r="O32" s="89" t="s">
        <v>143</v>
      </c>
      <c r="P32" s="89">
        <f t="shared" si="0"/>
        <v>0.39924242424242401</v>
      </c>
      <c r="Q32" s="89">
        <f t="shared" si="1"/>
        <v>1.4851296206060602</v>
      </c>
      <c r="R32" s="89">
        <v>2.8000000000000001E-2</v>
      </c>
      <c r="S32" s="89">
        <v>7.0999999999999994E-2</v>
      </c>
      <c r="T32" s="89">
        <f t="shared" si="2"/>
        <v>0.13390000000000002</v>
      </c>
      <c r="U32" s="89">
        <f t="shared" si="3"/>
        <v>1.7180296206060603</v>
      </c>
      <c r="V32" s="90" t="s">
        <v>144</v>
      </c>
      <c r="W32" s="90" t="s">
        <v>159</v>
      </c>
    </row>
    <row r="33" spans="1:23" ht="54" x14ac:dyDescent="0.15">
      <c r="A33" s="87" t="s">
        <v>139</v>
      </c>
      <c r="B33" s="178"/>
      <c r="C33" s="88" t="s">
        <v>191</v>
      </c>
      <c r="D33" s="91" t="s">
        <v>192</v>
      </c>
      <c r="E33" s="93">
        <v>0</v>
      </c>
      <c r="F33" s="93">
        <v>1.951338</v>
      </c>
      <c r="G33" s="89">
        <v>1.951338</v>
      </c>
      <c r="H33" s="89">
        <v>0.60242424242424197</v>
      </c>
      <c r="I33" s="89">
        <v>0.20275000000000001</v>
      </c>
      <c r="J33" s="89" t="s">
        <v>143</v>
      </c>
      <c r="K33" s="89" t="s">
        <v>143</v>
      </c>
      <c r="L33" s="89" t="s">
        <v>143</v>
      </c>
      <c r="M33" s="89" t="s">
        <v>143</v>
      </c>
      <c r="N33" s="89" t="s">
        <v>143</v>
      </c>
      <c r="O33" s="89" t="s">
        <v>143</v>
      </c>
      <c r="P33" s="89">
        <f t="shared" si="0"/>
        <v>0.80517424242424196</v>
      </c>
      <c r="Q33" s="89">
        <f t="shared" si="1"/>
        <v>3.2526844460606053</v>
      </c>
      <c r="R33" s="89">
        <v>8.7499999999999994E-2</v>
      </c>
      <c r="S33" s="89">
        <v>0.33</v>
      </c>
      <c r="T33" s="89">
        <f t="shared" si="2"/>
        <v>0</v>
      </c>
      <c r="U33" s="89">
        <f t="shared" si="3"/>
        <v>3.6701844460606052</v>
      </c>
      <c r="V33" s="90" t="s">
        <v>144</v>
      </c>
      <c r="W33" s="90" t="s">
        <v>193</v>
      </c>
    </row>
  </sheetData>
  <mergeCells count="5">
    <mergeCell ref="A1:U1"/>
    <mergeCell ref="B3:B12"/>
    <mergeCell ref="B13:B17"/>
    <mergeCell ref="B18:B25"/>
    <mergeCell ref="B26:B33"/>
  </mergeCells>
  <phoneticPr fontId="6" type="noConversion"/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4"/>
  <sheetViews>
    <sheetView workbookViewId="0">
      <selection activeCell="V75" sqref="V75"/>
    </sheetView>
  </sheetViews>
  <sheetFormatPr defaultColWidth="9" defaultRowHeight="13.5" x14ac:dyDescent="0.15"/>
  <cols>
    <col min="1" max="1" width="5.5" customWidth="1"/>
    <col min="3" max="3" width="8.875" customWidth="1"/>
    <col min="4" max="4" width="10.625" customWidth="1"/>
    <col min="5" max="5" width="9.875" customWidth="1"/>
    <col min="6" max="6" width="7.625" customWidth="1"/>
    <col min="7" max="7" width="10.625" customWidth="1"/>
    <col min="8" max="11" width="8.125" customWidth="1"/>
    <col min="12" max="12" width="8.375" customWidth="1"/>
    <col min="13" max="13" width="8.625" customWidth="1"/>
    <col min="16" max="16" width="9" style="134" customWidth="1"/>
    <col min="18" max="18" width="9.875" style="134" customWidth="1"/>
    <col min="19" max="19" width="10.125" customWidth="1"/>
    <col min="20" max="20" width="9" style="135"/>
  </cols>
  <sheetData>
    <row r="1" spans="1:22" ht="33.950000000000003" customHeight="1" x14ac:dyDescent="0.15">
      <c r="A1" s="181" t="s">
        <v>198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2"/>
      <c r="Q1" s="181"/>
      <c r="R1" s="182"/>
      <c r="S1" s="181"/>
      <c r="T1" s="183"/>
    </row>
    <row r="2" spans="1:22" s="94" customFormat="1" ht="15" x14ac:dyDescent="0.15">
      <c r="A2" s="184" t="s">
        <v>199</v>
      </c>
      <c r="B2" s="186" t="s">
        <v>2</v>
      </c>
      <c r="C2" s="188" t="s">
        <v>3</v>
      </c>
      <c r="D2" s="186" t="s">
        <v>200</v>
      </c>
      <c r="E2" s="190" t="s">
        <v>201</v>
      </c>
      <c r="F2" s="186" t="s">
        <v>202</v>
      </c>
      <c r="G2" s="192" t="s">
        <v>5</v>
      </c>
      <c r="H2" s="194" t="s">
        <v>203</v>
      </c>
      <c r="I2" s="195"/>
      <c r="J2" s="196" t="s">
        <v>204</v>
      </c>
      <c r="K2" s="197"/>
      <c r="L2" s="197"/>
      <c r="M2" s="194" t="s">
        <v>9</v>
      </c>
      <c r="N2" s="194" t="s">
        <v>205</v>
      </c>
      <c r="O2" s="195"/>
      <c r="P2" s="198"/>
      <c r="Q2" s="195"/>
      <c r="R2" s="198"/>
      <c r="S2" s="194" t="s">
        <v>206</v>
      </c>
      <c r="T2" s="199" t="s">
        <v>207</v>
      </c>
    </row>
    <row r="3" spans="1:22" s="94" customFormat="1" ht="15" x14ac:dyDescent="0.15">
      <c r="A3" s="185"/>
      <c r="B3" s="187"/>
      <c r="C3" s="189"/>
      <c r="D3" s="187"/>
      <c r="E3" s="191"/>
      <c r="F3" s="187"/>
      <c r="G3" s="193"/>
      <c r="H3" s="95" t="s">
        <v>208</v>
      </c>
      <c r="I3" s="95" t="s">
        <v>209</v>
      </c>
      <c r="J3" s="96" t="s">
        <v>210</v>
      </c>
      <c r="K3" s="96" t="s">
        <v>211</v>
      </c>
      <c r="L3" s="96" t="s">
        <v>209</v>
      </c>
      <c r="M3" s="195"/>
      <c r="N3" s="97" t="s">
        <v>212</v>
      </c>
      <c r="O3" s="95" t="s">
        <v>213</v>
      </c>
      <c r="P3" s="98" t="s">
        <v>214</v>
      </c>
      <c r="Q3" s="99" t="s">
        <v>215</v>
      </c>
      <c r="R3" s="100" t="s">
        <v>12</v>
      </c>
      <c r="S3" s="195"/>
      <c r="T3" s="200"/>
      <c r="V3" s="136" t="s">
        <v>243</v>
      </c>
    </row>
    <row r="4" spans="1:22" s="113" customFormat="1" ht="27" customHeight="1" x14ac:dyDescent="0.15">
      <c r="A4" s="201">
        <v>1</v>
      </c>
      <c r="B4" s="204" t="s">
        <v>20</v>
      </c>
      <c r="C4" s="201"/>
      <c r="D4" s="101" t="s">
        <v>25</v>
      </c>
      <c r="E4" s="102" t="s">
        <v>26</v>
      </c>
      <c r="F4" s="103">
        <v>2</v>
      </c>
      <c r="G4" s="104" t="s">
        <v>27</v>
      </c>
      <c r="H4" s="105">
        <v>4.5</v>
      </c>
      <c r="I4" s="105">
        <v>2.1</v>
      </c>
      <c r="J4" s="106">
        <f>K4*1.3</f>
        <v>9.6199999999999994E-2</v>
      </c>
      <c r="K4" s="107">
        <f>0.037*F4</f>
        <v>7.3999999999999996E-2</v>
      </c>
      <c r="L4" s="108">
        <f>J4-K4</f>
        <v>2.2199999999999998E-2</v>
      </c>
      <c r="M4" s="105">
        <f>H4*J4-I4*L4</f>
        <v>0.38627999999999996</v>
      </c>
      <c r="N4" s="109" t="s">
        <v>216</v>
      </c>
      <c r="O4" s="110" t="s">
        <v>217</v>
      </c>
      <c r="P4" s="111">
        <v>0.1</v>
      </c>
      <c r="Q4" s="112">
        <v>1</v>
      </c>
      <c r="R4" s="111">
        <f>(P4*Q4)*F4</f>
        <v>0.2</v>
      </c>
      <c r="S4" s="205">
        <v>1.1499999999999999</v>
      </c>
      <c r="T4" s="206">
        <f>(M12+R12)*S4</f>
        <v>4.634085999999999</v>
      </c>
      <c r="V4" s="113">
        <v>5.15</v>
      </c>
    </row>
    <row r="5" spans="1:22" s="113" customFormat="1" ht="14.25" x14ac:dyDescent="0.15">
      <c r="A5" s="202"/>
      <c r="B5" s="202"/>
      <c r="C5" s="202"/>
      <c r="D5" s="209"/>
      <c r="E5" s="210"/>
      <c r="F5" s="210"/>
      <c r="G5" s="210"/>
      <c r="H5" s="210"/>
      <c r="I5" s="210"/>
      <c r="J5" s="210"/>
      <c r="K5" s="210"/>
      <c r="L5" s="210"/>
      <c r="M5" s="211"/>
      <c r="N5" s="109" t="s">
        <v>218</v>
      </c>
      <c r="O5" s="114" t="s">
        <v>219</v>
      </c>
      <c r="P5" s="111">
        <v>0.09</v>
      </c>
      <c r="Q5" s="112">
        <v>1</v>
      </c>
      <c r="R5" s="111">
        <f>(P5*Q5)*F4</f>
        <v>0.18</v>
      </c>
      <c r="S5" s="205"/>
      <c r="T5" s="207"/>
    </row>
    <row r="6" spans="1:22" s="113" customFormat="1" ht="14.25" x14ac:dyDescent="0.15">
      <c r="A6" s="202"/>
      <c r="B6" s="202"/>
      <c r="C6" s="202"/>
      <c r="D6" s="212"/>
      <c r="E6" s="213"/>
      <c r="F6" s="213"/>
      <c r="G6" s="213"/>
      <c r="H6" s="213"/>
      <c r="I6" s="213"/>
      <c r="J6" s="213"/>
      <c r="K6" s="213"/>
      <c r="L6" s="213"/>
      <c r="M6" s="214"/>
      <c r="N6" s="109" t="s">
        <v>220</v>
      </c>
      <c r="O6" s="114" t="s">
        <v>221</v>
      </c>
      <c r="P6" s="111">
        <v>0.08</v>
      </c>
      <c r="Q6" s="112">
        <v>1</v>
      </c>
      <c r="R6" s="111">
        <f>(P6*Q6)*F4</f>
        <v>0.16</v>
      </c>
      <c r="S6" s="205"/>
      <c r="T6" s="207"/>
    </row>
    <row r="7" spans="1:22" s="113" customFormat="1" ht="14.25" x14ac:dyDescent="0.15">
      <c r="A7" s="202"/>
      <c r="B7" s="202"/>
      <c r="C7" s="202"/>
      <c r="D7" s="215"/>
      <c r="E7" s="216"/>
      <c r="F7" s="216"/>
      <c r="G7" s="216"/>
      <c r="H7" s="216"/>
      <c r="I7" s="216"/>
      <c r="J7" s="216"/>
      <c r="K7" s="216"/>
      <c r="L7" s="216"/>
      <c r="M7" s="217"/>
      <c r="N7" s="109" t="s">
        <v>222</v>
      </c>
      <c r="O7" s="114" t="s">
        <v>221</v>
      </c>
      <c r="P7" s="111">
        <v>0.08</v>
      </c>
      <c r="Q7" s="112">
        <v>1</v>
      </c>
      <c r="R7" s="111">
        <f>(P7*Q7)*F4</f>
        <v>0.16</v>
      </c>
      <c r="S7" s="205"/>
      <c r="T7" s="207"/>
    </row>
    <row r="8" spans="1:22" s="113" customFormat="1" ht="14.25" x14ac:dyDescent="0.15">
      <c r="A8" s="202"/>
      <c r="B8" s="202"/>
      <c r="C8" s="202"/>
      <c r="D8" s="104" t="s">
        <v>29</v>
      </c>
      <c r="E8" s="115" t="s">
        <v>30</v>
      </c>
      <c r="F8" s="103">
        <v>1</v>
      </c>
      <c r="G8" s="104" t="s">
        <v>38</v>
      </c>
      <c r="H8" s="105">
        <v>4.9000000000000004</v>
      </c>
      <c r="I8" s="105">
        <v>2.1</v>
      </c>
      <c r="J8" s="106">
        <f>K8*1.15</f>
        <v>0.40019999999999994</v>
      </c>
      <c r="K8" s="107">
        <v>0.34799999999999998</v>
      </c>
      <c r="L8" s="108">
        <f>J8-K8</f>
        <v>5.2199999999999969E-2</v>
      </c>
      <c r="M8" s="105">
        <f>H8*J8-I8*L8</f>
        <v>1.8513600000000001</v>
      </c>
      <c r="N8" s="109" t="s">
        <v>216</v>
      </c>
      <c r="O8" s="110" t="s">
        <v>223</v>
      </c>
      <c r="P8" s="111">
        <v>0.12</v>
      </c>
      <c r="Q8" s="112">
        <v>1</v>
      </c>
      <c r="R8" s="111">
        <f>P8*Q8</f>
        <v>0.12</v>
      </c>
      <c r="S8" s="205"/>
      <c r="T8" s="207"/>
    </row>
    <row r="9" spans="1:22" s="113" customFormat="1" ht="14.25" x14ac:dyDescent="0.15">
      <c r="A9" s="202"/>
      <c r="B9" s="202"/>
      <c r="C9" s="202"/>
      <c r="D9" s="209"/>
      <c r="E9" s="210"/>
      <c r="F9" s="210"/>
      <c r="G9" s="210"/>
      <c r="H9" s="210"/>
      <c r="I9" s="210"/>
      <c r="J9" s="210"/>
      <c r="K9" s="210"/>
      <c r="L9" s="210"/>
      <c r="M9" s="211"/>
      <c r="N9" s="109" t="s">
        <v>224</v>
      </c>
      <c r="O9" s="114" t="s">
        <v>225</v>
      </c>
      <c r="P9" s="111">
        <v>0.11</v>
      </c>
      <c r="Q9" s="112">
        <v>1</v>
      </c>
      <c r="R9" s="111">
        <f>P9*Q9</f>
        <v>0.11</v>
      </c>
      <c r="S9" s="205"/>
      <c r="T9" s="207"/>
    </row>
    <row r="10" spans="1:22" s="113" customFormat="1" ht="14.25" x14ac:dyDescent="0.15">
      <c r="A10" s="202"/>
      <c r="B10" s="202"/>
      <c r="C10" s="202"/>
      <c r="D10" s="215"/>
      <c r="E10" s="216"/>
      <c r="F10" s="216"/>
      <c r="G10" s="216"/>
      <c r="H10" s="216"/>
      <c r="I10" s="216"/>
      <c r="J10" s="216"/>
      <c r="K10" s="216"/>
      <c r="L10" s="216"/>
      <c r="M10" s="217"/>
      <c r="N10" s="109" t="s">
        <v>226</v>
      </c>
      <c r="O10" s="114" t="s">
        <v>225</v>
      </c>
      <c r="P10" s="111">
        <v>0.11</v>
      </c>
      <c r="Q10" s="112">
        <v>1</v>
      </c>
      <c r="R10" s="111">
        <f>P10*Q10</f>
        <v>0.11</v>
      </c>
      <c r="S10" s="205"/>
      <c r="T10" s="207"/>
    </row>
    <row r="11" spans="1:22" s="113" customFormat="1" ht="24" customHeight="1" x14ac:dyDescent="0.15">
      <c r="A11" s="202"/>
      <c r="B11" s="202"/>
      <c r="C11" s="202"/>
      <c r="D11" s="116" t="s">
        <v>32</v>
      </c>
      <c r="E11" s="117" t="s">
        <v>33</v>
      </c>
      <c r="F11" s="118">
        <v>1</v>
      </c>
      <c r="G11" s="116" t="s">
        <v>34</v>
      </c>
      <c r="H11" s="119">
        <v>8</v>
      </c>
      <c r="I11" s="119"/>
      <c r="J11" s="120"/>
      <c r="K11" s="121">
        <v>9.4E-2</v>
      </c>
      <c r="L11" s="122"/>
      <c r="M11" s="119">
        <f>H11*K11</f>
        <v>0.752</v>
      </c>
      <c r="N11" s="123"/>
      <c r="O11" s="124"/>
      <c r="P11" s="125"/>
      <c r="Q11" s="126"/>
      <c r="R11" s="125"/>
      <c r="S11" s="205"/>
      <c r="T11" s="207"/>
    </row>
    <row r="12" spans="1:22" s="113" customFormat="1" ht="24" x14ac:dyDescent="0.15">
      <c r="A12" s="203"/>
      <c r="B12" s="203"/>
      <c r="C12" s="203"/>
      <c r="D12" s="127" t="s">
        <v>227</v>
      </c>
      <c r="E12" s="104"/>
      <c r="F12" s="103"/>
      <c r="G12" s="103"/>
      <c r="H12" s="103"/>
      <c r="I12" s="103"/>
      <c r="J12" s="103"/>
      <c r="K12" s="103"/>
      <c r="L12" s="103"/>
      <c r="M12" s="128">
        <f>SUM(M4:M11)</f>
        <v>2.9896399999999996</v>
      </c>
      <c r="N12" s="218" t="s">
        <v>228</v>
      </c>
      <c r="O12" s="219"/>
      <c r="P12" s="220"/>
      <c r="Q12" s="219"/>
      <c r="R12" s="129">
        <f>SUM(R4:R11)</f>
        <v>1.04</v>
      </c>
      <c r="S12" s="205"/>
      <c r="T12" s="208"/>
    </row>
    <row r="13" spans="1:22" s="113" customFormat="1" ht="27" customHeight="1" x14ac:dyDescent="0.15">
      <c r="A13" s="201">
        <v>2</v>
      </c>
      <c r="B13" s="204" t="s">
        <v>35</v>
      </c>
      <c r="C13" s="201"/>
      <c r="D13" s="101" t="s">
        <v>36</v>
      </c>
      <c r="E13" s="102" t="s">
        <v>37</v>
      </c>
      <c r="F13" s="103">
        <v>1</v>
      </c>
      <c r="G13" s="104" t="s">
        <v>38</v>
      </c>
      <c r="H13" s="105">
        <v>4.9000000000000004</v>
      </c>
      <c r="I13" s="105">
        <v>2.1</v>
      </c>
      <c r="J13" s="106">
        <f>K13*1.15</f>
        <v>1.5271999999999999</v>
      </c>
      <c r="K13" s="107">
        <v>1.3280000000000001</v>
      </c>
      <c r="L13" s="108">
        <f>J13-K13</f>
        <v>0.19919999999999982</v>
      </c>
      <c r="M13" s="105">
        <f>H13*J13-I13*L13</f>
        <v>7.0649600000000001</v>
      </c>
      <c r="N13" s="109" t="s">
        <v>216</v>
      </c>
      <c r="O13" s="110" t="s">
        <v>223</v>
      </c>
      <c r="P13" s="111">
        <v>0.2</v>
      </c>
      <c r="Q13" s="112">
        <v>1</v>
      </c>
      <c r="R13" s="111">
        <f>P13*Q13</f>
        <v>0.2</v>
      </c>
      <c r="S13" s="205">
        <v>1.1499999999999999</v>
      </c>
      <c r="T13" s="206">
        <f>(M26+R26)*S13</f>
        <v>18.655023999999997</v>
      </c>
      <c r="V13" s="113">
        <v>19.68</v>
      </c>
    </row>
    <row r="14" spans="1:22" s="113" customFormat="1" ht="14.25" x14ac:dyDescent="0.15">
      <c r="A14" s="202"/>
      <c r="B14" s="202"/>
      <c r="C14" s="202"/>
      <c r="D14" s="209"/>
      <c r="E14" s="210"/>
      <c r="F14" s="210"/>
      <c r="G14" s="210"/>
      <c r="H14" s="210"/>
      <c r="I14" s="210"/>
      <c r="J14" s="210"/>
      <c r="K14" s="210"/>
      <c r="L14" s="210"/>
      <c r="M14" s="211"/>
      <c r="N14" s="109" t="s">
        <v>229</v>
      </c>
      <c r="O14" s="110" t="s">
        <v>230</v>
      </c>
      <c r="P14" s="111">
        <v>0.24</v>
      </c>
      <c r="Q14" s="112">
        <v>8</v>
      </c>
      <c r="R14" s="111">
        <f>P14*Q14</f>
        <v>1.92</v>
      </c>
      <c r="S14" s="205"/>
      <c r="T14" s="207"/>
    </row>
    <row r="15" spans="1:22" s="113" customFormat="1" ht="14.25" x14ac:dyDescent="0.15">
      <c r="A15" s="202"/>
      <c r="B15" s="202"/>
      <c r="C15" s="202"/>
      <c r="D15" s="212"/>
      <c r="E15" s="213"/>
      <c r="F15" s="213"/>
      <c r="G15" s="213"/>
      <c r="H15" s="213"/>
      <c r="I15" s="213"/>
      <c r="J15" s="213"/>
      <c r="K15" s="213"/>
      <c r="L15" s="213"/>
      <c r="M15" s="214"/>
      <c r="N15" s="109" t="s">
        <v>224</v>
      </c>
      <c r="O15" s="114" t="s">
        <v>231</v>
      </c>
      <c r="P15" s="111">
        <v>0.12</v>
      </c>
      <c r="Q15" s="112">
        <v>1</v>
      </c>
      <c r="R15" s="111">
        <f>P15*Q15</f>
        <v>0.12</v>
      </c>
      <c r="S15" s="205"/>
      <c r="T15" s="207"/>
    </row>
    <row r="16" spans="1:22" s="113" customFormat="1" ht="14.25" x14ac:dyDescent="0.15">
      <c r="A16" s="202"/>
      <c r="B16" s="202"/>
      <c r="C16" s="202"/>
      <c r="D16" s="212"/>
      <c r="E16" s="213"/>
      <c r="F16" s="213"/>
      <c r="G16" s="213"/>
      <c r="H16" s="213"/>
      <c r="I16" s="213"/>
      <c r="J16" s="213"/>
      <c r="K16" s="213"/>
      <c r="L16" s="213"/>
      <c r="M16" s="214"/>
      <c r="N16" s="109" t="s">
        <v>226</v>
      </c>
      <c r="O16" s="114" t="s">
        <v>231</v>
      </c>
      <c r="P16" s="111">
        <v>0.12</v>
      </c>
      <c r="Q16" s="112">
        <v>1</v>
      </c>
      <c r="R16" s="111">
        <f>P16*Q16</f>
        <v>0.12</v>
      </c>
      <c r="S16" s="205"/>
      <c r="T16" s="207"/>
    </row>
    <row r="17" spans="1:22" s="113" customFormat="1" ht="14.25" x14ac:dyDescent="0.15">
      <c r="A17" s="202"/>
      <c r="B17" s="202"/>
      <c r="C17" s="202"/>
      <c r="D17" s="215"/>
      <c r="E17" s="216"/>
      <c r="F17" s="216"/>
      <c r="G17" s="216"/>
      <c r="H17" s="216"/>
      <c r="I17" s="216"/>
      <c r="J17" s="216"/>
      <c r="K17" s="216"/>
      <c r="L17" s="216"/>
      <c r="M17" s="217"/>
      <c r="N17" s="109" t="s">
        <v>232</v>
      </c>
      <c r="O17" s="110" t="s">
        <v>233</v>
      </c>
      <c r="P17" s="111">
        <v>0.17</v>
      </c>
      <c r="Q17" s="112">
        <v>2</v>
      </c>
      <c r="R17" s="111">
        <f>P17*Q17</f>
        <v>0.34</v>
      </c>
      <c r="S17" s="205"/>
      <c r="T17" s="207"/>
    </row>
    <row r="18" spans="1:22" s="113" customFormat="1" ht="22.5" x14ac:dyDescent="0.15">
      <c r="A18" s="202"/>
      <c r="B18" s="202"/>
      <c r="C18" s="202"/>
      <c r="D18" s="116" t="s">
        <v>44</v>
      </c>
      <c r="E18" s="117" t="s">
        <v>45</v>
      </c>
      <c r="F18" s="118">
        <v>2</v>
      </c>
      <c r="G18" s="118"/>
      <c r="H18" s="130">
        <v>8</v>
      </c>
      <c r="I18" s="130"/>
      <c r="J18" s="131"/>
      <c r="K18" s="131">
        <f>0.065*F18</f>
        <v>0.13</v>
      </c>
      <c r="L18" s="131"/>
      <c r="M18" s="130">
        <f>H18*K18</f>
        <v>1.04</v>
      </c>
      <c r="N18" s="123"/>
      <c r="O18" s="124"/>
      <c r="P18" s="125"/>
      <c r="Q18" s="126"/>
      <c r="R18" s="125"/>
      <c r="S18" s="205"/>
      <c r="T18" s="207"/>
    </row>
    <row r="19" spans="1:22" s="113" customFormat="1" ht="22.5" x14ac:dyDescent="0.15">
      <c r="A19" s="202"/>
      <c r="B19" s="202"/>
      <c r="C19" s="202"/>
      <c r="D19" s="116" t="s">
        <v>47</v>
      </c>
      <c r="E19" s="117" t="s">
        <v>48</v>
      </c>
      <c r="F19" s="118">
        <v>2</v>
      </c>
      <c r="G19" s="118"/>
      <c r="H19" s="130">
        <v>8</v>
      </c>
      <c r="I19" s="130"/>
      <c r="J19" s="131"/>
      <c r="K19" s="131">
        <f>0.074*F19</f>
        <v>0.14799999999999999</v>
      </c>
      <c r="L19" s="131"/>
      <c r="M19" s="130">
        <f>H19*K19</f>
        <v>1.1839999999999999</v>
      </c>
      <c r="N19" s="123"/>
      <c r="O19" s="124"/>
      <c r="P19" s="125"/>
      <c r="Q19" s="126"/>
      <c r="R19" s="125"/>
      <c r="S19" s="205"/>
      <c r="T19" s="207"/>
    </row>
    <row r="20" spans="1:22" s="113" customFormat="1" ht="22.5" x14ac:dyDescent="0.15">
      <c r="A20" s="202"/>
      <c r="B20" s="202"/>
      <c r="C20" s="202"/>
      <c r="D20" s="104" t="s">
        <v>49</v>
      </c>
      <c r="E20" s="115" t="s">
        <v>50</v>
      </c>
      <c r="F20" s="103">
        <v>4</v>
      </c>
      <c r="G20" s="103" t="s">
        <v>51</v>
      </c>
      <c r="H20" s="128">
        <v>4.5</v>
      </c>
      <c r="I20" s="128">
        <v>2.1</v>
      </c>
      <c r="J20" s="132">
        <f>0.009*F20</f>
        <v>3.5999999999999997E-2</v>
      </c>
      <c r="K20" s="132">
        <f>0.006*F20</f>
        <v>2.4E-2</v>
      </c>
      <c r="L20" s="108">
        <f>J20-K20</f>
        <v>1.1999999999999997E-2</v>
      </c>
      <c r="M20" s="105">
        <f>H20*J20-I20*L20</f>
        <v>0.13679999999999998</v>
      </c>
      <c r="N20" s="109" t="s">
        <v>216</v>
      </c>
      <c r="O20" s="110" t="s">
        <v>217</v>
      </c>
      <c r="P20" s="111">
        <v>0.05</v>
      </c>
      <c r="Q20" s="112">
        <v>1</v>
      </c>
      <c r="R20" s="111">
        <f>(P20*Q20)*F20</f>
        <v>0.2</v>
      </c>
      <c r="S20" s="205"/>
      <c r="T20" s="207"/>
    </row>
    <row r="21" spans="1:22" s="113" customFormat="1" ht="14.25" x14ac:dyDescent="0.15">
      <c r="A21" s="202"/>
      <c r="B21" s="202"/>
      <c r="C21" s="202"/>
      <c r="D21" s="209"/>
      <c r="E21" s="210"/>
      <c r="F21" s="210"/>
      <c r="G21" s="210"/>
      <c r="H21" s="210"/>
      <c r="I21" s="210"/>
      <c r="J21" s="210"/>
      <c r="K21" s="210"/>
      <c r="L21" s="210"/>
      <c r="M21" s="211"/>
      <c r="N21" s="109" t="s">
        <v>218</v>
      </c>
      <c r="O21" s="114" t="s">
        <v>221</v>
      </c>
      <c r="P21" s="111">
        <v>0.08</v>
      </c>
      <c r="Q21" s="112">
        <v>1</v>
      </c>
      <c r="R21" s="111">
        <f>(P21*Q21)*F20</f>
        <v>0.32</v>
      </c>
      <c r="S21" s="205"/>
      <c r="T21" s="207"/>
    </row>
    <row r="22" spans="1:22" s="113" customFormat="1" ht="14.25" x14ac:dyDescent="0.15">
      <c r="A22" s="202"/>
      <c r="B22" s="202"/>
      <c r="C22" s="202"/>
      <c r="D22" s="215"/>
      <c r="E22" s="216"/>
      <c r="F22" s="216"/>
      <c r="G22" s="216"/>
      <c r="H22" s="216"/>
      <c r="I22" s="216"/>
      <c r="J22" s="216"/>
      <c r="K22" s="216"/>
      <c r="L22" s="216"/>
      <c r="M22" s="217"/>
      <c r="N22" s="109" t="s">
        <v>220</v>
      </c>
      <c r="O22" s="114" t="s">
        <v>221</v>
      </c>
      <c r="P22" s="111">
        <v>0.08</v>
      </c>
      <c r="Q22" s="112">
        <v>1</v>
      </c>
      <c r="R22" s="111">
        <f>(P22*Q22)*F20</f>
        <v>0.32</v>
      </c>
      <c r="S22" s="205"/>
      <c r="T22" s="207"/>
    </row>
    <row r="23" spans="1:22" s="113" customFormat="1" ht="23.25" x14ac:dyDescent="0.15">
      <c r="A23" s="202"/>
      <c r="B23" s="202"/>
      <c r="C23" s="202"/>
      <c r="D23" s="116" t="s">
        <v>54</v>
      </c>
      <c r="E23" s="117" t="s">
        <v>234</v>
      </c>
      <c r="F23" s="118">
        <v>3</v>
      </c>
      <c r="G23" s="118"/>
      <c r="H23" s="130">
        <v>8</v>
      </c>
      <c r="I23" s="130"/>
      <c r="J23" s="131"/>
      <c r="K23" s="131">
        <f>0.063*F23</f>
        <v>0.189</v>
      </c>
      <c r="L23" s="131"/>
      <c r="M23" s="130">
        <f>H23*K23</f>
        <v>1.512</v>
      </c>
      <c r="N23" s="123"/>
      <c r="O23" s="124"/>
      <c r="P23" s="125"/>
      <c r="Q23" s="126"/>
      <c r="R23" s="125"/>
      <c r="S23" s="205"/>
      <c r="T23" s="207"/>
    </row>
    <row r="24" spans="1:22" s="113" customFormat="1" ht="23.25" x14ac:dyDescent="0.15">
      <c r="A24" s="202"/>
      <c r="B24" s="202"/>
      <c r="C24" s="202"/>
      <c r="D24" s="116" t="s">
        <v>56</v>
      </c>
      <c r="E24" s="117" t="s">
        <v>235</v>
      </c>
      <c r="F24" s="118">
        <v>2</v>
      </c>
      <c r="G24" s="118"/>
      <c r="H24" s="130">
        <v>8</v>
      </c>
      <c r="I24" s="130"/>
      <c r="J24" s="131"/>
      <c r="K24" s="131">
        <f>0.061*F24</f>
        <v>0.122</v>
      </c>
      <c r="L24" s="131"/>
      <c r="M24" s="130">
        <f>H24*K24</f>
        <v>0.97599999999999998</v>
      </c>
      <c r="N24" s="123"/>
      <c r="O24" s="124"/>
      <c r="P24" s="125"/>
      <c r="Q24" s="126"/>
      <c r="R24" s="125"/>
      <c r="S24" s="205"/>
      <c r="T24" s="207"/>
    </row>
    <row r="25" spans="1:22" s="113" customFormat="1" ht="22.5" x14ac:dyDescent="0.15">
      <c r="A25" s="202"/>
      <c r="B25" s="202"/>
      <c r="C25" s="202"/>
      <c r="D25" s="116" t="s">
        <v>58</v>
      </c>
      <c r="E25" s="117" t="s">
        <v>59</v>
      </c>
      <c r="F25" s="118">
        <v>2</v>
      </c>
      <c r="G25" s="118"/>
      <c r="H25" s="130">
        <v>8</v>
      </c>
      <c r="I25" s="130"/>
      <c r="J25" s="131"/>
      <c r="K25" s="131">
        <f>0.048*F25</f>
        <v>9.6000000000000002E-2</v>
      </c>
      <c r="L25" s="131"/>
      <c r="M25" s="130">
        <f>H25*K25</f>
        <v>0.76800000000000002</v>
      </c>
      <c r="N25" s="123"/>
      <c r="O25" s="124"/>
      <c r="P25" s="125"/>
      <c r="Q25" s="126"/>
      <c r="R25" s="125"/>
      <c r="S25" s="205"/>
      <c r="T25" s="207"/>
    </row>
    <row r="26" spans="1:22" s="113" customFormat="1" ht="24" x14ac:dyDescent="0.15">
      <c r="A26" s="203"/>
      <c r="B26" s="203"/>
      <c r="C26" s="203"/>
      <c r="D26" s="127" t="s">
        <v>227</v>
      </c>
      <c r="E26" s="104"/>
      <c r="F26" s="103"/>
      <c r="G26" s="103"/>
      <c r="H26" s="103"/>
      <c r="I26" s="103"/>
      <c r="J26" s="103"/>
      <c r="K26" s="103"/>
      <c r="L26" s="103"/>
      <c r="M26" s="128">
        <f>SUM(M13:M25)</f>
        <v>12.681760000000001</v>
      </c>
      <c r="N26" s="218" t="s">
        <v>228</v>
      </c>
      <c r="O26" s="219"/>
      <c r="P26" s="220"/>
      <c r="Q26" s="219"/>
      <c r="R26" s="129">
        <f>SUM(R13:R25)</f>
        <v>3.54</v>
      </c>
      <c r="S26" s="205"/>
      <c r="T26" s="208"/>
    </row>
    <row r="27" spans="1:22" s="113" customFormat="1" ht="27" customHeight="1" x14ac:dyDescent="0.15">
      <c r="A27" s="201">
        <v>3</v>
      </c>
      <c r="B27" s="204" t="s">
        <v>63</v>
      </c>
      <c r="C27" s="201"/>
      <c r="D27" s="101" t="s">
        <v>36</v>
      </c>
      <c r="E27" s="102" t="s">
        <v>37</v>
      </c>
      <c r="F27" s="103">
        <v>1</v>
      </c>
      <c r="G27" s="104" t="s">
        <v>38</v>
      </c>
      <c r="H27" s="105">
        <v>4.9000000000000004</v>
      </c>
      <c r="I27" s="105">
        <v>2.1</v>
      </c>
      <c r="J27" s="106">
        <f>K27*1.1</f>
        <v>1.4608000000000001</v>
      </c>
      <c r="K27" s="107">
        <v>1.3280000000000001</v>
      </c>
      <c r="L27" s="108">
        <f>J27-K27</f>
        <v>0.13280000000000003</v>
      </c>
      <c r="M27" s="105">
        <f>H27*J27-I27*L27</f>
        <v>6.8790400000000007</v>
      </c>
      <c r="N27" s="109" t="s">
        <v>216</v>
      </c>
      <c r="O27" s="110" t="s">
        <v>223</v>
      </c>
      <c r="P27" s="111">
        <v>0.2</v>
      </c>
      <c r="Q27" s="112">
        <v>1</v>
      </c>
      <c r="R27" s="111">
        <f>P27*Q27</f>
        <v>0.2</v>
      </c>
      <c r="S27" s="205">
        <v>1.1499999999999999</v>
      </c>
      <c r="T27" s="206">
        <f>(M39+R39)*S27</f>
        <v>19.268295999999999</v>
      </c>
      <c r="V27" s="113">
        <v>18.88</v>
      </c>
    </row>
    <row r="28" spans="1:22" s="113" customFormat="1" ht="14.25" x14ac:dyDescent="0.15">
      <c r="A28" s="202"/>
      <c r="B28" s="202"/>
      <c r="C28" s="202"/>
      <c r="D28" s="209"/>
      <c r="E28" s="210"/>
      <c r="F28" s="210"/>
      <c r="G28" s="210"/>
      <c r="H28" s="210"/>
      <c r="I28" s="210"/>
      <c r="J28" s="210"/>
      <c r="K28" s="210"/>
      <c r="L28" s="210"/>
      <c r="M28" s="211"/>
      <c r="N28" s="109" t="s">
        <v>229</v>
      </c>
      <c r="O28" s="110" t="s">
        <v>230</v>
      </c>
      <c r="P28" s="111">
        <v>0.24</v>
      </c>
      <c r="Q28" s="112">
        <v>8</v>
      </c>
      <c r="R28" s="111">
        <f>P28*Q28</f>
        <v>1.92</v>
      </c>
      <c r="S28" s="205"/>
      <c r="T28" s="207"/>
    </row>
    <row r="29" spans="1:22" s="113" customFormat="1" ht="14.25" x14ac:dyDescent="0.15">
      <c r="A29" s="202"/>
      <c r="B29" s="202"/>
      <c r="C29" s="202"/>
      <c r="D29" s="212"/>
      <c r="E29" s="213"/>
      <c r="F29" s="213"/>
      <c r="G29" s="213"/>
      <c r="H29" s="213"/>
      <c r="I29" s="213"/>
      <c r="J29" s="213"/>
      <c r="K29" s="213"/>
      <c r="L29" s="213"/>
      <c r="M29" s="214"/>
      <c r="N29" s="109" t="s">
        <v>224</v>
      </c>
      <c r="O29" s="114" t="s">
        <v>231</v>
      </c>
      <c r="P29" s="111">
        <v>0.12</v>
      </c>
      <c r="Q29" s="112">
        <v>1</v>
      </c>
      <c r="R29" s="111">
        <f>P29*Q29</f>
        <v>0.12</v>
      </c>
      <c r="S29" s="205"/>
      <c r="T29" s="207"/>
    </row>
    <row r="30" spans="1:22" s="113" customFormat="1" ht="14.25" x14ac:dyDescent="0.15">
      <c r="A30" s="202"/>
      <c r="B30" s="202"/>
      <c r="C30" s="202"/>
      <c r="D30" s="212"/>
      <c r="E30" s="213"/>
      <c r="F30" s="213"/>
      <c r="G30" s="213"/>
      <c r="H30" s="213"/>
      <c r="I30" s="213"/>
      <c r="J30" s="213"/>
      <c r="K30" s="213"/>
      <c r="L30" s="213"/>
      <c r="M30" s="214"/>
      <c r="N30" s="109" t="s">
        <v>226</v>
      </c>
      <c r="O30" s="114" t="s">
        <v>231</v>
      </c>
      <c r="P30" s="111">
        <v>0.12</v>
      </c>
      <c r="Q30" s="112">
        <v>1</v>
      </c>
      <c r="R30" s="111">
        <f>P30*Q30</f>
        <v>0.12</v>
      </c>
      <c r="S30" s="205"/>
      <c r="T30" s="207"/>
    </row>
    <row r="31" spans="1:22" s="113" customFormat="1" ht="14.25" x14ac:dyDescent="0.15">
      <c r="A31" s="202"/>
      <c r="B31" s="202"/>
      <c r="C31" s="202"/>
      <c r="D31" s="215"/>
      <c r="E31" s="216"/>
      <c r="F31" s="216"/>
      <c r="G31" s="216"/>
      <c r="H31" s="216"/>
      <c r="I31" s="216"/>
      <c r="J31" s="216"/>
      <c r="K31" s="216"/>
      <c r="L31" s="216"/>
      <c r="M31" s="217"/>
      <c r="N31" s="109" t="s">
        <v>232</v>
      </c>
      <c r="O31" s="110" t="s">
        <v>233</v>
      </c>
      <c r="P31" s="111">
        <v>0.17</v>
      </c>
      <c r="Q31" s="112">
        <v>2</v>
      </c>
      <c r="R31" s="111">
        <f>P31*Q31</f>
        <v>0.34</v>
      </c>
      <c r="S31" s="205"/>
      <c r="T31" s="207"/>
    </row>
    <row r="32" spans="1:22" s="113" customFormat="1" ht="22.5" x14ac:dyDescent="0.15">
      <c r="A32" s="202"/>
      <c r="B32" s="202"/>
      <c r="C32" s="202"/>
      <c r="D32" s="116" t="s">
        <v>68</v>
      </c>
      <c r="E32" s="117" t="s">
        <v>69</v>
      </c>
      <c r="F32" s="118">
        <v>2</v>
      </c>
      <c r="G32" s="118"/>
      <c r="H32" s="130">
        <v>8</v>
      </c>
      <c r="I32" s="130"/>
      <c r="J32" s="131"/>
      <c r="K32" s="131">
        <f>0.018*F32</f>
        <v>3.5999999999999997E-2</v>
      </c>
      <c r="L32" s="131"/>
      <c r="M32" s="130">
        <f>H32*K32</f>
        <v>0.28799999999999998</v>
      </c>
      <c r="N32" s="123"/>
      <c r="O32" s="124"/>
      <c r="P32" s="125"/>
      <c r="Q32" s="126"/>
      <c r="R32" s="125"/>
      <c r="S32" s="205"/>
      <c r="T32" s="207"/>
    </row>
    <row r="33" spans="1:22" s="113" customFormat="1" ht="22.5" x14ac:dyDescent="0.15">
      <c r="A33" s="202"/>
      <c r="B33" s="202"/>
      <c r="C33" s="202"/>
      <c r="D33" s="116" t="s">
        <v>47</v>
      </c>
      <c r="E33" s="117" t="s">
        <v>48</v>
      </c>
      <c r="F33" s="118">
        <v>2</v>
      </c>
      <c r="G33" s="118"/>
      <c r="H33" s="130">
        <v>8</v>
      </c>
      <c r="I33" s="130"/>
      <c r="J33" s="131"/>
      <c r="K33" s="131">
        <f>0.074*F33</f>
        <v>0.14799999999999999</v>
      </c>
      <c r="L33" s="131"/>
      <c r="M33" s="130">
        <f t="shared" ref="M33:M38" si="0">H33*K33</f>
        <v>1.1839999999999999</v>
      </c>
      <c r="N33" s="123"/>
      <c r="O33" s="124"/>
      <c r="P33" s="125"/>
      <c r="Q33" s="126"/>
      <c r="R33" s="125"/>
      <c r="S33" s="205"/>
      <c r="T33" s="207"/>
    </row>
    <row r="34" spans="1:22" s="113" customFormat="1" ht="23.25" x14ac:dyDescent="0.15">
      <c r="A34" s="202"/>
      <c r="B34" s="202"/>
      <c r="C34" s="202"/>
      <c r="D34" s="116" t="s">
        <v>54</v>
      </c>
      <c r="E34" s="117" t="s">
        <v>234</v>
      </c>
      <c r="F34" s="118">
        <v>3</v>
      </c>
      <c r="G34" s="118"/>
      <c r="H34" s="130">
        <v>8</v>
      </c>
      <c r="I34" s="130"/>
      <c r="J34" s="131"/>
      <c r="K34" s="131">
        <f>0.063*F34</f>
        <v>0.189</v>
      </c>
      <c r="L34" s="131"/>
      <c r="M34" s="130">
        <f t="shared" si="0"/>
        <v>1.512</v>
      </c>
      <c r="N34" s="123"/>
      <c r="O34" s="124"/>
      <c r="P34" s="125"/>
      <c r="Q34" s="126"/>
      <c r="R34" s="125"/>
      <c r="S34" s="205"/>
      <c r="T34" s="207"/>
    </row>
    <row r="35" spans="1:22" s="113" customFormat="1" ht="23.25" x14ac:dyDescent="0.15">
      <c r="A35" s="202"/>
      <c r="B35" s="202"/>
      <c r="C35" s="202"/>
      <c r="D35" s="116" t="s">
        <v>56</v>
      </c>
      <c r="E35" s="117" t="s">
        <v>235</v>
      </c>
      <c r="F35" s="118">
        <v>2</v>
      </c>
      <c r="G35" s="118"/>
      <c r="H35" s="130">
        <v>8</v>
      </c>
      <c r="I35" s="130"/>
      <c r="J35" s="131"/>
      <c r="K35" s="131">
        <f>0.061*F35</f>
        <v>0.122</v>
      </c>
      <c r="L35" s="131"/>
      <c r="M35" s="130">
        <f t="shared" si="0"/>
        <v>0.97599999999999998</v>
      </c>
      <c r="N35" s="123"/>
      <c r="O35" s="124"/>
      <c r="P35" s="125"/>
      <c r="Q35" s="126"/>
      <c r="R35" s="125"/>
      <c r="S35" s="205"/>
      <c r="T35" s="207"/>
    </row>
    <row r="36" spans="1:22" s="113" customFormat="1" ht="22.5" x14ac:dyDescent="0.15">
      <c r="A36" s="202"/>
      <c r="B36" s="202"/>
      <c r="C36" s="202"/>
      <c r="D36" s="116" t="s">
        <v>58</v>
      </c>
      <c r="E36" s="117" t="s">
        <v>59</v>
      </c>
      <c r="F36" s="118">
        <v>2</v>
      </c>
      <c r="G36" s="118"/>
      <c r="H36" s="130">
        <v>8</v>
      </c>
      <c r="I36" s="130"/>
      <c r="J36" s="131"/>
      <c r="K36" s="131">
        <f>0.048*F36</f>
        <v>9.6000000000000002E-2</v>
      </c>
      <c r="L36" s="131"/>
      <c r="M36" s="130">
        <f t="shared" si="0"/>
        <v>0.76800000000000002</v>
      </c>
      <c r="N36" s="123"/>
      <c r="O36" s="124"/>
      <c r="P36" s="125"/>
      <c r="Q36" s="126"/>
      <c r="R36" s="125"/>
      <c r="S36" s="205"/>
      <c r="T36" s="207"/>
    </row>
    <row r="37" spans="1:22" s="113" customFormat="1" ht="22.5" x14ac:dyDescent="0.15">
      <c r="A37" s="202"/>
      <c r="B37" s="202"/>
      <c r="C37" s="202"/>
      <c r="D37" s="116" t="s">
        <v>44</v>
      </c>
      <c r="E37" s="117" t="s">
        <v>45</v>
      </c>
      <c r="F37" s="118">
        <v>2</v>
      </c>
      <c r="G37" s="118"/>
      <c r="H37" s="130">
        <v>8</v>
      </c>
      <c r="I37" s="130"/>
      <c r="J37" s="131"/>
      <c r="K37" s="131">
        <f>0.065*F37</f>
        <v>0.13</v>
      </c>
      <c r="L37" s="131"/>
      <c r="M37" s="130">
        <f t="shared" si="0"/>
        <v>1.04</v>
      </c>
      <c r="N37" s="123"/>
      <c r="O37" s="124"/>
      <c r="P37" s="125"/>
      <c r="Q37" s="126"/>
      <c r="R37" s="125"/>
      <c r="S37" s="205"/>
      <c r="T37" s="207"/>
    </row>
    <row r="38" spans="1:22" s="113" customFormat="1" ht="14.25" x14ac:dyDescent="0.15">
      <c r="A38" s="202"/>
      <c r="B38" s="202"/>
      <c r="C38" s="202"/>
      <c r="D38" s="116" t="s">
        <v>70</v>
      </c>
      <c r="E38" s="117" t="s">
        <v>71</v>
      </c>
      <c r="F38" s="118">
        <v>2</v>
      </c>
      <c r="G38" s="118"/>
      <c r="H38" s="130">
        <v>8</v>
      </c>
      <c r="I38" s="130"/>
      <c r="J38" s="131"/>
      <c r="K38" s="131">
        <f>0.088*F38</f>
        <v>0.17599999999999999</v>
      </c>
      <c r="L38" s="131"/>
      <c r="M38" s="130">
        <f t="shared" si="0"/>
        <v>1.4079999999999999</v>
      </c>
      <c r="N38" s="123"/>
      <c r="O38" s="124"/>
      <c r="P38" s="125"/>
      <c r="Q38" s="126"/>
      <c r="R38" s="125"/>
      <c r="S38" s="205"/>
      <c r="T38" s="207"/>
    </row>
    <row r="39" spans="1:22" s="113" customFormat="1" ht="24" x14ac:dyDescent="0.15">
      <c r="A39" s="203"/>
      <c r="B39" s="203"/>
      <c r="C39" s="203"/>
      <c r="D39" s="127" t="s">
        <v>227</v>
      </c>
      <c r="E39" s="104"/>
      <c r="F39" s="103"/>
      <c r="G39" s="103"/>
      <c r="H39" s="103"/>
      <c r="I39" s="103"/>
      <c r="J39" s="103"/>
      <c r="K39" s="103"/>
      <c r="L39" s="103"/>
      <c r="M39" s="128">
        <f>SUM(M27:M38)</f>
        <v>14.05504</v>
      </c>
      <c r="N39" s="218" t="s">
        <v>228</v>
      </c>
      <c r="O39" s="219"/>
      <c r="P39" s="220"/>
      <c r="Q39" s="219"/>
      <c r="R39" s="129">
        <f>SUM(R27:R38)</f>
        <v>2.7</v>
      </c>
      <c r="S39" s="205"/>
      <c r="T39" s="208"/>
    </row>
    <row r="40" spans="1:22" s="113" customFormat="1" ht="27" customHeight="1" x14ac:dyDescent="0.15">
      <c r="A40" s="202">
        <v>4</v>
      </c>
      <c r="B40" s="224" t="s">
        <v>72</v>
      </c>
      <c r="C40" s="202"/>
      <c r="D40" s="101" t="s">
        <v>74</v>
      </c>
      <c r="E40" s="102" t="s">
        <v>75</v>
      </c>
      <c r="F40" s="103">
        <v>1</v>
      </c>
      <c r="G40" s="104" t="s">
        <v>38</v>
      </c>
      <c r="H40" s="105">
        <v>4.9000000000000004</v>
      </c>
      <c r="I40" s="105">
        <v>2.1</v>
      </c>
      <c r="J40" s="106">
        <f>K40*1.15</f>
        <v>1.1764499999999998</v>
      </c>
      <c r="K40" s="107">
        <v>1.0229999999999999</v>
      </c>
      <c r="L40" s="108">
        <f>J40-K40</f>
        <v>0.15344999999999986</v>
      </c>
      <c r="M40" s="105">
        <f>H40*J40-I40*L40</f>
        <v>5.4423599999999999</v>
      </c>
      <c r="N40" s="109" t="s">
        <v>216</v>
      </c>
      <c r="O40" s="110" t="s">
        <v>223</v>
      </c>
      <c r="P40" s="111">
        <v>0.2</v>
      </c>
      <c r="Q40" s="112">
        <v>1</v>
      </c>
      <c r="R40" s="111">
        <f>P40*Q40</f>
        <v>0.2</v>
      </c>
      <c r="S40" s="205">
        <v>1.1499999999999999</v>
      </c>
      <c r="T40" s="206">
        <f>(M58+R58)*S40</f>
        <v>16.934877000000004</v>
      </c>
      <c r="V40" s="113">
        <v>18.5</v>
      </c>
    </row>
    <row r="41" spans="1:22" s="113" customFormat="1" ht="14.25" x14ac:dyDescent="0.15">
      <c r="A41" s="202"/>
      <c r="B41" s="224"/>
      <c r="C41" s="202"/>
      <c r="D41" s="209"/>
      <c r="E41" s="210"/>
      <c r="F41" s="210"/>
      <c r="G41" s="210"/>
      <c r="H41" s="210"/>
      <c r="I41" s="210"/>
      <c r="J41" s="210"/>
      <c r="K41" s="210"/>
      <c r="L41" s="210"/>
      <c r="M41" s="211"/>
      <c r="N41" s="109" t="s">
        <v>229</v>
      </c>
      <c r="O41" s="110" t="s">
        <v>230</v>
      </c>
      <c r="P41" s="111">
        <v>0.24</v>
      </c>
      <c r="Q41" s="112">
        <v>5</v>
      </c>
      <c r="R41" s="111">
        <f>P41*Q41</f>
        <v>1.2</v>
      </c>
      <c r="S41" s="205"/>
      <c r="T41" s="207"/>
    </row>
    <row r="42" spans="1:22" s="113" customFormat="1" ht="14.25" x14ac:dyDescent="0.15">
      <c r="A42" s="202"/>
      <c r="B42" s="224"/>
      <c r="C42" s="202"/>
      <c r="D42" s="212"/>
      <c r="E42" s="213"/>
      <c r="F42" s="213"/>
      <c r="G42" s="213"/>
      <c r="H42" s="213"/>
      <c r="I42" s="213"/>
      <c r="J42" s="213"/>
      <c r="K42" s="213"/>
      <c r="L42" s="213"/>
      <c r="M42" s="214"/>
      <c r="N42" s="109" t="s">
        <v>236</v>
      </c>
      <c r="O42" s="114" t="s">
        <v>231</v>
      </c>
      <c r="P42" s="111">
        <v>0.12</v>
      </c>
      <c r="Q42" s="112">
        <v>1</v>
      </c>
      <c r="R42" s="111">
        <f t="shared" ref="R42:R48" si="1">P42*Q42</f>
        <v>0.12</v>
      </c>
      <c r="S42" s="205"/>
      <c r="T42" s="207"/>
    </row>
    <row r="43" spans="1:22" s="113" customFormat="1" ht="14.25" x14ac:dyDescent="0.15">
      <c r="A43" s="202"/>
      <c r="B43" s="224"/>
      <c r="C43" s="202"/>
      <c r="D43" s="212"/>
      <c r="E43" s="213"/>
      <c r="F43" s="213"/>
      <c r="G43" s="213"/>
      <c r="H43" s="213"/>
      <c r="I43" s="213"/>
      <c r="J43" s="213"/>
      <c r="K43" s="213"/>
      <c r="L43" s="213"/>
      <c r="M43" s="214"/>
      <c r="N43" s="109" t="s">
        <v>237</v>
      </c>
      <c r="O43" s="114" t="s">
        <v>231</v>
      </c>
      <c r="P43" s="111">
        <v>0.12</v>
      </c>
      <c r="Q43" s="112">
        <v>1</v>
      </c>
      <c r="R43" s="111">
        <f t="shared" si="1"/>
        <v>0.12</v>
      </c>
      <c r="S43" s="205"/>
      <c r="T43" s="207"/>
    </row>
    <row r="44" spans="1:22" s="113" customFormat="1" ht="14.25" x14ac:dyDescent="0.15">
      <c r="A44" s="202"/>
      <c r="B44" s="224"/>
      <c r="C44" s="202"/>
      <c r="D44" s="212"/>
      <c r="E44" s="213"/>
      <c r="F44" s="213"/>
      <c r="G44" s="213"/>
      <c r="H44" s="213"/>
      <c r="I44" s="213"/>
      <c r="J44" s="213"/>
      <c r="K44" s="213"/>
      <c r="L44" s="213"/>
      <c r="M44" s="214"/>
      <c r="N44" s="109" t="s">
        <v>238</v>
      </c>
      <c r="O44" s="114" t="s">
        <v>231</v>
      </c>
      <c r="P44" s="111">
        <v>0.12</v>
      </c>
      <c r="Q44" s="112">
        <v>1</v>
      </c>
      <c r="R44" s="111">
        <f t="shared" si="1"/>
        <v>0.12</v>
      </c>
      <c r="S44" s="205"/>
      <c r="T44" s="207"/>
    </row>
    <row r="45" spans="1:22" s="113" customFormat="1" ht="14.25" x14ac:dyDescent="0.15">
      <c r="A45" s="202"/>
      <c r="B45" s="224"/>
      <c r="C45" s="202"/>
      <c r="D45" s="212"/>
      <c r="E45" s="213"/>
      <c r="F45" s="213"/>
      <c r="G45" s="213"/>
      <c r="H45" s="213"/>
      <c r="I45" s="213"/>
      <c r="J45" s="213"/>
      <c r="K45" s="213"/>
      <c r="L45" s="213"/>
      <c r="M45" s="214"/>
      <c r="N45" s="109" t="s">
        <v>239</v>
      </c>
      <c r="O45" s="110" t="s">
        <v>225</v>
      </c>
      <c r="P45" s="111">
        <v>0.11</v>
      </c>
      <c r="Q45" s="112">
        <v>1</v>
      </c>
      <c r="R45" s="111">
        <f t="shared" si="1"/>
        <v>0.11</v>
      </c>
      <c r="S45" s="205"/>
      <c r="T45" s="207"/>
    </row>
    <row r="46" spans="1:22" s="113" customFormat="1" ht="14.25" x14ac:dyDescent="0.15">
      <c r="A46" s="202"/>
      <c r="B46" s="224"/>
      <c r="C46" s="202"/>
      <c r="D46" s="215"/>
      <c r="E46" s="216"/>
      <c r="F46" s="216"/>
      <c r="G46" s="216"/>
      <c r="H46" s="216"/>
      <c r="I46" s="216"/>
      <c r="J46" s="216"/>
      <c r="K46" s="216"/>
      <c r="L46" s="216"/>
      <c r="M46" s="217"/>
      <c r="N46" s="109" t="s">
        <v>240</v>
      </c>
      <c r="O46" s="110" t="s">
        <v>231</v>
      </c>
      <c r="P46" s="111">
        <v>0.12</v>
      </c>
      <c r="Q46" s="112">
        <v>1</v>
      </c>
      <c r="R46" s="111">
        <f t="shared" si="1"/>
        <v>0.12</v>
      </c>
      <c r="S46" s="205"/>
      <c r="T46" s="207"/>
    </row>
    <row r="47" spans="1:22" s="113" customFormat="1" ht="24" x14ac:dyDescent="0.15">
      <c r="A47" s="202"/>
      <c r="B47" s="224"/>
      <c r="C47" s="202"/>
      <c r="D47" s="104" t="s">
        <v>76</v>
      </c>
      <c r="E47" s="115" t="s">
        <v>77</v>
      </c>
      <c r="F47" s="103">
        <v>1</v>
      </c>
      <c r="G47" s="103" t="s">
        <v>38</v>
      </c>
      <c r="H47" s="128">
        <v>4.9000000000000004</v>
      </c>
      <c r="I47" s="105">
        <v>2.1</v>
      </c>
      <c r="J47" s="106">
        <f>K47*1.1</f>
        <v>0.32890000000000003</v>
      </c>
      <c r="K47" s="107">
        <v>0.29899999999999999</v>
      </c>
      <c r="L47" s="108">
        <f>J47-K47</f>
        <v>2.9900000000000038E-2</v>
      </c>
      <c r="M47" s="105">
        <f>H47*J47-I47*L47</f>
        <v>1.5488200000000001</v>
      </c>
      <c r="N47" s="109" t="s">
        <v>216</v>
      </c>
      <c r="O47" s="110" t="s">
        <v>223</v>
      </c>
      <c r="P47" s="111">
        <v>0.12</v>
      </c>
      <c r="Q47" s="112">
        <v>1</v>
      </c>
      <c r="R47" s="111">
        <f t="shared" si="1"/>
        <v>0.12</v>
      </c>
      <c r="S47" s="205"/>
      <c r="T47" s="207"/>
    </row>
    <row r="48" spans="1:22" s="113" customFormat="1" ht="14.25" x14ac:dyDescent="0.15">
      <c r="A48" s="202"/>
      <c r="B48" s="224"/>
      <c r="C48" s="202"/>
      <c r="D48" s="221"/>
      <c r="E48" s="222"/>
      <c r="F48" s="222"/>
      <c r="G48" s="222"/>
      <c r="H48" s="222"/>
      <c r="I48" s="222"/>
      <c r="J48" s="222"/>
      <c r="K48" s="222"/>
      <c r="L48" s="222"/>
      <c r="M48" s="223"/>
      <c r="N48" s="109" t="s">
        <v>236</v>
      </c>
      <c r="O48" s="114" t="s">
        <v>231</v>
      </c>
      <c r="P48" s="111">
        <v>0.12</v>
      </c>
      <c r="Q48" s="112">
        <v>1</v>
      </c>
      <c r="R48" s="111">
        <f t="shared" si="1"/>
        <v>0.12</v>
      </c>
      <c r="S48" s="205"/>
      <c r="T48" s="207"/>
    </row>
    <row r="49" spans="1:22" s="113" customFormat="1" ht="22.5" x14ac:dyDescent="0.15">
      <c r="A49" s="202"/>
      <c r="B49" s="224"/>
      <c r="C49" s="202"/>
      <c r="D49" s="104" t="s">
        <v>49</v>
      </c>
      <c r="E49" s="115" t="s">
        <v>50</v>
      </c>
      <c r="F49" s="103">
        <v>4</v>
      </c>
      <c r="G49" s="103" t="s">
        <v>51</v>
      </c>
      <c r="H49" s="128">
        <v>4.5</v>
      </c>
      <c r="I49" s="128">
        <v>2.1</v>
      </c>
      <c r="J49" s="132">
        <f>0.009*F49</f>
        <v>3.5999999999999997E-2</v>
      </c>
      <c r="K49" s="132">
        <f>0.006*F49</f>
        <v>2.4E-2</v>
      </c>
      <c r="L49" s="108">
        <f>J49-K49</f>
        <v>1.1999999999999997E-2</v>
      </c>
      <c r="M49" s="105">
        <f>H49*J49-I49*L49</f>
        <v>0.13679999999999998</v>
      </c>
      <c r="N49" s="109" t="s">
        <v>216</v>
      </c>
      <c r="O49" s="110" t="s">
        <v>217</v>
      </c>
      <c r="P49" s="111">
        <v>0.05</v>
      </c>
      <c r="Q49" s="112">
        <v>1</v>
      </c>
      <c r="R49" s="111">
        <f>(P49*Q49)*F49</f>
        <v>0.2</v>
      </c>
      <c r="S49" s="205"/>
      <c r="T49" s="207"/>
    </row>
    <row r="50" spans="1:22" s="113" customFormat="1" ht="14.25" x14ac:dyDescent="0.15">
      <c r="A50" s="202"/>
      <c r="B50" s="224"/>
      <c r="C50" s="202"/>
      <c r="D50" s="209"/>
      <c r="E50" s="210"/>
      <c r="F50" s="210"/>
      <c r="G50" s="210"/>
      <c r="H50" s="210"/>
      <c r="I50" s="210"/>
      <c r="J50" s="210"/>
      <c r="K50" s="210"/>
      <c r="L50" s="210"/>
      <c r="M50" s="211"/>
      <c r="N50" s="109" t="s">
        <v>218</v>
      </c>
      <c r="O50" s="114" t="s">
        <v>221</v>
      </c>
      <c r="P50" s="111">
        <v>0.08</v>
      </c>
      <c r="Q50" s="112">
        <v>1</v>
      </c>
      <c r="R50" s="111">
        <f>(P50*Q50)*F49</f>
        <v>0.32</v>
      </c>
      <c r="S50" s="205"/>
      <c r="T50" s="207"/>
    </row>
    <row r="51" spans="1:22" s="113" customFormat="1" ht="14.25" x14ac:dyDescent="0.15">
      <c r="A51" s="202"/>
      <c r="B51" s="224"/>
      <c r="C51" s="202"/>
      <c r="D51" s="215"/>
      <c r="E51" s="216"/>
      <c r="F51" s="216"/>
      <c r="G51" s="216"/>
      <c r="H51" s="216"/>
      <c r="I51" s="216"/>
      <c r="J51" s="216"/>
      <c r="K51" s="216"/>
      <c r="L51" s="216"/>
      <c r="M51" s="217"/>
      <c r="N51" s="109" t="s">
        <v>220</v>
      </c>
      <c r="O51" s="114" t="s">
        <v>221</v>
      </c>
      <c r="P51" s="111">
        <v>0.08</v>
      </c>
      <c r="Q51" s="112">
        <v>1</v>
      </c>
      <c r="R51" s="111">
        <f>(P51*Q51)*F49</f>
        <v>0.32</v>
      </c>
      <c r="S51" s="205"/>
      <c r="T51" s="207"/>
    </row>
    <row r="52" spans="1:22" s="113" customFormat="1" ht="22.5" x14ac:dyDescent="0.15">
      <c r="A52" s="202"/>
      <c r="B52" s="224"/>
      <c r="C52" s="202"/>
      <c r="D52" s="116" t="s">
        <v>80</v>
      </c>
      <c r="E52" s="117" t="s">
        <v>81</v>
      </c>
      <c r="F52" s="118">
        <v>2</v>
      </c>
      <c r="G52" s="118"/>
      <c r="H52" s="130">
        <v>8</v>
      </c>
      <c r="I52" s="130"/>
      <c r="J52" s="131"/>
      <c r="K52" s="131">
        <f>0.066*F52</f>
        <v>0.13200000000000001</v>
      </c>
      <c r="L52" s="131"/>
      <c r="M52" s="130">
        <f t="shared" ref="M52:M57" si="2">H52*K52</f>
        <v>1.056</v>
      </c>
      <c r="N52" s="123"/>
      <c r="O52" s="124"/>
      <c r="P52" s="125"/>
      <c r="Q52" s="126"/>
      <c r="R52" s="125"/>
      <c r="S52" s="205"/>
      <c r="T52" s="207"/>
    </row>
    <row r="53" spans="1:22" s="113" customFormat="1" ht="22.5" x14ac:dyDescent="0.15">
      <c r="A53" s="202"/>
      <c r="B53" s="224"/>
      <c r="C53" s="202"/>
      <c r="D53" s="116" t="s">
        <v>82</v>
      </c>
      <c r="E53" s="117" t="s">
        <v>83</v>
      </c>
      <c r="F53" s="118">
        <v>2</v>
      </c>
      <c r="G53" s="118"/>
      <c r="H53" s="130">
        <v>8</v>
      </c>
      <c r="I53" s="130"/>
      <c r="J53" s="131"/>
      <c r="K53" s="131">
        <f>0.016*F53</f>
        <v>3.2000000000000001E-2</v>
      </c>
      <c r="L53" s="131"/>
      <c r="M53" s="130">
        <f t="shared" si="2"/>
        <v>0.25600000000000001</v>
      </c>
      <c r="N53" s="123"/>
      <c r="O53" s="124"/>
      <c r="P53" s="125"/>
      <c r="Q53" s="126"/>
      <c r="R53" s="125"/>
      <c r="S53" s="205"/>
      <c r="T53" s="207"/>
    </row>
    <row r="54" spans="1:22" s="113" customFormat="1" ht="22.5" x14ac:dyDescent="0.15">
      <c r="A54" s="202"/>
      <c r="B54" s="224"/>
      <c r="C54" s="202"/>
      <c r="D54" s="116" t="s">
        <v>84</v>
      </c>
      <c r="E54" s="117" t="s">
        <v>85</v>
      </c>
      <c r="F54" s="118">
        <v>2</v>
      </c>
      <c r="G54" s="118"/>
      <c r="H54" s="130">
        <v>8</v>
      </c>
      <c r="I54" s="130"/>
      <c r="J54" s="131"/>
      <c r="K54" s="131">
        <f>0.05*F54</f>
        <v>0.1</v>
      </c>
      <c r="L54" s="131"/>
      <c r="M54" s="130">
        <f t="shared" si="2"/>
        <v>0.8</v>
      </c>
      <c r="N54" s="123"/>
      <c r="O54" s="124"/>
      <c r="P54" s="125"/>
      <c r="Q54" s="126"/>
      <c r="R54" s="125"/>
      <c r="S54" s="205"/>
      <c r="T54" s="207"/>
    </row>
    <row r="55" spans="1:22" s="113" customFormat="1" ht="14.25" x14ac:dyDescent="0.15">
      <c r="A55" s="202"/>
      <c r="B55" s="224"/>
      <c r="C55" s="202"/>
      <c r="D55" s="116" t="s">
        <v>86</v>
      </c>
      <c r="E55" s="117" t="s">
        <v>87</v>
      </c>
      <c r="F55" s="118">
        <v>1</v>
      </c>
      <c r="G55" s="118"/>
      <c r="H55" s="130">
        <v>8</v>
      </c>
      <c r="I55" s="130"/>
      <c r="J55" s="131"/>
      <c r="K55" s="131">
        <f>0.076*F55</f>
        <v>7.5999999999999998E-2</v>
      </c>
      <c r="L55" s="131"/>
      <c r="M55" s="130">
        <f t="shared" si="2"/>
        <v>0.60799999999999998</v>
      </c>
      <c r="N55" s="123"/>
      <c r="O55" s="124"/>
      <c r="P55" s="125"/>
      <c r="Q55" s="126"/>
      <c r="R55" s="125"/>
      <c r="S55" s="205"/>
      <c r="T55" s="207"/>
    </row>
    <row r="56" spans="1:22" s="113" customFormat="1" ht="22.5" x14ac:dyDescent="0.15">
      <c r="A56" s="202"/>
      <c r="B56" s="224"/>
      <c r="C56" s="202"/>
      <c r="D56" s="116" t="s">
        <v>58</v>
      </c>
      <c r="E56" s="117" t="s">
        <v>59</v>
      </c>
      <c r="F56" s="118">
        <v>2</v>
      </c>
      <c r="G56" s="118"/>
      <c r="H56" s="130">
        <v>8</v>
      </c>
      <c r="I56" s="130"/>
      <c r="J56" s="131"/>
      <c r="K56" s="131">
        <f>0.048*F56</f>
        <v>9.6000000000000002E-2</v>
      </c>
      <c r="L56" s="131"/>
      <c r="M56" s="130">
        <f t="shared" si="2"/>
        <v>0.76800000000000002</v>
      </c>
      <c r="N56" s="123"/>
      <c r="O56" s="124"/>
      <c r="P56" s="125"/>
      <c r="Q56" s="126"/>
      <c r="R56" s="125"/>
      <c r="S56" s="205"/>
      <c r="T56" s="207"/>
    </row>
    <row r="57" spans="1:22" s="113" customFormat="1" ht="22.5" x14ac:dyDescent="0.15">
      <c r="A57" s="202"/>
      <c r="B57" s="224"/>
      <c r="C57" s="202"/>
      <c r="D57" s="116" t="s">
        <v>44</v>
      </c>
      <c r="E57" s="117" t="s">
        <v>45</v>
      </c>
      <c r="F57" s="118">
        <v>2</v>
      </c>
      <c r="G57" s="118"/>
      <c r="H57" s="130">
        <v>8</v>
      </c>
      <c r="I57" s="130"/>
      <c r="J57" s="131"/>
      <c r="K57" s="131">
        <f>0.065*F57</f>
        <v>0.13</v>
      </c>
      <c r="L57" s="131"/>
      <c r="M57" s="130">
        <f t="shared" si="2"/>
        <v>1.04</v>
      </c>
      <c r="N57" s="123"/>
      <c r="O57" s="124"/>
      <c r="P57" s="125"/>
      <c r="Q57" s="126"/>
      <c r="R57" s="125"/>
      <c r="S57" s="205"/>
      <c r="T57" s="207"/>
    </row>
    <row r="58" spans="1:22" s="113" customFormat="1" ht="24" x14ac:dyDescent="0.15">
      <c r="A58" s="203"/>
      <c r="B58" s="225"/>
      <c r="C58" s="203"/>
      <c r="D58" s="127" t="s">
        <v>227</v>
      </c>
      <c r="E58" s="104"/>
      <c r="F58" s="103"/>
      <c r="G58" s="103"/>
      <c r="H58" s="103"/>
      <c r="I58" s="103"/>
      <c r="J58" s="103"/>
      <c r="K58" s="103"/>
      <c r="L58" s="103"/>
      <c r="M58" s="128">
        <f>SUM(M40:M57)</f>
        <v>11.655980000000003</v>
      </c>
      <c r="N58" s="218" t="s">
        <v>228</v>
      </c>
      <c r="O58" s="219"/>
      <c r="P58" s="220"/>
      <c r="Q58" s="219"/>
      <c r="R58" s="129">
        <f>SUM(R40:R57)</f>
        <v>3.0700000000000003</v>
      </c>
      <c r="S58" s="205"/>
      <c r="T58" s="208"/>
    </row>
    <row r="59" spans="1:22" s="113" customFormat="1" ht="27" customHeight="1" x14ac:dyDescent="0.15">
      <c r="A59" s="202">
        <v>5</v>
      </c>
      <c r="B59" s="224" t="s">
        <v>88</v>
      </c>
      <c r="C59" s="202"/>
      <c r="D59" s="101" t="s">
        <v>89</v>
      </c>
      <c r="E59" s="102" t="s">
        <v>90</v>
      </c>
      <c r="F59" s="103">
        <v>1</v>
      </c>
      <c r="G59" s="104" t="s">
        <v>38</v>
      </c>
      <c r="H59" s="105">
        <v>4.9000000000000004</v>
      </c>
      <c r="I59" s="105">
        <v>2.1</v>
      </c>
      <c r="J59" s="106">
        <f>K59*1.15</f>
        <v>0.97979999999999989</v>
      </c>
      <c r="K59" s="107">
        <v>0.85199999999999998</v>
      </c>
      <c r="L59" s="108">
        <f>J59-K59</f>
        <v>0.12779999999999991</v>
      </c>
      <c r="M59" s="105">
        <f>H59*J59-I59*L59</f>
        <v>4.5326399999999998</v>
      </c>
      <c r="N59" s="109" t="s">
        <v>216</v>
      </c>
      <c r="O59" s="110" t="s">
        <v>223</v>
      </c>
      <c r="P59" s="111">
        <v>0.2</v>
      </c>
      <c r="Q59" s="112">
        <v>1</v>
      </c>
      <c r="R59" s="111">
        <f t="shared" ref="R59:R62" si="3">P59*Q59</f>
        <v>0.2</v>
      </c>
      <c r="S59" s="205">
        <v>1.1499999999999999</v>
      </c>
      <c r="T59" s="206">
        <f>(M70+R70)*S59</f>
        <v>15.018125999999997</v>
      </c>
      <c r="V59" s="113">
        <v>13.47</v>
      </c>
    </row>
    <row r="60" spans="1:22" s="113" customFormat="1" ht="14.25" x14ac:dyDescent="0.15">
      <c r="A60" s="202"/>
      <c r="B60" s="224"/>
      <c r="C60" s="202"/>
      <c r="D60" s="221"/>
      <c r="E60" s="222"/>
      <c r="F60" s="222"/>
      <c r="G60" s="222"/>
      <c r="H60" s="222"/>
      <c r="I60" s="222"/>
      <c r="J60" s="222"/>
      <c r="K60" s="222"/>
      <c r="L60" s="222"/>
      <c r="M60" s="223"/>
      <c r="N60" s="109" t="s">
        <v>229</v>
      </c>
      <c r="O60" s="110" t="s">
        <v>230</v>
      </c>
      <c r="P60" s="111">
        <v>0.24</v>
      </c>
      <c r="Q60" s="112">
        <v>2</v>
      </c>
      <c r="R60" s="111">
        <f t="shared" si="3"/>
        <v>0.48</v>
      </c>
      <c r="S60" s="205"/>
      <c r="T60" s="207"/>
    </row>
    <row r="61" spans="1:22" s="113" customFormat="1" ht="14.25" x14ac:dyDescent="0.15">
      <c r="A61" s="202"/>
      <c r="B61" s="224"/>
      <c r="C61" s="202"/>
      <c r="D61" s="104" t="s">
        <v>92</v>
      </c>
      <c r="E61" s="115" t="s">
        <v>93</v>
      </c>
      <c r="F61" s="103">
        <v>1</v>
      </c>
      <c r="G61" s="103" t="s">
        <v>38</v>
      </c>
      <c r="H61" s="128">
        <v>4.9000000000000004</v>
      </c>
      <c r="I61" s="105">
        <v>2.1</v>
      </c>
      <c r="J61" s="106">
        <f>K61*1.15</f>
        <v>0.35074999999999995</v>
      </c>
      <c r="K61" s="107">
        <v>0.30499999999999999</v>
      </c>
      <c r="L61" s="108">
        <f>J61-K61</f>
        <v>4.5749999999999957E-2</v>
      </c>
      <c r="M61" s="105">
        <f>H61*J61-I61*L61</f>
        <v>1.6226</v>
      </c>
      <c r="N61" s="109" t="s">
        <v>216</v>
      </c>
      <c r="O61" s="110" t="s">
        <v>223</v>
      </c>
      <c r="P61" s="111">
        <v>0.12</v>
      </c>
      <c r="Q61" s="112">
        <v>1</v>
      </c>
      <c r="R61" s="111">
        <f t="shared" si="3"/>
        <v>0.12</v>
      </c>
      <c r="S61" s="205"/>
      <c r="T61" s="207"/>
    </row>
    <row r="62" spans="1:22" s="113" customFormat="1" ht="14.25" x14ac:dyDescent="0.15">
      <c r="A62" s="202"/>
      <c r="B62" s="224"/>
      <c r="C62" s="202"/>
      <c r="D62" s="221"/>
      <c r="E62" s="222"/>
      <c r="F62" s="222"/>
      <c r="G62" s="222"/>
      <c r="H62" s="222"/>
      <c r="I62" s="222"/>
      <c r="J62" s="222"/>
      <c r="K62" s="222"/>
      <c r="L62" s="222"/>
      <c r="M62" s="223"/>
      <c r="N62" s="109" t="s">
        <v>236</v>
      </c>
      <c r="O62" s="114" t="s">
        <v>231</v>
      </c>
      <c r="P62" s="111">
        <v>0.12</v>
      </c>
      <c r="Q62" s="112">
        <v>1</v>
      </c>
      <c r="R62" s="111">
        <f t="shared" si="3"/>
        <v>0.12</v>
      </c>
      <c r="S62" s="205"/>
      <c r="T62" s="207"/>
    </row>
    <row r="63" spans="1:22" s="113" customFormat="1" ht="22.5" x14ac:dyDescent="0.15">
      <c r="A63" s="202"/>
      <c r="B63" s="224"/>
      <c r="C63" s="202"/>
      <c r="D63" s="116" t="s">
        <v>94</v>
      </c>
      <c r="E63" s="117" t="s">
        <v>95</v>
      </c>
      <c r="F63" s="118">
        <v>1</v>
      </c>
      <c r="G63" s="118"/>
      <c r="H63" s="130">
        <v>8</v>
      </c>
      <c r="I63" s="130"/>
      <c r="J63" s="131"/>
      <c r="K63" s="131">
        <f>0.048*F63</f>
        <v>4.8000000000000001E-2</v>
      </c>
      <c r="L63" s="131"/>
      <c r="M63" s="130">
        <f>H63*K63</f>
        <v>0.38400000000000001</v>
      </c>
      <c r="N63" s="123"/>
      <c r="O63" s="124"/>
      <c r="P63" s="125"/>
      <c r="Q63" s="126"/>
      <c r="R63" s="125"/>
      <c r="S63" s="205"/>
      <c r="T63" s="207"/>
    </row>
    <row r="64" spans="1:22" s="113" customFormat="1" ht="22.5" x14ac:dyDescent="0.15">
      <c r="A64" s="202"/>
      <c r="B64" s="224"/>
      <c r="C64" s="202"/>
      <c r="D64" s="116" t="s">
        <v>99</v>
      </c>
      <c r="E64" s="117" t="s">
        <v>100</v>
      </c>
      <c r="F64" s="118">
        <v>2</v>
      </c>
      <c r="G64" s="118"/>
      <c r="H64" s="130">
        <v>8</v>
      </c>
      <c r="I64" s="130"/>
      <c r="J64" s="131"/>
      <c r="K64" s="131">
        <f>0.02*F64</f>
        <v>0.04</v>
      </c>
      <c r="L64" s="131"/>
      <c r="M64" s="130">
        <f t="shared" ref="M64:M69" si="4">H64*K64</f>
        <v>0.32</v>
      </c>
      <c r="N64" s="123"/>
      <c r="O64" s="124"/>
      <c r="P64" s="125"/>
      <c r="Q64" s="126"/>
      <c r="R64" s="125"/>
      <c r="S64" s="205"/>
      <c r="T64" s="207"/>
    </row>
    <row r="65" spans="1:22" s="113" customFormat="1" ht="22.5" x14ac:dyDescent="0.15">
      <c r="A65" s="202"/>
      <c r="B65" s="224"/>
      <c r="C65" s="202"/>
      <c r="D65" s="116" t="s">
        <v>101</v>
      </c>
      <c r="E65" s="117" t="s">
        <v>102</v>
      </c>
      <c r="F65" s="118">
        <v>2</v>
      </c>
      <c r="G65" s="118"/>
      <c r="H65" s="130">
        <v>8</v>
      </c>
      <c r="I65" s="130"/>
      <c r="J65" s="131"/>
      <c r="K65" s="131">
        <f>0.061*F65</f>
        <v>0.122</v>
      </c>
      <c r="L65" s="131"/>
      <c r="M65" s="130">
        <f t="shared" si="4"/>
        <v>0.97599999999999998</v>
      </c>
      <c r="N65" s="123"/>
      <c r="O65" s="124"/>
      <c r="P65" s="125"/>
      <c r="Q65" s="126"/>
      <c r="R65" s="125"/>
      <c r="S65" s="205"/>
      <c r="T65" s="207"/>
    </row>
    <row r="66" spans="1:22" s="113" customFormat="1" ht="22.5" x14ac:dyDescent="0.15">
      <c r="A66" s="202"/>
      <c r="B66" s="224"/>
      <c r="C66" s="202"/>
      <c r="D66" s="116" t="s">
        <v>103</v>
      </c>
      <c r="E66" s="117" t="s">
        <v>104</v>
      </c>
      <c r="F66" s="118">
        <v>2</v>
      </c>
      <c r="G66" s="118"/>
      <c r="H66" s="130">
        <v>8</v>
      </c>
      <c r="I66" s="130"/>
      <c r="J66" s="131"/>
      <c r="K66" s="131">
        <f>0.091*F66</f>
        <v>0.182</v>
      </c>
      <c r="L66" s="131"/>
      <c r="M66" s="130">
        <f t="shared" si="4"/>
        <v>1.456</v>
      </c>
      <c r="N66" s="123"/>
      <c r="O66" s="124"/>
      <c r="P66" s="125"/>
      <c r="Q66" s="126"/>
      <c r="R66" s="125"/>
      <c r="S66" s="205"/>
      <c r="T66" s="207"/>
    </row>
    <row r="67" spans="1:22" s="113" customFormat="1" ht="22.5" x14ac:dyDescent="0.15">
      <c r="A67" s="202"/>
      <c r="B67" s="224"/>
      <c r="C67" s="202"/>
      <c r="D67" s="116" t="s">
        <v>107</v>
      </c>
      <c r="E67" s="117" t="s">
        <v>108</v>
      </c>
      <c r="F67" s="118">
        <v>2</v>
      </c>
      <c r="G67" s="118"/>
      <c r="H67" s="130">
        <v>8</v>
      </c>
      <c r="I67" s="130"/>
      <c r="J67" s="131"/>
      <c r="K67" s="131">
        <f>0.101*F67</f>
        <v>0.20200000000000001</v>
      </c>
      <c r="L67" s="131"/>
      <c r="M67" s="130">
        <f t="shared" si="4"/>
        <v>1.6160000000000001</v>
      </c>
      <c r="N67" s="123"/>
      <c r="O67" s="124"/>
      <c r="P67" s="125"/>
      <c r="Q67" s="126"/>
      <c r="R67" s="125"/>
      <c r="S67" s="205"/>
      <c r="T67" s="207"/>
    </row>
    <row r="68" spans="1:22" s="113" customFormat="1" ht="22.5" x14ac:dyDescent="0.15">
      <c r="A68" s="202"/>
      <c r="B68" s="224"/>
      <c r="C68" s="202"/>
      <c r="D68" s="116" t="s">
        <v>109</v>
      </c>
      <c r="E68" s="117" t="s">
        <v>110</v>
      </c>
      <c r="F68" s="118">
        <v>3</v>
      </c>
      <c r="G68" s="118"/>
      <c r="H68" s="130">
        <v>8</v>
      </c>
      <c r="I68" s="130"/>
      <c r="J68" s="131"/>
      <c r="K68" s="131">
        <f>0.041*F68</f>
        <v>0.123</v>
      </c>
      <c r="L68" s="131"/>
      <c r="M68" s="130">
        <f t="shared" si="4"/>
        <v>0.98399999999999999</v>
      </c>
      <c r="N68" s="123"/>
      <c r="O68" s="124"/>
      <c r="P68" s="125"/>
      <c r="Q68" s="126"/>
      <c r="R68" s="125"/>
      <c r="S68" s="205"/>
      <c r="T68" s="207"/>
    </row>
    <row r="69" spans="1:22" s="113" customFormat="1" ht="22.5" x14ac:dyDescent="0.15">
      <c r="A69" s="202"/>
      <c r="B69" s="224"/>
      <c r="C69" s="202"/>
      <c r="D69" s="116" t="s">
        <v>111</v>
      </c>
      <c r="E69" s="117" t="s">
        <v>112</v>
      </c>
      <c r="F69" s="118">
        <v>1</v>
      </c>
      <c r="G69" s="118"/>
      <c r="H69" s="130">
        <v>8</v>
      </c>
      <c r="I69" s="130"/>
      <c r="J69" s="131"/>
      <c r="K69" s="131">
        <f>0.031*F69</f>
        <v>3.1E-2</v>
      </c>
      <c r="L69" s="131"/>
      <c r="M69" s="130">
        <f t="shared" si="4"/>
        <v>0.248</v>
      </c>
      <c r="N69" s="123"/>
      <c r="O69" s="133"/>
      <c r="P69" s="125"/>
      <c r="Q69" s="126"/>
      <c r="R69" s="125"/>
      <c r="S69" s="205"/>
      <c r="T69" s="207"/>
    </row>
    <row r="70" spans="1:22" s="113" customFormat="1" ht="24" x14ac:dyDescent="0.15">
      <c r="A70" s="203"/>
      <c r="B70" s="225"/>
      <c r="C70" s="203"/>
      <c r="D70" s="127" t="s">
        <v>227</v>
      </c>
      <c r="E70" s="104"/>
      <c r="F70" s="103"/>
      <c r="G70" s="103"/>
      <c r="H70" s="103"/>
      <c r="I70" s="103"/>
      <c r="J70" s="103"/>
      <c r="K70" s="103"/>
      <c r="L70" s="103"/>
      <c r="M70" s="128">
        <f>SUM(M59:M69)</f>
        <v>12.139239999999999</v>
      </c>
      <c r="N70" s="218" t="s">
        <v>228</v>
      </c>
      <c r="O70" s="219"/>
      <c r="P70" s="220"/>
      <c r="Q70" s="219"/>
      <c r="R70" s="129">
        <f>SUM(R59:R69)</f>
        <v>0.91999999999999993</v>
      </c>
      <c r="S70" s="205"/>
      <c r="T70" s="208"/>
    </row>
    <row r="71" spans="1:22" s="113" customFormat="1" ht="27" customHeight="1" x14ac:dyDescent="0.15">
      <c r="A71" s="202">
        <v>6</v>
      </c>
      <c r="B71" s="224" t="s">
        <v>114</v>
      </c>
      <c r="C71" s="202"/>
      <c r="D71" s="101" t="s">
        <v>89</v>
      </c>
      <c r="E71" s="102" t="s">
        <v>90</v>
      </c>
      <c r="F71" s="103">
        <v>1</v>
      </c>
      <c r="G71" s="104" t="s">
        <v>38</v>
      </c>
      <c r="H71" s="105">
        <v>4.9000000000000004</v>
      </c>
      <c r="I71" s="105">
        <v>2.1</v>
      </c>
      <c r="J71" s="106">
        <f>K71*1.15</f>
        <v>0.94989999999999986</v>
      </c>
      <c r="K71" s="107">
        <v>0.82599999999999996</v>
      </c>
      <c r="L71" s="108">
        <f>J71-K71</f>
        <v>0.1238999999999999</v>
      </c>
      <c r="M71" s="105">
        <f>H71*J71-I71*L71</f>
        <v>4.3943199999999996</v>
      </c>
      <c r="N71" s="109" t="s">
        <v>216</v>
      </c>
      <c r="O71" s="110" t="s">
        <v>223</v>
      </c>
      <c r="P71" s="111">
        <v>0.2</v>
      </c>
      <c r="Q71" s="112">
        <v>1</v>
      </c>
      <c r="R71" s="111">
        <f t="shared" ref="R71:R74" si="5">P71*Q71</f>
        <v>0.2</v>
      </c>
      <c r="S71" s="205">
        <v>1.1499999999999999</v>
      </c>
      <c r="T71" s="206">
        <f>(M82+R82)*S71</f>
        <v>14.706107999999999</v>
      </c>
      <c r="V71" s="113">
        <v>13.15</v>
      </c>
    </row>
    <row r="72" spans="1:22" s="113" customFormat="1" ht="14.25" x14ac:dyDescent="0.15">
      <c r="A72" s="202"/>
      <c r="B72" s="224"/>
      <c r="C72" s="202"/>
      <c r="D72" s="221"/>
      <c r="E72" s="222"/>
      <c r="F72" s="222"/>
      <c r="G72" s="222"/>
      <c r="H72" s="222"/>
      <c r="I72" s="222"/>
      <c r="J72" s="222"/>
      <c r="K72" s="222"/>
      <c r="L72" s="222"/>
      <c r="M72" s="223"/>
      <c r="N72" s="109" t="s">
        <v>229</v>
      </c>
      <c r="O72" s="110" t="s">
        <v>230</v>
      </c>
      <c r="P72" s="111">
        <v>0.24</v>
      </c>
      <c r="Q72" s="112">
        <v>2</v>
      </c>
      <c r="R72" s="111">
        <f t="shared" si="5"/>
        <v>0.48</v>
      </c>
      <c r="S72" s="205"/>
      <c r="T72" s="207"/>
    </row>
    <row r="73" spans="1:22" s="113" customFormat="1" ht="14.25" x14ac:dyDescent="0.15">
      <c r="A73" s="202"/>
      <c r="B73" s="224"/>
      <c r="C73" s="202"/>
      <c r="D73" s="104" t="s">
        <v>92</v>
      </c>
      <c r="E73" s="115" t="s">
        <v>93</v>
      </c>
      <c r="F73" s="103">
        <v>1</v>
      </c>
      <c r="G73" s="103" t="s">
        <v>38</v>
      </c>
      <c r="H73" s="128">
        <v>4.9000000000000004</v>
      </c>
      <c r="I73" s="105">
        <v>2.1</v>
      </c>
      <c r="J73" s="106">
        <f>K73*1.15</f>
        <v>0.32200000000000001</v>
      </c>
      <c r="K73" s="107">
        <v>0.28000000000000003</v>
      </c>
      <c r="L73" s="108">
        <f>J73-K73</f>
        <v>4.1999999999999982E-2</v>
      </c>
      <c r="M73" s="105">
        <f>H73*J73-I73*L73</f>
        <v>1.4896</v>
      </c>
      <c r="N73" s="109" t="s">
        <v>216</v>
      </c>
      <c r="O73" s="110" t="s">
        <v>223</v>
      </c>
      <c r="P73" s="111">
        <v>0.12</v>
      </c>
      <c r="Q73" s="112">
        <v>1</v>
      </c>
      <c r="R73" s="111">
        <f t="shared" si="5"/>
        <v>0.12</v>
      </c>
      <c r="S73" s="205"/>
      <c r="T73" s="207"/>
    </row>
    <row r="74" spans="1:22" s="113" customFormat="1" ht="14.25" x14ac:dyDescent="0.15">
      <c r="A74" s="202"/>
      <c r="B74" s="224"/>
      <c r="C74" s="202"/>
      <c r="D74" s="221"/>
      <c r="E74" s="222"/>
      <c r="F74" s="222"/>
      <c r="G74" s="222"/>
      <c r="H74" s="222"/>
      <c r="I74" s="222"/>
      <c r="J74" s="222"/>
      <c r="K74" s="222"/>
      <c r="L74" s="222"/>
      <c r="M74" s="223"/>
      <c r="N74" s="109" t="s">
        <v>236</v>
      </c>
      <c r="O74" s="114" t="s">
        <v>231</v>
      </c>
      <c r="P74" s="111">
        <v>0.12</v>
      </c>
      <c r="Q74" s="112">
        <v>1</v>
      </c>
      <c r="R74" s="111">
        <f t="shared" si="5"/>
        <v>0.12</v>
      </c>
      <c r="S74" s="205"/>
      <c r="T74" s="207"/>
    </row>
    <row r="75" spans="1:22" s="113" customFormat="1" ht="22.5" x14ac:dyDescent="0.15">
      <c r="A75" s="202"/>
      <c r="B75" s="224"/>
      <c r="C75" s="202"/>
      <c r="D75" s="116" t="s">
        <v>94</v>
      </c>
      <c r="E75" s="117" t="s">
        <v>95</v>
      </c>
      <c r="F75" s="118">
        <v>1</v>
      </c>
      <c r="G75" s="118"/>
      <c r="H75" s="130">
        <v>8</v>
      </c>
      <c r="I75" s="130"/>
      <c r="J75" s="131"/>
      <c r="K75" s="131">
        <f>0.048*F75</f>
        <v>4.8000000000000001E-2</v>
      </c>
      <c r="L75" s="131"/>
      <c r="M75" s="130">
        <f>H75*K75</f>
        <v>0.38400000000000001</v>
      </c>
      <c r="N75" s="123"/>
      <c r="O75" s="124"/>
      <c r="P75" s="125"/>
      <c r="Q75" s="126"/>
      <c r="R75" s="125"/>
      <c r="S75" s="205"/>
      <c r="T75" s="207"/>
    </row>
    <row r="76" spans="1:22" s="113" customFormat="1" ht="22.5" x14ac:dyDescent="0.15">
      <c r="A76" s="202"/>
      <c r="B76" s="224"/>
      <c r="C76" s="202"/>
      <c r="D76" s="116" t="s">
        <v>99</v>
      </c>
      <c r="E76" s="117" t="s">
        <v>100</v>
      </c>
      <c r="F76" s="118">
        <v>2</v>
      </c>
      <c r="G76" s="118"/>
      <c r="H76" s="130">
        <v>8</v>
      </c>
      <c r="I76" s="130"/>
      <c r="J76" s="131"/>
      <c r="K76" s="131">
        <f>0.02*F76</f>
        <v>0.04</v>
      </c>
      <c r="L76" s="131"/>
      <c r="M76" s="130">
        <f t="shared" ref="M76:M81" si="6">H76*K76</f>
        <v>0.32</v>
      </c>
      <c r="N76" s="123"/>
      <c r="O76" s="124"/>
      <c r="P76" s="125"/>
      <c r="Q76" s="126"/>
      <c r="R76" s="125"/>
      <c r="S76" s="205"/>
      <c r="T76" s="207"/>
    </row>
    <row r="77" spans="1:22" s="113" customFormat="1" ht="22.5" x14ac:dyDescent="0.15">
      <c r="A77" s="202"/>
      <c r="B77" s="224"/>
      <c r="C77" s="202"/>
      <c r="D77" s="116" t="s">
        <v>101</v>
      </c>
      <c r="E77" s="117" t="s">
        <v>102</v>
      </c>
      <c r="F77" s="118">
        <v>2</v>
      </c>
      <c r="G77" s="118"/>
      <c r="H77" s="130">
        <v>8</v>
      </c>
      <c r="I77" s="130"/>
      <c r="J77" s="131"/>
      <c r="K77" s="131">
        <f>0.061*F77</f>
        <v>0.122</v>
      </c>
      <c r="L77" s="131"/>
      <c r="M77" s="130">
        <f t="shared" si="6"/>
        <v>0.97599999999999998</v>
      </c>
      <c r="N77" s="123"/>
      <c r="O77" s="124"/>
      <c r="P77" s="125"/>
      <c r="Q77" s="126"/>
      <c r="R77" s="125"/>
      <c r="S77" s="205"/>
      <c r="T77" s="207"/>
    </row>
    <row r="78" spans="1:22" s="113" customFormat="1" ht="22.5" x14ac:dyDescent="0.15">
      <c r="A78" s="202"/>
      <c r="B78" s="224"/>
      <c r="C78" s="202"/>
      <c r="D78" s="116" t="s">
        <v>103</v>
      </c>
      <c r="E78" s="117" t="s">
        <v>104</v>
      </c>
      <c r="F78" s="118">
        <v>2</v>
      </c>
      <c r="G78" s="118"/>
      <c r="H78" s="130">
        <v>8</v>
      </c>
      <c r="I78" s="130"/>
      <c r="J78" s="131"/>
      <c r="K78" s="131">
        <f>0.091*F78</f>
        <v>0.182</v>
      </c>
      <c r="L78" s="131"/>
      <c r="M78" s="130">
        <f t="shared" si="6"/>
        <v>1.456</v>
      </c>
      <c r="N78" s="123"/>
      <c r="O78" s="124"/>
      <c r="P78" s="125"/>
      <c r="Q78" s="126"/>
      <c r="R78" s="125"/>
      <c r="S78" s="205"/>
      <c r="T78" s="207"/>
    </row>
    <row r="79" spans="1:22" s="113" customFormat="1" ht="22.5" x14ac:dyDescent="0.15">
      <c r="A79" s="202"/>
      <c r="B79" s="224"/>
      <c r="C79" s="202"/>
      <c r="D79" s="116" t="s">
        <v>107</v>
      </c>
      <c r="E79" s="117" t="s">
        <v>108</v>
      </c>
      <c r="F79" s="118">
        <v>2</v>
      </c>
      <c r="G79" s="118"/>
      <c r="H79" s="130">
        <v>8</v>
      </c>
      <c r="I79" s="130"/>
      <c r="J79" s="131"/>
      <c r="K79" s="131">
        <f>0.101*F79</f>
        <v>0.20200000000000001</v>
      </c>
      <c r="L79" s="131"/>
      <c r="M79" s="130">
        <f t="shared" si="6"/>
        <v>1.6160000000000001</v>
      </c>
      <c r="N79" s="123"/>
      <c r="O79" s="124"/>
      <c r="P79" s="125"/>
      <c r="Q79" s="126"/>
      <c r="R79" s="125"/>
      <c r="S79" s="205"/>
      <c r="T79" s="207"/>
    </row>
    <row r="80" spans="1:22" s="113" customFormat="1" ht="22.5" x14ac:dyDescent="0.15">
      <c r="A80" s="202"/>
      <c r="B80" s="224"/>
      <c r="C80" s="202"/>
      <c r="D80" s="116" t="s">
        <v>109</v>
      </c>
      <c r="E80" s="117" t="s">
        <v>110</v>
      </c>
      <c r="F80" s="118">
        <v>3</v>
      </c>
      <c r="G80" s="118"/>
      <c r="H80" s="130">
        <v>8</v>
      </c>
      <c r="I80" s="130"/>
      <c r="J80" s="131"/>
      <c r="K80" s="131">
        <f>0.041*F80</f>
        <v>0.123</v>
      </c>
      <c r="L80" s="131"/>
      <c r="M80" s="130">
        <f t="shared" si="6"/>
        <v>0.98399999999999999</v>
      </c>
      <c r="N80" s="123"/>
      <c r="O80" s="124"/>
      <c r="P80" s="125"/>
      <c r="Q80" s="126"/>
      <c r="R80" s="125"/>
      <c r="S80" s="205"/>
      <c r="T80" s="207"/>
    </row>
    <row r="81" spans="1:20" s="113" customFormat="1" ht="22.5" x14ac:dyDescent="0.15">
      <c r="A81" s="202"/>
      <c r="B81" s="224"/>
      <c r="C81" s="202"/>
      <c r="D81" s="116" t="s">
        <v>111</v>
      </c>
      <c r="E81" s="117" t="s">
        <v>112</v>
      </c>
      <c r="F81" s="118">
        <v>1</v>
      </c>
      <c r="G81" s="118"/>
      <c r="H81" s="130">
        <v>8</v>
      </c>
      <c r="I81" s="130"/>
      <c r="J81" s="131"/>
      <c r="K81" s="131">
        <f>0.031*F81</f>
        <v>3.1E-2</v>
      </c>
      <c r="L81" s="131"/>
      <c r="M81" s="130">
        <f t="shared" si="6"/>
        <v>0.248</v>
      </c>
      <c r="N81" s="123"/>
      <c r="O81" s="133"/>
      <c r="P81" s="125"/>
      <c r="Q81" s="126"/>
      <c r="R81" s="125"/>
      <c r="S81" s="205"/>
      <c r="T81" s="207"/>
    </row>
    <row r="82" spans="1:20" s="113" customFormat="1" ht="24" x14ac:dyDescent="0.15">
      <c r="A82" s="203"/>
      <c r="B82" s="225"/>
      <c r="C82" s="203"/>
      <c r="D82" s="127" t="s">
        <v>227</v>
      </c>
      <c r="E82" s="104"/>
      <c r="F82" s="103"/>
      <c r="G82" s="103"/>
      <c r="H82" s="103"/>
      <c r="I82" s="103"/>
      <c r="J82" s="103"/>
      <c r="K82" s="103"/>
      <c r="L82" s="103"/>
      <c r="M82" s="128">
        <f>SUM(M71:M81)</f>
        <v>11.86792</v>
      </c>
      <c r="N82" s="218" t="s">
        <v>228</v>
      </c>
      <c r="O82" s="219"/>
      <c r="P82" s="220"/>
      <c r="Q82" s="219"/>
      <c r="R82" s="129">
        <f>SUM(R71:R81)</f>
        <v>0.91999999999999993</v>
      </c>
      <c r="S82" s="205"/>
      <c r="T82" s="208"/>
    </row>
    <row r="83" spans="1:20" ht="30" customHeight="1" x14ac:dyDescent="0.15">
      <c r="N83" s="226" t="s">
        <v>241</v>
      </c>
      <c r="O83" s="226"/>
      <c r="P83" s="226"/>
      <c r="Q83" s="226"/>
      <c r="R83" s="226"/>
      <c r="S83" s="226"/>
      <c r="T83" s="226"/>
    </row>
    <row r="84" spans="1:20" ht="30" customHeight="1" x14ac:dyDescent="0.15">
      <c r="N84" s="226" t="s">
        <v>242</v>
      </c>
      <c r="O84" s="226"/>
      <c r="P84" s="226"/>
      <c r="Q84" s="226"/>
      <c r="R84" s="226"/>
      <c r="S84" s="226"/>
      <c r="T84" s="226"/>
    </row>
  </sheetData>
  <mergeCells count="64">
    <mergeCell ref="N84:T84"/>
    <mergeCell ref="A71:A82"/>
    <mergeCell ref="B71:B82"/>
    <mergeCell ref="C71:C82"/>
    <mergeCell ref="S71:S82"/>
    <mergeCell ref="T71:T82"/>
    <mergeCell ref="D72:M72"/>
    <mergeCell ref="D74:M74"/>
    <mergeCell ref="N82:Q82"/>
    <mergeCell ref="T59:T70"/>
    <mergeCell ref="D60:M60"/>
    <mergeCell ref="D62:M62"/>
    <mergeCell ref="N70:Q70"/>
    <mergeCell ref="N83:T83"/>
    <mergeCell ref="A40:A58"/>
    <mergeCell ref="B40:B58"/>
    <mergeCell ref="C40:C58"/>
    <mergeCell ref="S40:S58"/>
    <mergeCell ref="A59:A70"/>
    <mergeCell ref="B59:B70"/>
    <mergeCell ref="C59:C70"/>
    <mergeCell ref="S59:S70"/>
    <mergeCell ref="T40:T58"/>
    <mergeCell ref="D41:M46"/>
    <mergeCell ref="D48:M48"/>
    <mergeCell ref="D50:M51"/>
    <mergeCell ref="N58:Q58"/>
    <mergeCell ref="A27:A39"/>
    <mergeCell ref="B27:B39"/>
    <mergeCell ref="C27:C39"/>
    <mergeCell ref="S27:S39"/>
    <mergeCell ref="T27:T39"/>
    <mergeCell ref="D28:M31"/>
    <mergeCell ref="N39:Q39"/>
    <mergeCell ref="A13:A26"/>
    <mergeCell ref="B13:B26"/>
    <mergeCell ref="C13:C26"/>
    <mergeCell ref="T13:T26"/>
    <mergeCell ref="D14:M17"/>
    <mergeCell ref="D21:M22"/>
    <mergeCell ref="N26:Q26"/>
    <mergeCell ref="S13:S26"/>
    <mergeCell ref="A4:A12"/>
    <mergeCell ref="B4:B12"/>
    <mergeCell ref="C4:C12"/>
    <mergeCell ref="S4:S12"/>
    <mergeCell ref="T4:T12"/>
    <mergeCell ref="D5:M7"/>
    <mergeCell ref="D9:M10"/>
    <mergeCell ref="N12:Q12"/>
    <mergeCell ref="A1:T1"/>
    <mergeCell ref="A2:A3"/>
    <mergeCell ref="B2:B3"/>
    <mergeCell ref="C2:C3"/>
    <mergeCell ref="D2:D3"/>
    <mergeCell ref="E2:E3"/>
    <mergeCell ref="F2:F3"/>
    <mergeCell ref="G2:G3"/>
    <mergeCell ref="H2:I2"/>
    <mergeCell ref="J2:L2"/>
    <mergeCell ref="M2:M3"/>
    <mergeCell ref="N2:R2"/>
    <mergeCell ref="S2:S3"/>
    <mergeCell ref="T2:T3"/>
  </mergeCells>
  <phoneticPr fontId="14" type="noConversion"/>
  <conditionalFormatting sqref="B4">
    <cfRule type="duplicateValues" dxfId="45" priority="9"/>
  </conditionalFormatting>
  <conditionalFormatting sqref="B13">
    <cfRule type="duplicateValues" dxfId="44" priority="5"/>
  </conditionalFormatting>
  <conditionalFormatting sqref="B27">
    <cfRule type="duplicateValues" dxfId="43" priority="1"/>
  </conditionalFormatting>
  <conditionalFormatting sqref="A2:A3">
    <cfRule type="duplicateValues" dxfId="42" priority="13"/>
    <cfRule type="duplicateValues" dxfId="41" priority="14"/>
    <cfRule type="duplicateValues" dxfId="40" priority="15"/>
  </conditionalFormatting>
  <conditionalFormatting sqref="A4:A12">
    <cfRule type="duplicateValues" dxfId="39" priority="10"/>
    <cfRule type="duplicateValues" dxfId="38" priority="11"/>
    <cfRule type="duplicateValues" dxfId="37" priority="12"/>
  </conditionalFormatting>
  <conditionalFormatting sqref="A13:A26">
    <cfRule type="duplicateValues" dxfId="36" priority="6"/>
    <cfRule type="duplicateValues" dxfId="35" priority="7"/>
    <cfRule type="duplicateValues" dxfId="34" priority="8"/>
  </conditionalFormatting>
  <conditionalFormatting sqref="A27:A39">
    <cfRule type="duplicateValues" dxfId="33" priority="2"/>
    <cfRule type="duplicateValues" dxfId="32" priority="3"/>
    <cfRule type="duplicateValues" dxfId="31" priority="4"/>
  </conditionalFormatting>
  <conditionalFormatting sqref="D2:D3">
    <cfRule type="duplicateValues" dxfId="30" priority="16"/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0"/>
  <sheetViews>
    <sheetView workbookViewId="0">
      <selection activeCell="D16" sqref="D16:M19"/>
    </sheetView>
  </sheetViews>
  <sheetFormatPr defaultColWidth="9" defaultRowHeight="13.5" x14ac:dyDescent="0.15"/>
  <cols>
    <col min="4" max="4" width="10" customWidth="1"/>
    <col min="5" max="5" width="9.875" customWidth="1"/>
    <col min="6" max="6" width="7.625" customWidth="1"/>
    <col min="7" max="7" width="10.625" customWidth="1"/>
    <col min="8" max="11" width="8.125" customWidth="1"/>
    <col min="12" max="12" width="8.375" customWidth="1"/>
    <col min="13" max="13" width="7.875" customWidth="1"/>
    <col min="16" max="16" width="9" style="134" customWidth="1"/>
    <col min="18" max="18" width="9.875" style="134" customWidth="1"/>
    <col min="19" max="19" width="10.125" style="134" customWidth="1"/>
    <col min="20" max="20" width="10.125" customWidth="1"/>
    <col min="21" max="21" width="9" style="135"/>
  </cols>
  <sheetData>
    <row r="1" spans="1:21" ht="33.950000000000003" customHeight="1" x14ac:dyDescent="0.15">
      <c r="A1" s="181" t="s">
        <v>257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L1" s="181"/>
      <c r="M1" s="181"/>
      <c r="N1" s="181"/>
      <c r="O1" s="181"/>
      <c r="P1" s="182"/>
      <c r="Q1" s="181"/>
      <c r="R1" s="182"/>
      <c r="S1" s="182"/>
      <c r="T1" s="181"/>
      <c r="U1" s="183"/>
    </row>
    <row r="2" spans="1:21" s="94" customFormat="1" ht="15" x14ac:dyDescent="0.15">
      <c r="A2" s="184" t="s">
        <v>199</v>
      </c>
      <c r="B2" s="186" t="s">
        <v>2</v>
      </c>
      <c r="C2" s="188" t="s">
        <v>3</v>
      </c>
      <c r="D2" s="186" t="s">
        <v>200</v>
      </c>
      <c r="E2" s="190" t="s">
        <v>201</v>
      </c>
      <c r="F2" s="186" t="s">
        <v>202</v>
      </c>
      <c r="G2" s="192" t="s">
        <v>5</v>
      </c>
      <c r="H2" s="194" t="s">
        <v>203</v>
      </c>
      <c r="I2" s="195"/>
      <c r="J2" s="196" t="s">
        <v>204</v>
      </c>
      <c r="K2" s="197"/>
      <c r="L2" s="197"/>
      <c r="M2" s="194" t="s">
        <v>9</v>
      </c>
      <c r="N2" s="194" t="s">
        <v>205</v>
      </c>
      <c r="O2" s="195"/>
      <c r="P2" s="198"/>
      <c r="Q2" s="195"/>
      <c r="R2" s="198"/>
      <c r="S2" s="227" t="s">
        <v>258</v>
      </c>
      <c r="T2" s="194" t="s">
        <v>206</v>
      </c>
      <c r="U2" s="199" t="s">
        <v>207</v>
      </c>
    </row>
    <row r="3" spans="1:21" s="94" customFormat="1" ht="15" x14ac:dyDescent="0.15">
      <c r="A3" s="185"/>
      <c r="B3" s="187"/>
      <c r="C3" s="189"/>
      <c r="D3" s="187"/>
      <c r="E3" s="191"/>
      <c r="F3" s="187"/>
      <c r="G3" s="193"/>
      <c r="H3" s="150" t="s">
        <v>208</v>
      </c>
      <c r="I3" s="150" t="s">
        <v>209</v>
      </c>
      <c r="J3" s="151" t="s">
        <v>210</v>
      </c>
      <c r="K3" s="151" t="s">
        <v>211</v>
      </c>
      <c r="L3" s="151" t="s">
        <v>209</v>
      </c>
      <c r="M3" s="195"/>
      <c r="N3" s="97" t="s">
        <v>212</v>
      </c>
      <c r="O3" s="150" t="s">
        <v>213</v>
      </c>
      <c r="P3" s="98" t="s">
        <v>214</v>
      </c>
      <c r="Q3" s="99" t="s">
        <v>215</v>
      </c>
      <c r="R3" s="100" t="s">
        <v>12</v>
      </c>
      <c r="S3" s="228"/>
      <c r="T3" s="195"/>
      <c r="U3" s="200"/>
    </row>
    <row r="4" spans="1:21" s="113" customFormat="1" ht="27" customHeight="1" x14ac:dyDescent="0.15">
      <c r="A4" s="201">
        <v>1</v>
      </c>
      <c r="B4" s="204" t="s">
        <v>20</v>
      </c>
      <c r="C4" s="201"/>
      <c r="D4" s="101" t="s">
        <v>25</v>
      </c>
      <c r="E4" s="152" t="s">
        <v>26</v>
      </c>
      <c r="F4" s="148">
        <v>2</v>
      </c>
      <c r="G4" s="104" t="s">
        <v>27</v>
      </c>
      <c r="H4" s="105">
        <v>4.5</v>
      </c>
      <c r="I4" s="105">
        <v>2.1</v>
      </c>
      <c r="J4" s="106">
        <f>0.071*F4</f>
        <v>0.14199999999999999</v>
      </c>
      <c r="K4" s="107">
        <f>0.037*F4</f>
        <v>7.3999999999999996E-2</v>
      </c>
      <c r="L4" s="108">
        <f>J4-K4</f>
        <v>6.7999999999999991E-2</v>
      </c>
      <c r="M4" s="105">
        <f>J4*H4-I4*L4</f>
        <v>0.49619999999999992</v>
      </c>
      <c r="N4" s="153" t="s">
        <v>216</v>
      </c>
      <c r="O4" s="154" t="s">
        <v>217</v>
      </c>
      <c r="P4" s="111">
        <v>0.1</v>
      </c>
      <c r="Q4" s="112">
        <v>1</v>
      </c>
      <c r="R4" s="111">
        <f>(P4*Q4)*F4</f>
        <v>0.2</v>
      </c>
      <c r="S4" s="229"/>
      <c r="T4" s="205">
        <v>1.1200000000000001</v>
      </c>
      <c r="U4" s="206">
        <f>(M14+R14+S14)*T4</f>
        <v>8.3137152000000007</v>
      </c>
    </row>
    <row r="5" spans="1:21" s="113" customFormat="1" ht="14.25" x14ac:dyDescent="0.15">
      <c r="A5" s="202"/>
      <c r="B5" s="202"/>
      <c r="C5" s="202"/>
      <c r="D5" s="209"/>
      <c r="E5" s="210"/>
      <c r="F5" s="210"/>
      <c r="G5" s="210"/>
      <c r="H5" s="210"/>
      <c r="I5" s="210"/>
      <c r="J5" s="210"/>
      <c r="K5" s="210"/>
      <c r="L5" s="210"/>
      <c r="M5" s="211"/>
      <c r="N5" s="153" t="s">
        <v>218</v>
      </c>
      <c r="O5" s="114" t="s">
        <v>219</v>
      </c>
      <c r="P5" s="111">
        <v>0.09</v>
      </c>
      <c r="Q5" s="112">
        <v>1</v>
      </c>
      <c r="R5" s="111">
        <f>(P5*Q5)*F4</f>
        <v>0.18</v>
      </c>
      <c r="S5" s="230"/>
      <c r="T5" s="205"/>
      <c r="U5" s="207"/>
    </row>
    <row r="6" spans="1:21" s="113" customFormat="1" ht="14.25" x14ac:dyDescent="0.15">
      <c r="A6" s="202"/>
      <c r="B6" s="202"/>
      <c r="C6" s="202"/>
      <c r="D6" s="212"/>
      <c r="E6" s="213"/>
      <c r="F6" s="213"/>
      <c r="G6" s="213"/>
      <c r="H6" s="213"/>
      <c r="I6" s="213"/>
      <c r="J6" s="213"/>
      <c r="K6" s="213"/>
      <c r="L6" s="213"/>
      <c r="M6" s="214"/>
      <c r="N6" s="153" t="s">
        <v>220</v>
      </c>
      <c r="O6" s="114" t="s">
        <v>221</v>
      </c>
      <c r="P6" s="111">
        <v>0.08</v>
      </c>
      <c r="Q6" s="112">
        <v>1</v>
      </c>
      <c r="R6" s="111">
        <f>(P6*Q6)*F4</f>
        <v>0.16</v>
      </c>
      <c r="S6" s="230"/>
      <c r="T6" s="205"/>
      <c r="U6" s="207"/>
    </row>
    <row r="7" spans="1:21" s="113" customFormat="1" ht="14.25" x14ac:dyDescent="0.15">
      <c r="A7" s="202"/>
      <c r="B7" s="202"/>
      <c r="C7" s="202"/>
      <c r="D7" s="215"/>
      <c r="E7" s="216"/>
      <c r="F7" s="216"/>
      <c r="G7" s="216"/>
      <c r="H7" s="216"/>
      <c r="I7" s="216"/>
      <c r="J7" s="216"/>
      <c r="K7" s="216"/>
      <c r="L7" s="216"/>
      <c r="M7" s="217"/>
      <c r="N7" s="153" t="s">
        <v>222</v>
      </c>
      <c r="O7" s="114" t="s">
        <v>221</v>
      </c>
      <c r="P7" s="111">
        <v>0.08</v>
      </c>
      <c r="Q7" s="112">
        <v>1</v>
      </c>
      <c r="R7" s="111">
        <f>(P7*Q7)*F4</f>
        <v>0.16</v>
      </c>
      <c r="S7" s="230"/>
      <c r="T7" s="205"/>
      <c r="U7" s="207"/>
    </row>
    <row r="8" spans="1:21" s="113" customFormat="1" ht="14.25" x14ac:dyDescent="0.15">
      <c r="A8" s="202"/>
      <c r="B8" s="202"/>
      <c r="C8" s="202"/>
      <c r="D8" s="104" t="s">
        <v>29</v>
      </c>
      <c r="E8" s="115" t="s">
        <v>30</v>
      </c>
      <c r="F8" s="148">
        <v>1</v>
      </c>
      <c r="G8" s="104" t="s">
        <v>38</v>
      </c>
      <c r="H8" s="105">
        <v>4.9000000000000004</v>
      </c>
      <c r="I8" s="105">
        <v>2.1</v>
      </c>
      <c r="J8" s="106">
        <f>K8*1.15</f>
        <v>0.40019999999999994</v>
      </c>
      <c r="K8" s="107">
        <v>0.34799999999999998</v>
      </c>
      <c r="L8" s="108">
        <f>J8-K8</f>
        <v>5.2199999999999969E-2</v>
      </c>
      <c r="M8" s="105">
        <f>J8*H8-I8*L8</f>
        <v>1.8513600000000001</v>
      </c>
      <c r="N8" s="153" t="s">
        <v>216</v>
      </c>
      <c r="O8" s="154" t="s">
        <v>223</v>
      </c>
      <c r="P8" s="111">
        <v>0.12</v>
      </c>
      <c r="Q8" s="112">
        <v>1</v>
      </c>
      <c r="R8" s="111">
        <f t="shared" ref="R8:R10" si="0">P8*Q8</f>
        <v>0.12</v>
      </c>
      <c r="S8" s="230"/>
      <c r="T8" s="205"/>
      <c r="U8" s="207"/>
    </row>
    <row r="9" spans="1:21" s="113" customFormat="1" ht="14.25" x14ac:dyDescent="0.15">
      <c r="A9" s="202"/>
      <c r="B9" s="202"/>
      <c r="C9" s="202"/>
      <c r="D9" s="209"/>
      <c r="E9" s="210"/>
      <c r="F9" s="210"/>
      <c r="G9" s="210"/>
      <c r="H9" s="210"/>
      <c r="I9" s="210"/>
      <c r="J9" s="210"/>
      <c r="K9" s="210"/>
      <c r="L9" s="210"/>
      <c r="M9" s="211"/>
      <c r="N9" s="153" t="s">
        <v>224</v>
      </c>
      <c r="O9" s="114" t="s">
        <v>225</v>
      </c>
      <c r="P9" s="111">
        <v>0.11</v>
      </c>
      <c r="Q9" s="112">
        <v>1</v>
      </c>
      <c r="R9" s="111">
        <f t="shared" si="0"/>
        <v>0.11</v>
      </c>
      <c r="S9" s="230"/>
      <c r="T9" s="205"/>
      <c r="U9" s="207"/>
    </row>
    <row r="10" spans="1:21" s="113" customFormat="1" ht="14.25" x14ac:dyDescent="0.15">
      <c r="A10" s="202"/>
      <c r="B10" s="202"/>
      <c r="C10" s="202"/>
      <c r="D10" s="215"/>
      <c r="E10" s="216"/>
      <c r="F10" s="216"/>
      <c r="G10" s="216"/>
      <c r="H10" s="216"/>
      <c r="I10" s="216"/>
      <c r="J10" s="216"/>
      <c r="K10" s="216"/>
      <c r="L10" s="216"/>
      <c r="M10" s="217"/>
      <c r="N10" s="153" t="s">
        <v>226</v>
      </c>
      <c r="O10" s="114" t="s">
        <v>225</v>
      </c>
      <c r="P10" s="111">
        <v>0.11</v>
      </c>
      <c r="Q10" s="112">
        <v>1</v>
      </c>
      <c r="R10" s="111">
        <f t="shared" si="0"/>
        <v>0.11</v>
      </c>
      <c r="S10" s="230"/>
      <c r="T10" s="205"/>
      <c r="U10" s="207"/>
    </row>
    <row r="11" spans="1:21" s="113" customFormat="1" ht="14.25" x14ac:dyDescent="0.15">
      <c r="A11" s="202"/>
      <c r="B11" s="202"/>
      <c r="C11" s="202"/>
      <c r="D11" s="116" t="s">
        <v>32</v>
      </c>
      <c r="E11" s="117" t="s">
        <v>33</v>
      </c>
      <c r="F11" s="118">
        <v>1</v>
      </c>
      <c r="G11" s="116" t="s">
        <v>34</v>
      </c>
      <c r="H11" s="119">
        <v>8</v>
      </c>
      <c r="I11" s="119"/>
      <c r="J11" s="120"/>
      <c r="K11" s="121">
        <v>9.4E-2</v>
      </c>
      <c r="L11" s="122"/>
      <c r="M11" s="119">
        <f>H11*K11</f>
        <v>0.752</v>
      </c>
      <c r="N11" s="155"/>
      <c r="O11" s="124"/>
      <c r="P11" s="125"/>
      <c r="Q11" s="126"/>
      <c r="R11" s="125"/>
      <c r="S11" s="230"/>
      <c r="T11" s="205"/>
      <c r="U11" s="207"/>
    </row>
    <row r="12" spans="1:21" s="113" customFormat="1" ht="14.25" x14ac:dyDescent="0.15">
      <c r="A12" s="202"/>
      <c r="B12" s="202"/>
      <c r="C12" s="202"/>
      <c r="D12" s="232"/>
      <c r="E12" s="233"/>
      <c r="F12" s="233"/>
      <c r="G12" s="233"/>
      <c r="H12" s="233"/>
      <c r="I12" s="233"/>
      <c r="J12" s="233"/>
      <c r="K12" s="233"/>
      <c r="L12" s="233"/>
      <c r="M12" s="234"/>
      <c r="N12" s="155" t="s">
        <v>259</v>
      </c>
      <c r="O12" s="156" t="s">
        <v>260</v>
      </c>
      <c r="P12" s="157">
        <v>140</v>
      </c>
      <c r="Q12" s="126" t="s">
        <v>261</v>
      </c>
      <c r="R12" s="125">
        <f>P12*0.012</f>
        <v>1.68</v>
      </c>
      <c r="S12" s="230"/>
      <c r="T12" s="205"/>
      <c r="U12" s="207"/>
    </row>
    <row r="13" spans="1:21" s="113" customFormat="1" ht="14.25" x14ac:dyDescent="0.15">
      <c r="A13" s="202"/>
      <c r="B13" s="202"/>
      <c r="C13" s="202"/>
      <c r="D13" s="235"/>
      <c r="E13" s="236"/>
      <c r="F13" s="236"/>
      <c r="G13" s="236"/>
      <c r="H13" s="236"/>
      <c r="I13" s="236"/>
      <c r="J13" s="236"/>
      <c r="K13" s="236"/>
      <c r="L13" s="236"/>
      <c r="M13" s="237"/>
      <c r="N13" s="155" t="s">
        <v>262</v>
      </c>
      <c r="O13" s="156" t="s">
        <v>263</v>
      </c>
      <c r="P13" s="125"/>
      <c r="Q13" s="126"/>
      <c r="R13" s="125">
        <v>1.5</v>
      </c>
      <c r="S13" s="231"/>
      <c r="T13" s="205"/>
      <c r="U13" s="207"/>
    </row>
    <row r="14" spans="1:21" s="113" customFormat="1" ht="24" x14ac:dyDescent="0.15">
      <c r="A14" s="203"/>
      <c r="B14" s="203"/>
      <c r="C14" s="203"/>
      <c r="D14" s="127" t="s">
        <v>227</v>
      </c>
      <c r="E14" s="104"/>
      <c r="F14" s="148"/>
      <c r="G14" s="148"/>
      <c r="H14" s="148"/>
      <c r="I14" s="148"/>
      <c r="J14" s="148"/>
      <c r="K14" s="148"/>
      <c r="L14" s="148"/>
      <c r="M14" s="128">
        <f>SUM(M4:M13)</f>
        <v>3.0995600000000003</v>
      </c>
      <c r="N14" s="218" t="s">
        <v>228</v>
      </c>
      <c r="O14" s="219"/>
      <c r="P14" s="220"/>
      <c r="Q14" s="219"/>
      <c r="R14" s="149">
        <f>SUM(R4:R13)</f>
        <v>4.22</v>
      </c>
      <c r="S14" s="149">
        <f>0.517*0.2</f>
        <v>0.10340000000000001</v>
      </c>
      <c r="T14" s="205"/>
      <c r="U14" s="208"/>
    </row>
    <row r="15" spans="1:21" s="113" customFormat="1" ht="27" customHeight="1" x14ac:dyDescent="0.15">
      <c r="A15" s="201">
        <v>2</v>
      </c>
      <c r="B15" s="204" t="s">
        <v>35</v>
      </c>
      <c r="C15" s="201"/>
      <c r="D15" s="101" t="s">
        <v>36</v>
      </c>
      <c r="E15" s="152" t="s">
        <v>37</v>
      </c>
      <c r="F15" s="148">
        <v>1</v>
      </c>
      <c r="G15" s="104" t="s">
        <v>38</v>
      </c>
      <c r="H15" s="105">
        <v>4.9000000000000004</v>
      </c>
      <c r="I15" s="105">
        <v>2.1</v>
      </c>
      <c r="J15" s="106">
        <f>K15*1.15</f>
        <v>1.5271999999999999</v>
      </c>
      <c r="K15" s="107">
        <v>1.3280000000000001</v>
      </c>
      <c r="L15" s="108">
        <f>J15-K15</f>
        <v>0.19919999999999982</v>
      </c>
      <c r="M15" s="105">
        <f>H15*J15-I15*L15</f>
        <v>7.0649600000000001</v>
      </c>
      <c r="N15" s="153" t="s">
        <v>216</v>
      </c>
      <c r="O15" s="154" t="s">
        <v>223</v>
      </c>
      <c r="P15" s="111">
        <v>0.2</v>
      </c>
      <c r="Q15" s="112">
        <v>1</v>
      </c>
      <c r="R15" s="111">
        <f t="shared" ref="R15:R23" si="1">P15*Q15</f>
        <v>0.2</v>
      </c>
      <c r="S15" s="229"/>
      <c r="T15" s="205">
        <v>1.1200000000000001</v>
      </c>
      <c r="U15" s="206">
        <f>(M32+R32+S32)*T15</f>
        <v>29.901491200000002</v>
      </c>
    </row>
    <row r="16" spans="1:21" s="113" customFormat="1" ht="14.25" x14ac:dyDescent="0.15">
      <c r="A16" s="202"/>
      <c r="B16" s="202"/>
      <c r="C16" s="202"/>
      <c r="D16" s="209"/>
      <c r="E16" s="210"/>
      <c r="F16" s="210"/>
      <c r="G16" s="210"/>
      <c r="H16" s="210"/>
      <c r="I16" s="210"/>
      <c r="J16" s="210"/>
      <c r="K16" s="210"/>
      <c r="L16" s="210"/>
      <c r="M16" s="211"/>
      <c r="N16" s="153" t="s">
        <v>229</v>
      </c>
      <c r="O16" s="154" t="s">
        <v>230</v>
      </c>
      <c r="P16" s="111">
        <v>0.24</v>
      </c>
      <c r="Q16" s="112">
        <v>8</v>
      </c>
      <c r="R16" s="111">
        <f t="shared" si="1"/>
        <v>1.92</v>
      </c>
      <c r="S16" s="230"/>
      <c r="T16" s="205"/>
      <c r="U16" s="207"/>
    </row>
    <row r="17" spans="1:21" s="113" customFormat="1" ht="14.25" x14ac:dyDescent="0.15">
      <c r="A17" s="202"/>
      <c r="B17" s="202"/>
      <c r="C17" s="202"/>
      <c r="D17" s="212"/>
      <c r="E17" s="213"/>
      <c r="F17" s="213"/>
      <c r="G17" s="213"/>
      <c r="H17" s="213"/>
      <c r="I17" s="213"/>
      <c r="J17" s="213"/>
      <c r="K17" s="213"/>
      <c r="L17" s="213"/>
      <c r="M17" s="214"/>
      <c r="N17" s="153" t="s">
        <v>224</v>
      </c>
      <c r="O17" s="114" t="s">
        <v>231</v>
      </c>
      <c r="P17" s="111">
        <v>0.12</v>
      </c>
      <c r="Q17" s="112">
        <v>1</v>
      </c>
      <c r="R17" s="111">
        <f t="shared" si="1"/>
        <v>0.12</v>
      </c>
      <c r="S17" s="230"/>
      <c r="T17" s="205"/>
      <c r="U17" s="207"/>
    </row>
    <row r="18" spans="1:21" s="113" customFormat="1" ht="14.25" x14ac:dyDescent="0.15">
      <c r="A18" s="202"/>
      <c r="B18" s="202"/>
      <c r="C18" s="202"/>
      <c r="D18" s="212"/>
      <c r="E18" s="213"/>
      <c r="F18" s="213"/>
      <c r="G18" s="213"/>
      <c r="H18" s="213"/>
      <c r="I18" s="213"/>
      <c r="J18" s="213"/>
      <c r="K18" s="213"/>
      <c r="L18" s="213"/>
      <c r="M18" s="214"/>
      <c r="N18" s="153" t="s">
        <v>226</v>
      </c>
      <c r="O18" s="114" t="s">
        <v>231</v>
      </c>
      <c r="P18" s="111">
        <v>0.12</v>
      </c>
      <c r="Q18" s="112">
        <v>1</v>
      </c>
      <c r="R18" s="111">
        <f t="shared" si="1"/>
        <v>0.12</v>
      </c>
      <c r="S18" s="230"/>
      <c r="T18" s="205"/>
      <c r="U18" s="207"/>
    </row>
    <row r="19" spans="1:21" s="113" customFormat="1" ht="14.25" x14ac:dyDescent="0.15">
      <c r="A19" s="202"/>
      <c r="B19" s="202"/>
      <c r="C19" s="202"/>
      <c r="D19" s="215"/>
      <c r="E19" s="216"/>
      <c r="F19" s="216"/>
      <c r="G19" s="216"/>
      <c r="H19" s="216"/>
      <c r="I19" s="216"/>
      <c r="J19" s="216"/>
      <c r="K19" s="216"/>
      <c r="L19" s="216"/>
      <c r="M19" s="217"/>
      <c r="N19" s="153" t="s">
        <v>232</v>
      </c>
      <c r="O19" s="154" t="s">
        <v>233</v>
      </c>
      <c r="P19" s="111">
        <v>0.17</v>
      </c>
      <c r="Q19" s="112">
        <v>2</v>
      </c>
      <c r="R19" s="111">
        <f t="shared" si="1"/>
        <v>0.34</v>
      </c>
      <c r="S19" s="230"/>
      <c r="T19" s="205"/>
      <c r="U19" s="207"/>
    </row>
    <row r="20" spans="1:21" s="113" customFormat="1" ht="24" x14ac:dyDescent="0.15">
      <c r="A20" s="202"/>
      <c r="B20" s="202"/>
      <c r="C20" s="202"/>
      <c r="D20" s="158" t="s">
        <v>39</v>
      </c>
      <c r="E20" s="117" t="s">
        <v>264</v>
      </c>
      <c r="F20" s="118">
        <v>1</v>
      </c>
      <c r="G20" s="118"/>
      <c r="H20" s="130"/>
      <c r="I20" s="130"/>
      <c r="J20" s="131"/>
      <c r="K20" s="131">
        <v>0.04</v>
      </c>
      <c r="L20" s="131"/>
      <c r="M20" s="130">
        <v>0.88</v>
      </c>
      <c r="N20" s="155"/>
      <c r="O20" s="124"/>
      <c r="P20" s="125"/>
      <c r="Q20" s="126"/>
      <c r="R20" s="125">
        <f t="shared" si="1"/>
        <v>0</v>
      </c>
      <c r="S20" s="230"/>
      <c r="T20" s="205"/>
      <c r="U20" s="207"/>
    </row>
    <row r="21" spans="1:21" s="113" customFormat="1" ht="24" x14ac:dyDescent="0.15">
      <c r="A21" s="202"/>
      <c r="B21" s="202"/>
      <c r="C21" s="202"/>
      <c r="D21" s="158" t="s">
        <v>42</v>
      </c>
      <c r="E21" s="117" t="s">
        <v>265</v>
      </c>
      <c r="F21" s="118">
        <v>1</v>
      </c>
      <c r="G21" s="118"/>
      <c r="H21" s="130"/>
      <c r="I21" s="130"/>
      <c r="J21" s="131"/>
      <c r="K21" s="131">
        <v>0.04</v>
      </c>
      <c r="L21" s="131"/>
      <c r="M21" s="130">
        <v>0.88</v>
      </c>
      <c r="N21" s="155"/>
      <c r="O21" s="124"/>
      <c r="P21" s="125"/>
      <c r="Q21" s="126"/>
      <c r="R21" s="125">
        <f t="shared" si="1"/>
        <v>0</v>
      </c>
      <c r="S21" s="230"/>
      <c r="T21" s="205"/>
      <c r="U21" s="207"/>
    </row>
    <row r="22" spans="1:21" s="113" customFormat="1" ht="22.5" x14ac:dyDescent="0.15">
      <c r="A22" s="202"/>
      <c r="B22" s="202"/>
      <c r="C22" s="202"/>
      <c r="D22" s="116" t="s">
        <v>44</v>
      </c>
      <c r="E22" s="117" t="s">
        <v>45</v>
      </c>
      <c r="F22" s="118">
        <v>2</v>
      </c>
      <c r="G22" s="118"/>
      <c r="H22" s="130">
        <v>8</v>
      </c>
      <c r="I22" s="130"/>
      <c r="J22" s="131"/>
      <c r="K22" s="131">
        <f>0.065*F22</f>
        <v>0.13</v>
      </c>
      <c r="L22" s="131"/>
      <c r="M22" s="130">
        <f t="shared" ref="M22:M29" si="2">H22*K22</f>
        <v>1.04</v>
      </c>
      <c r="N22" s="155"/>
      <c r="O22" s="124"/>
      <c r="P22" s="125"/>
      <c r="Q22" s="126"/>
      <c r="R22" s="125">
        <f t="shared" si="1"/>
        <v>0</v>
      </c>
      <c r="S22" s="230"/>
      <c r="T22" s="205"/>
      <c r="U22" s="207"/>
    </row>
    <row r="23" spans="1:21" s="113" customFormat="1" ht="22.5" x14ac:dyDescent="0.15">
      <c r="A23" s="202"/>
      <c r="B23" s="202"/>
      <c r="C23" s="202"/>
      <c r="D23" s="116" t="s">
        <v>47</v>
      </c>
      <c r="E23" s="117" t="s">
        <v>48</v>
      </c>
      <c r="F23" s="118">
        <v>2</v>
      </c>
      <c r="G23" s="118"/>
      <c r="H23" s="130">
        <v>8</v>
      </c>
      <c r="I23" s="130"/>
      <c r="J23" s="131"/>
      <c r="K23" s="131">
        <f>0.074*F23</f>
        <v>0.14799999999999999</v>
      </c>
      <c r="L23" s="131"/>
      <c r="M23" s="130">
        <f t="shared" si="2"/>
        <v>1.1839999999999999</v>
      </c>
      <c r="N23" s="155"/>
      <c r="O23" s="124"/>
      <c r="P23" s="125"/>
      <c r="Q23" s="126"/>
      <c r="R23" s="125">
        <f t="shared" si="1"/>
        <v>0</v>
      </c>
      <c r="S23" s="230"/>
      <c r="T23" s="205"/>
      <c r="U23" s="207"/>
    </row>
    <row r="24" spans="1:21" s="113" customFormat="1" ht="22.5" x14ac:dyDescent="0.15">
      <c r="A24" s="202"/>
      <c r="B24" s="202"/>
      <c r="C24" s="202"/>
      <c r="D24" s="104" t="s">
        <v>49</v>
      </c>
      <c r="E24" s="115" t="s">
        <v>50</v>
      </c>
      <c r="F24" s="148">
        <v>4</v>
      </c>
      <c r="G24" s="148" t="s">
        <v>51</v>
      </c>
      <c r="H24" s="128">
        <v>4.5</v>
      </c>
      <c r="I24" s="128">
        <v>2.1</v>
      </c>
      <c r="J24" s="132">
        <f>0.009*F24</f>
        <v>3.5999999999999997E-2</v>
      </c>
      <c r="K24" s="132">
        <f>0.006*F24</f>
        <v>2.4E-2</v>
      </c>
      <c r="L24" s="108">
        <f>J24-K24</f>
        <v>1.1999999999999997E-2</v>
      </c>
      <c r="M24" s="105">
        <f>H24*J24-I24*L24</f>
        <v>0.13679999999999998</v>
      </c>
      <c r="N24" s="153" t="s">
        <v>216</v>
      </c>
      <c r="O24" s="154" t="s">
        <v>217</v>
      </c>
      <c r="P24" s="111">
        <v>0.05</v>
      </c>
      <c r="Q24" s="112">
        <v>1</v>
      </c>
      <c r="R24" s="111">
        <f>(P24*Q24)*F24</f>
        <v>0.2</v>
      </c>
      <c r="S24" s="230"/>
      <c r="T24" s="205"/>
      <c r="U24" s="207"/>
    </row>
    <row r="25" spans="1:21" s="113" customFormat="1" ht="14.25" x14ac:dyDescent="0.15">
      <c r="A25" s="202"/>
      <c r="B25" s="202"/>
      <c r="C25" s="202"/>
      <c r="D25" s="209"/>
      <c r="E25" s="210"/>
      <c r="F25" s="210"/>
      <c r="G25" s="210"/>
      <c r="H25" s="210"/>
      <c r="I25" s="210"/>
      <c r="J25" s="210"/>
      <c r="K25" s="210"/>
      <c r="L25" s="210"/>
      <c r="M25" s="211"/>
      <c r="N25" s="153" t="s">
        <v>218</v>
      </c>
      <c r="O25" s="114" t="s">
        <v>221</v>
      </c>
      <c r="P25" s="111">
        <v>0.08</v>
      </c>
      <c r="Q25" s="112">
        <v>1</v>
      </c>
      <c r="R25" s="111">
        <f>(P25*Q25)*F24</f>
        <v>0.32</v>
      </c>
      <c r="S25" s="230"/>
      <c r="T25" s="205"/>
      <c r="U25" s="207"/>
    </row>
    <row r="26" spans="1:21" s="113" customFormat="1" ht="14.25" x14ac:dyDescent="0.15">
      <c r="A26" s="202"/>
      <c r="B26" s="202"/>
      <c r="C26" s="202"/>
      <c r="D26" s="215"/>
      <c r="E26" s="216"/>
      <c r="F26" s="216"/>
      <c r="G26" s="216"/>
      <c r="H26" s="216"/>
      <c r="I26" s="216"/>
      <c r="J26" s="216"/>
      <c r="K26" s="216"/>
      <c r="L26" s="216"/>
      <c r="M26" s="217"/>
      <c r="N26" s="153" t="s">
        <v>220</v>
      </c>
      <c r="O26" s="114" t="s">
        <v>221</v>
      </c>
      <c r="P26" s="111">
        <v>0.08</v>
      </c>
      <c r="Q26" s="112">
        <v>1</v>
      </c>
      <c r="R26" s="111">
        <f>(P26*Q26)*F24</f>
        <v>0.32</v>
      </c>
      <c r="S26" s="230"/>
      <c r="T26" s="205"/>
      <c r="U26" s="207"/>
    </row>
    <row r="27" spans="1:21" s="113" customFormat="1" ht="23.25" x14ac:dyDescent="0.15">
      <c r="A27" s="202"/>
      <c r="B27" s="202"/>
      <c r="C27" s="202"/>
      <c r="D27" s="116" t="s">
        <v>54</v>
      </c>
      <c r="E27" s="117" t="s">
        <v>234</v>
      </c>
      <c r="F27" s="118">
        <v>3</v>
      </c>
      <c r="G27" s="118"/>
      <c r="H27" s="130">
        <v>8</v>
      </c>
      <c r="I27" s="130"/>
      <c r="J27" s="131"/>
      <c r="K27" s="131">
        <f>0.063*F27</f>
        <v>0.189</v>
      </c>
      <c r="L27" s="131"/>
      <c r="M27" s="130">
        <f t="shared" si="2"/>
        <v>1.512</v>
      </c>
      <c r="N27" s="155"/>
      <c r="O27" s="124"/>
      <c r="P27" s="125"/>
      <c r="Q27" s="126"/>
      <c r="R27" s="125"/>
      <c r="S27" s="230"/>
      <c r="T27" s="205"/>
      <c r="U27" s="207"/>
    </row>
    <row r="28" spans="1:21" s="113" customFormat="1" ht="23.25" x14ac:dyDescent="0.15">
      <c r="A28" s="202"/>
      <c r="B28" s="202"/>
      <c r="C28" s="202"/>
      <c r="D28" s="116" t="s">
        <v>56</v>
      </c>
      <c r="E28" s="117" t="s">
        <v>235</v>
      </c>
      <c r="F28" s="118">
        <v>2</v>
      </c>
      <c r="G28" s="118"/>
      <c r="H28" s="130">
        <v>8</v>
      </c>
      <c r="I28" s="130"/>
      <c r="J28" s="131"/>
      <c r="K28" s="131">
        <f>0.061*F28</f>
        <v>0.122</v>
      </c>
      <c r="L28" s="131"/>
      <c r="M28" s="130">
        <f t="shared" si="2"/>
        <v>0.97599999999999998</v>
      </c>
      <c r="N28" s="155"/>
      <c r="O28" s="124"/>
      <c r="P28" s="125"/>
      <c r="Q28" s="126"/>
      <c r="R28" s="125"/>
      <c r="S28" s="230"/>
      <c r="T28" s="205"/>
      <c r="U28" s="207"/>
    </row>
    <row r="29" spans="1:21" s="113" customFormat="1" ht="22.5" x14ac:dyDescent="0.15">
      <c r="A29" s="202"/>
      <c r="B29" s="202"/>
      <c r="C29" s="202"/>
      <c r="D29" s="116" t="s">
        <v>58</v>
      </c>
      <c r="E29" s="117" t="s">
        <v>59</v>
      </c>
      <c r="F29" s="118">
        <v>2</v>
      </c>
      <c r="G29" s="118"/>
      <c r="H29" s="130">
        <v>8</v>
      </c>
      <c r="I29" s="130"/>
      <c r="J29" s="131"/>
      <c r="K29" s="131">
        <f>0.048*F29</f>
        <v>9.6000000000000002E-2</v>
      </c>
      <c r="L29" s="131"/>
      <c r="M29" s="130">
        <f t="shared" si="2"/>
        <v>0.76800000000000002</v>
      </c>
      <c r="N29" s="155"/>
      <c r="O29" s="124"/>
      <c r="P29" s="125"/>
      <c r="Q29" s="126"/>
      <c r="R29" s="125"/>
      <c r="S29" s="230"/>
      <c r="T29" s="205"/>
      <c r="U29" s="207"/>
    </row>
    <row r="30" spans="1:21" s="113" customFormat="1" ht="23.1" customHeight="1" x14ac:dyDescent="0.15">
      <c r="A30" s="202"/>
      <c r="B30" s="202"/>
      <c r="C30" s="202"/>
      <c r="D30" s="116" t="s">
        <v>60</v>
      </c>
      <c r="E30" s="117" t="s">
        <v>61</v>
      </c>
      <c r="F30" s="118">
        <v>2</v>
      </c>
      <c r="G30" s="118"/>
      <c r="H30" s="130"/>
      <c r="I30" s="130"/>
      <c r="J30" s="131"/>
      <c r="K30" s="131"/>
      <c r="L30" s="131"/>
      <c r="M30" s="130">
        <f>1.4*F30</f>
        <v>2.8</v>
      </c>
      <c r="N30" s="155" t="s">
        <v>266</v>
      </c>
      <c r="O30" s="156" t="s">
        <v>267</v>
      </c>
      <c r="P30" s="125">
        <v>0.1</v>
      </c>
      <c r="Q30" s="126">
        <v>1</v>
      </c>
      <c r="R30" s="111">
        <f>(P30*Q30)*F28</f>
        <v>0.2</v>
      </c>
      <c r="S30" s="230"/>
      <c r="T30" s="205"/>
      <c r="U30" s="207"/>
    </row>
    <row r="31" spans="1:21" s="113" customFormat="1" ht="14.25" x14ac:dyDescent="0.15">
      <c r="A31" s="202"/>
      <c r="B31" s="202"/>
      <c r="C31" s="202"/>
      <c r="D31" s="116"/>
      <c r="E31" s="116"/>
      <c r="F31" s="118"/>
      <c r="G31" s="118"/>
      <c r="H31" s="130"/>
      <c r="I31" s="130"/>
      <c r="J31" s="131"/>
      <c r="K31" s="131"/>
      <c r="L31" s="131"/>
      <c r="M31" s="130"/>
      <c r="N31" s="155" t="s">
        <v>259</v>
      </c>
      <c r="O31" s="156" t="s">
        <v>260</v>
      </c>
      <c r="P31" s="157">
        <v>440</v>
      </c>
      <c r="Q31" s="126" t="s">
        <v>261</v>
      </c>
      <c r="R31" s="125">
        <f>P31*0.012</f>
        <v>5.28</v>
      </c>
      <c r="S31" s="231"/>
      <c r="T31" s="205"/>
      <c r="U31" s="207"/>
    </row>
    <row r="32" spans="1:21" s="113" customFormat="1" ht="24" x14ac:dyDescent="0.15">
      <c r="A32" s="203"/>
      <c r="B32" s="203"/>
      <c r="C32" s="203"/>
      <c r="D32" s="127" t="s">
        <v>227</v>
      </c>
      <c r="E32" s="104"/>
      <c r="F32" s="148"/>
      <c r="G32" s="148"/>
      <c r="H32" s="148"/>
      <c r="I32" s="148"/>
      <c r="J32" s="148"/>
      <c r="K32" s="148"/>
      <c r="L32" s="148"/>
      <c r="M32" s="128">
        <f>SUM(M15:M31)</f>
        <v>17.241759999999999</v>
      </c>
      <c r="N32" s="218" t="s">
        <v>228</v>
      </c>
      <c r="O32" s="219"/>
      <c r="P32" s="220"/>
      <c r="Q32" s="219"/>
      <c r="R32" s="149">
        <f>SUM(R15:R31)</f>
        <v>9.02</v>
      </c>
      <c r="S32" s="149">
        <f>2.18*0.2</f>
        <v>0.43600000000000005</v>
      </c>
      <c r="T32" s="205"/>
      <c r="U32" s="208"/>
    </row>
    <row r="33" spans="1:21" s="113" customFormat="1" ht="27" customHeight="1" x14ac:dyDescent="0.15">
      <c r="A33" s="201">
        <v>3</v>
      </c>
      <c r="B33" s="204" t="s">
        <v>63</v>
      </c>
      <c r="C33" s="201"/>
      <c r="D33" s="101" t="s">
        <v>36</v>
      </c>
      <c r="E33" s="152" t="s">
        <v>37</v>
      </c>
      <c r="F33" s="148">
        <v>1</v>
      </c>
      <c r="G33" s="104" t="s">
        <v>38</v>
      </c>
      <c r="H33" s="105">
        <v>4.9000000000000004</v>
      </c>
      <c r="I33" s="105">
        <v>2.1</v>
      </c>
      <c r="J33" s="106">
        <f>K33*1.15</f>
        <v>1.5271999999999999</v>
      </c>
      <c r="K33" s="107">
        <v>1.3280000000000001</v>
      </c>
      <c r="L33" s="108">
        <f>J33-K33</f>
        <v>0.19919999999999982</v>
      </c>
      <c r="M33" s="105">
        <f>H33*J33-I33*L33</f>
        <v>7.0649600000000001</v>
      </c>
      <c r="N33" s="153" t="s">
        <v>216</v>
      </c>
      <c r="O33" s="154" t="s">
        <v>223</v>
      </c>
      <c r="P33" s="111">
        <v>0.2</v>
      </c>
      <c r="Q33" s="112">
        <v>1</v>
      </c>
      <c r="R33" s="111">
        <f t="shared" ref="R33:R37" si="3">P33*Q33</f>
        <v>0.2</v>
      </c>
      <c r="S33" s="229"/>
      <c r="T33" s="205">
        <v>1.1200000000000001</v>
      </c>
      <c r="U33" s="206">
        <f>(M48+R48+S48)*T33</f>
        <v>27.346995200000006</v>
      </c>
    </row>
    <row r="34" spans="1:21" s="113" customFormat="1" ht="14.25" x14ac:dyDescent="0.15">
      <c r="A34" s="202"/>
      <c r="B34" s="202"/>
      <c r="C34" s="202"/>
      <c r="D34" s="209"/>
      <c r="E34" s="210"/>
      <c r="F34" s="210"/>
      <c r="G34" s="210"/>
      <c r="H34" s="210"/>
      <c r="I34" s="210"/>
      <c r="J34" s="210"/>
      <c r="K34" s="210"/>
      <c r="L34" s="210"/>
      <c r="M34" s="211"/>
      <c r="N34" s="153" t="s">
        <v>229</v>
      </c>
      <c r="O34" s="154" t="s">
        <v>230</v>
      </c>
      <c r="P34" s="111">
        <v>0.24</v>
      </c>
      <c r="Q34" s="112">
        <v>8</v>
      </c>
      <c r="R34" s="111">
        <f t="shared" si="3"/>
        <v>1.92</v>
      </c>
      <c r="S34" s="230"/>
      <c r="T34" s="205"/>
      <c r="U34" s="207"/>
    </row>
    <row r="35" spans="1:21" s="113" customFormat="1" ht="14.25" x14ac:dyDescent="0.15">
      <c r="A35" s="202"/>
      <c r="B35" s="202"/>
      <c r="C35" s="202"/>
      <c r="D35" s="212"/>
      <c r="E35" s="213"/>
      <c r="F35" s="213"/>
      <c r="G35" s="213"/>
      <c r="H35" s="213"/>
      <c r="I35" s="213"/>
      <c r="J35" s="213"/>
      <c r="K35" s="213"/>
      <c r="L35" s="213"/>
      <c r="M35" s="214"/>
      <c r="N35" s="153" t="s">
        <v>224</v>
      </c>
      <c r="O35" s="114" t="s">
        <v>231</v>
      </c>
      <c r="P35" s="111">
        <v>0.12</v>
      </c>
      <c r="Q35" s="112">
        <v>1</v>
      </c>
      <c r="R35" s="111">
        <f t="shared" si="3"/>
        <v>0.12</v>
      </c>
      <c r="S35" s="230"/>
      <c r="T35" s="205"/>
      <c r="U35" s="207"/>
    </row>
    <row r="36" spans="1:21" s="113" customFormat="1" ht="14.25" x14ac:dyDescent="0.15">
      <c r="A36" s="202"/>
      <c r="B36" s="202"/>
      <c r="C36" s="202"/>
      <c r="D36" s="212"/>
      <c r="E36" s="213"/>
      <c r="F36" s="213"/>
      <c r="G36" s="213"/>
      <c r="H36" s="213"/>
      <c r="I36" s="213"/>
      <c r="J36" s="213"/>
      <c r="K36" s="213"/>
      <c r="L36" s="213"/>
      <c r="M36" s="214"/>
      <c r="N36" s="153" t="s">
        <v>226</v>
      </c>
      <c r="O36" s="114" t="s">
        <v>231</v>
      </c>
      <c r="P36" s="111">
        <v>0.12</v>
      </c>
      <c r="Q36" s="112">
        <v>1</v>
      </c>
      <c r="R36" s="111">
        <f t="shared" si="3"/>
        <v>0.12</v>
      </c>
      <c r="S36" s="230"/>
      <c r="T36" s="205"/>
      <c r="U36" s="207"/>
    </row>
    <row r="37" spans="1:21" s="113" customFormat="1" ht="14.25" x14ac:dyDescent="0.15">
      <c r="A37" s="202"/>
      <c r="B37" s="202"/>
      <c r="C37" s="202"/>
      <c r="D37" s="215"/>
      <c r="E37" s="216"/>
      <c r="F37" s="216"/>
      <c r="G37" s="216"/>
      <c r="H37" s="216"/>
      <c r="I37" s="216"/>
      <c r="J37" s="216"/>
      <c r="K37" s="216"/>
      <c r="L37" s="216"/>
      <c r="M37" s="217"/>
      <c r="N37" s="153" t="s">
        <v>232</v>
      </c>
      <c r="O37" s="154" t="s">
        <v>233</v>
      </c>
      <c r="P37" s="111">
        <v>0.17</v>
      </c>
      <c r="Q37" s="112">
        <v>2</v>
      </c>
      <c r="R37" s="111">
        <f t="shared" si="3"/>
        <v>0.34</v>
      </c>
      <c r="S37" s="230"/>
      <c r="T37" s="205"/>
      <c r="U37" s="207"/>
    </row>
    <row r="38" spans="1:21" s="113" customFormat="1" ht="24" x14ac:dyDescent="0.15">
      <c r="A38" s="202"/>
      <c r="B38" s="202"/>
      <c r="C38" s="202"/>
      <c r="D38" s="158" t="s">
        <v>39</v>
      </c>
      <c r="E38" s="117" t="s">
        <v>264</v>
      </c>
      <c r="F38" s="118">
        <v>1</v>
      </c>
      <c r="G38" s="118"/>
      <c r="H38" s="130"/>
      <c r="I38" s="130"/>
      <c r="J38" s="131"/>
      <c r="K38" s="131">
        <v>0.04</v>
      </c>
      <c r="L38" s="131"/>
      <c r="M38" s="130">
        <v>0.88</v>
      </c>
      <c r="N38" s="155"/>
      <c r="O38" s="124"/>
      <c r="P38" s="125"/>
      <c r="Q38" s="126"/>
      <c r="R38" s="125"/>
      <c r="S38" s="230"/>
      <c r="T38" s="205"/>
      <c r="U38" s="207"/>
    </row>
    <row r="39" spans="1:21" s="113" customFormat="1" ht="24" x14ac:dyDescent="0.15">
      <c r="A39" s="202"/>
      <c r="B39" s="202"/>
      <c r="C39" s="202"/>
      <c r="D39" s="158" t="s">
        <v>42</v>
      </c>
      <c r="E39" s="117" t="s">
        <v>265</v>
      </c>
      <c r="F39" s="118">
        <v>1</v>
      </c>
      <c r="G39" s="118"/>
      <c r="H39" s="130"/>
      <c r="I39" s="130"/>
      <c r="J39" s="131"/>
      <c r="K39" s="131">
        <v>0.04</v>
      </c>
      <c r="L39" s="131"/>
      <c r="M39" s="130">
        <v>0.88</v>
      </c>
      <c r="N39" s="155"/>
      <c r="O39" s="124"/>
      <c r="P39" s="125"/>
      <c r="Q39" s="126"/>
      <c r="R39" s="125"/>
      <c r="S39" s="230"/>
      <c r="T39" s="205"/>
      <c r="U39" s="207"/>
    </row>
    <row r="40" spans="1:21" s="113" customFormat="1" ht="22.5" x14ac:dyDescent="0.15">
      <c r="A40" s="202"/>
      <c r="B40" s="202"/>
      <c r="C40" s="202"/>
      <c r="D40" s="116" t="s">
        <v>68</v>
      </c>
      <c r="E40" s="117" t="s">
        <v>69</v>
      </c>
      <c r="F40" s="118">
        <v>2</v>
      </c>
      <c r="G40" s="118"/>
      <c r="H40" s="130">
        <v>8</v>
      </c>
      <c r="I40" s="130"/>
      <c r="J40" s="131"/>
      <c r="K40" s="131">
        <f>0.018*F40</f>
        <v>3.5999999999999997E-2</v>
      </c>
      <c r="L40" s="131"/>
      <c r="M40" s="130">
        <f t="shared" ref="M40:M46" si="4">H40*K40</f>
        <v>0.28799999999999998</v>
      </c>
      <c r="N40" s="155"/>
      <c r="O40" s="124"/>
      <c r="P40" s="125"/>
      <c r="Q40" s="126"/>
      <c r="R40" s="125"/>
      <c r="S40" s="230"/>
      <c r="T40" s="205"/>
      <c r="U40" s="207"/>
    </row>
    <row r="41" spans="1:21" s="113" customFormat="1" ht="22.5" x14ac:dyDescent="0.15">
      <c r="A41" s="202"/>
      <c r="B41" s="202"/>
      <c r="C41" s="202"/>
      <c r="D41" s="116" t="s">
        <v>47</v>
      </c>
      <c r="E41" s="117" t="s">
        <v>48</v>
      </c>
      <c r="F41" s="118">
        <v>2</v>
      </c>
      <c r="G41" s="118"/>
      <c r="H41" s="130">
        <v>8</v>
      </c>
      <c r="I41" s="130"/>
      <c r="J41" s="131"/>
      <c r="K41" s="131">
        <f>0.074*F41</f>
        <v>0.14799999999999999</v>
      </c>
      <c r="L41" s="131"/>
      <c r="M41" s="130">
        <f t="shared" si="4"/>
        <v>1.1839999999999999</v>
      </c>
      <c r="N41" s="155"/>
      <c r="O41" s="124"/>
      <c r="P41" s="125"/>
      <c r="Q41" s="126"/>
      <c r="R41" s="125"/>
      <c r="S41" s="230"/>
      <c r="T41" s="205"/>
      <c r="U41" s="207"/>
    </row>
    <row r="42" spans="1:21" s="113" customFormat="1" ht="23.25" x14ac:dyDescent="0.15">
      <c r="A42" s="202"/>
      <c r="B42" s="202"/>
      <c r="C42" s="202"/>
      <c r="D42" s="116" t="s">
        <v>54</v>
      </c>
      <c r="E42" s="117" t="s">
        <v>234</v>
      </c>
      <c r="F42" s="118">
        <v>3</v>
      </c>
      <c r="G42" s="118"/>
      <c r="H42" s="130">
        <v>8</v>
      </c>
      <c r="I42" s="130"/>
      <c r="J42" s="131"/>
      <c r="K42" s="131">
        <f>0.063*F42</f>
        <v>0.189</v>
      </c>
      <c r="L42" s="131"/>
      <c r="M42" s="130">
        <f t="shared" si="4"/>
        <v>1.512</v>
      </c>
      <c r="N42" s="155"/>
      <c r="O42" s="124"/>
      <c r="P42" s="125"/>
      <c r="Q42" s="126"/>
      <c r="R42" s="125"/>
      <c r="S42" s="230"/>
      <c r="T42" s="205"/>
      <c r="U42" s="207"/>
    </row>
    <row r="43" spans="1:21" s="113" customFormat="1" ht="23.25" x14ac:dyDescent="0.15">
      <c r="A43" s="202"/>
      <c r="B43" s="202"/>
      <c r="C43" s="202"/>
      <c r="D43" s="116" t="s">
        <v>56</v>
      </c>
      <c r="E43" s="117" t="s">
        <v>235</v>
      </c>
      <c r="F43" s="118">
        <v>2</v>
      </c>
      <c r="G43" s="118"/>
      <c r="H43" s="130">
        <v>8</v>
      </c>
      <c r="I43" s="130"/>
      <c r="J43" s="131"/>
      <c r="K43" s="131">
        <f>0.061*F43</f>
        <v>0.122</v>
      </c>
      <c r="L43" s="131"/>
      <c r="M43" s="130">
        <f t="shared" si="4"/>
        <v>0.97599999999999998</v>
      </c>
      <c r="N43" s="155"/>
      <c r="O43" s="124"/>
      <c r="P43" s="125"/>
      <c r="Q43" s="126"/>
      <c r="R43" s="125"/>
      <c r="S43" s="230"/>
      <c r="T43" s="205"/>
      <c r="U43" s="207"/>
    </row>
    <row r="44" spans="1:21" s="113" customFormat="1" ht="22.5" x14ac:dyDescent="0.15">
      <c r="A44" s="202"/>
      <c r="B44" s="202"/>
      <c r="C44" s="202"/>
      <c r="D44" s="116" t="s">
        <v>58</v>
      </c>
      <c r="E44" s="117" t="s">
        <v>59</v>
      </c>
      <c r="F44" s="118">
        <v>2</v>
      </c>
      <c r="G44" s="118"/>
      <c r="H44" s="130">
        <v>8</v>
      </c>
      <c r="I44" s="130"/>
      <c r="J44" s="131"/>
      <c r="K44" s="131">
        <f>0.048*F44</f>
        <v>9.6000000000000002E-2</v>
      </c>
      <c r="L44" s="131"/>
      <c r="M44" s="130">
        <f t="shared" si="4"/>
        <v>0.76800000000000002</v>
      </c>
      <c r="N44" s="155"/>
      <c r="O44" s="124"/>
      <c r="P44" s="125"/>
      <c r="Q44" s="126"/>
      <c r="R44" s="125"/>
      <c r="S44" s="230"/>
      <c r="T44" s="205"/>
      <c r="U44" s="207"/>
    </row>
    <row r="45" spans="1:21" s="113" customFormat="1" ht="22.5" x14ac:dyDescent="0.15">
      <c r="A45" s="202"/>
      <c r="B45" s="202"/>
      <c r="C45" s="202"/>
      <c r="D45" s="116" t="s">
        <v>44</v>
      </c>
      <c r="E45" s="117" t="s">
        <v>45</v>
      </c>
      <c r="F45" s="118">
        <v>2</v>
      </c>
      <c r="G45" s="118"/>
      <c r="H45" s="130">
        <v>8</v>
      </c>
      <c r="I45" s="130"/>
      <c r="J45" s="131"/>
      <c r="K45" s="131">
        <f>0.065*F45</f>
        <v>0.13</v>
      </c>
      <c r="L45" s="131"/>
      <c r="M45" s="130">
        <f t="shared" si="4"/>
        <v>1.04</v>
      </c>
      <c r="N45" s="155"/>
      <c r="O45" s="124"/>
      <c r="P45" s="125"/>
      <c r="Q45" s="126"/>
      <c r="R45" s="125"/>
      <c r="S45" s="230"/>
      <c r="T45" s="205"/>
      <c r="U45" s="207"/>
    </row>
    <row r="46" spans="1:21" s="113" customFormat="1" ht="14.25" x14ac:dyDescent="0.15">
      <c r="A46" s="202"/>
      <c r="B46" s="202"/>
      <c r="C46" s="202"/>
      <c r="D46" s="116" t="s">
        <v>70</v>
      </c>
      <c r="E46" s="117" t="s">
        <v>71</v>
      </c>
      <c r="F46" s="118">
        <v>2</v>
      </c>
      <c r="G46" s="118"/>
      <c r="H46" s="130">
        <v>8</v>
      </c>
      <c r="I46" s="130"/>
      <c r="J46" s="131"/>
      <c r="K46" s="131">
        <f>0.088*F46</f>
        <v>0.17599999999999999</v>
      </c>
      <c r="L46" s="131"/>
      <c r="M46" s="130">
        <f t="shared" si="4"/>
        <v>1.4079999999999999</v>
      </c>
      <c r="N46" s="155"/>
      <c r="O46" s="124"/>
      <c r="P46" s="125"/>
      <c r="Q46" s="126"/>
      <c r="R46" s="125"/>
      <c r="S46" s="230"/>
      <c r="T46" s="205"/>
      <c r="U46" s="207"/>
    </row>
    <row r="47" spans="1:21" s="113" customFormat="1" ht="14.25" x14ac:dyDescent="0.15">
      <c r="A47" s="202"/>
      <c r="B47" s="202"/>
      <c r="C47" s="202"/>
      <c r="D47" s="116"/>
      <c r="E47" s="117"/>
      <c r="F47" s="118"/>
      <c r="G47" s="118"/>
      <c r="H47" s="130"/>
      <c r="I47" s="130"/>
      <c r="J47" s="131"/>
      <c r="K47" s="131"/>
      <c r="L47" s="131"/>
      <c r="M47" s="130"/>
      <c r="N47" s="155" t="s">
        <v>259</v>
      </c>
      <c r="O47" s="156" t="s">
        <v>260</v>
      </c>
      <c r="P47" s="157">
        <v>440</v>
      </c>
      <c r="Q47" s="126" t="s">
        <v>261</v>
      </c>
      <c r="R47" s="125">
        <f>P47*0.012</f>
        <v>5.28</v>
      </c>
      <c r="S47" s="231"/>
      <c r="T47" s="205"/>
      <c r="U47" s="207"/>
    </row>
    <row r="48" spans="1:21" s="113" customFormat="1" ht="24" x14ac:dyDescent="0.15">
      <c r="A48" s="203"/>
      <c r="B48" s="203"/>
      <c r="C48" s="203"/>
      <c r="D48" s="127" t="s">
        <v>227</v>
      </c>
      <c r="E48" s="104"/>
      <c r="F48" s="148"/>
      <c r="G48" s="148"/>
      <c r="H48" s="148"/>
      <c r="I48" s="148"/>
      <c r="J48" s="148"/>
      <c r="K48" s="148"/>
      <c r="L48" s="148"/>
      <c r="M48" s="128">
        <f>SUM(M33:M47)</f>
        <v>16.000960000000003</v>
      </c>
      <c r="N48" s="218" t="s">
        <v>228</v>
      </c>
      <c r="O48" s="219"/>
      <c r="P48" s="220"/>
      <c r="Q48" s="219"/>
      <c r="R48" s="149">
        <f>SUM(R33:R47)</f>
        <v>7.98</v>
      </c>
      <c r="S48" s="149">
        <f>2.18*0.2</f>
        <v>0.43600000000000005</v>
      </c>
      <c r="T48" s="205"/>
      <c r="U48" s="208"/>
    </row>
    <row r="49" spans="1:21" s="113" customFormat="1" ht="27" customHeight="1" x14ac:dyDescent="0.15">
      <c r="A49" s="202">
        <v>4</v>
      </c>
      <c r="B49" s="224" t="s">
        <v>72</v>
      </c>
      <c r="C49" s="202"/>
      <c r="D49" s="101" t="s">
        <v>74</v>
      </c>
      <c r="E49" s="152" t="s">
        <v>75</v>
      </c>
      <c r="F49" s="148">
        <v>1</v>
      </c>
      <c r="G49" s="104" t="s">
        <v>38</v>
      </c>
      <c r="H49" s="105">
        <v>4.9000000000000004</v>
      </c>
      <c r="I49" s="105">
        <v>2.1</v>
      </c>
      <c r="J49" s="106">
        <f>K49*1.15</f>
        <v>1.1764499999999998</v>
      </c>
      <c r="K49" s="107">
        <v>1.0229999999999999</v>
      </c>
      <c r="L49" s="108">
        <f>J49-K49</f>
        <v>0.15344999999999986</v>
      </c>
      <c r="M49" s="105">
        <f>H49*J49-I49*L49</f>
        <v>5.4423599999999999</v>
      </c>
      <c r="N49" s="153" t="s">
        <v>216</v>
      </c>
      <c r="O49" s="154" t="s">
        <v>223</v>
      </c>
      <c r="P49" s="111">
        <v>0.2</v>
      </c>
      <c r="Q49" s="112">
        <v>1</v>
      </c>
      <c r="R49" s="111">
        <f t="shared" ref="R49:R57" si="5">P49*Q49</f>
        <v>0.2</v>
      </c>
      <c r="S49" s="229"/>
      <c r="T49" s="205">
        <v>1.1200000000000001</v>
      </c>
      <c r="U49" s="206">
        <f>(M71+R71+S71)*T49</f>
        <v>28.788300800000005</v>
      </c>
    </row>
    <row r="50" spans="1:21" s="113" customFormat="1" ht="14.25" x14ac:dyDescent="0.15">
      <c r="A50" s="202"/>
      <c r="B50" s="224"/>
      <c r="C50" s="202"/>
      <c r="D50" s="209"/>
      <c r="E50" s="210"/>
      <c r="F50" s="210"/>
      <c r="G50" s="210"/>
      <c r="H50" s="210"/>
      <c r="I50" s="210"/>
      <c r="J50" s="210"/>
      <c r="K50" s="210"/>
      <c r="L50" s="210"/>
      <c r="M50" s="211"/>
      <c r="N50" s="153" t="s">
        <v>229</v>
      </c>
      <c r="O50" s="154" t="s">
        <v>230</v>
      </c>
      <c r="P50" s="111">
        <v>0.24</v>
      </c>
      <c r="Q50" s="112">
        <v>5</v>
      </c>
      <c r="R50" s="111">
        <f t="shared" si="5"/>
        <v>1.2</v>
      </c>
      <c r="S50" s="230"/>
      <c r="T50" s="205"/>
      <c r="U50" s="207"/>
    </row>
    <row r="51" spans="1:21" s="113" customFormat="1" ht="14.25" x14ac:dyDescent="0.15">
      <c r="A51" s="202"/>
      <c r="B51" s="224"/>
      <c r="C51" s="202"/>
      <c r="D51" s="212"/>
      <c r="E51" s="213"/>
      <c r="F51" s="213"/>
      <c r="G51" s="213"/>
      <c r="H51" s="213"/>
      <c r="I51" s="213"/>
      <c r="J51" s="213"/>
      <c r="K51" s="213"/>
      <c r="L51" s="213"/>
      <c r="M51" s="214"/>
      <c r="N51" s="153" t="s">
        <v>236</v>
      </c>
      <c r="O51" s="114" t="s">
        <v>231</v>
      </c>
      <c r="P51" s="111">
        <v>0.12</v>
      </c>
      <c r="Q51" s="112">
        <v>1</v>
      </c>
      <c r="R51" s="111">
        <f t="shared" si="5"/>
        <v>0.12</v>
      </c>
      <c r="S51" s="230"/>
      <c r="T51" s="205"/>
      <c r="U51" s="207"/>
    </row>
    <row r="52" spans="1:21" s="113" customFormat="1" ht="14.25" x14ac:dyDescent="0.15">
      <c r="A52" s="202"/>
      <c r="B52" s="224"/>
      <c r="C52" s="202"/>
      <c r="D52" s="212"/>
      <c r="E52" s="213"/>
      <c r="F52" s="213"/>
      <c r="G52" s="213"/>
      <c r="H52" s="213"/>
      <c r="I52" s="213"/>
      <c r="J52" s="213"/>
      <c r="K52" s="213"/>
      <c r="L52" s="213"/>
      <c r="M52" s="214"/>
      <c r="N52" s="153" t="s">
        <v>237</v>
      </c>
      <c r="O52" s="114" t="s">
        <v>231</v>
      </c>
      <c r="P52" s="111">
        <v>0.12</v>
      </c>
      <c r="Q52" s="112">
        <v>1</v>
      </c>
      <c r="R52" s="111">
        <f t="shared" si="5"/>
        <v>0.12</v>
      </c>
      <c r="S52" s="230"/>
      <c r="T52" s="205"/>
      <c r="U52" s="207"/>
    </row>
    <row r="53" spans="1:21" s="113" customFormat="1" ht="14.25" x14ac:dyDescent="0.15">
      <c r="A53" s="202"/>
      <c r="B53" s="224"/>
      <c r="C53" s="202"/>
      <c r="D53" s="212"/>
      <c r="E53" s="213"/>
      <c r="F53" s="213"/>
      <c r="G53" s="213"/>
      <c r="H53" s="213"/>
      <c r="I53" s="213"/>
      <c r="J53" s="213"/>
      <c r="K53" s="213"/>
      <c r="L53" s="213"/>
      <c r="M53" s="214"/>
      <c r="N53" s="153" t="s">
        <v>238</v>
      </c>
      <c r="O53" s="114" t="s">
        <v>231</v>
      </c>
      <c r="P53" s="111">
        <v>0.12</v>
      </c>
      <c r="Q53" s="112">
        <v>1</v>
      </c>
      <c r="R53" s="111">
        <f t="shared" si="5"/>
        <v>0.12</v>
      </c>
      <c r="S53" s="230"/>
      <c r="T53" s="205"/>
      <c r="U53" s="207"/>
    </row>
    <row r="54" spans="1:21" s="113" customFormat="1" ht="14.25" x14ac:dyDescent="0.15">
      <c r="A54" s="202"/>
      <c r="B54" s="224"/>
      <c r="C54" s="202"/>
      <c r="D54" s="212"/>
      <c r="E54" s="213"/>
      <c r="F54" s="213"/>
      <c r="G54" s="213"/>
      <c r="H54" s="213"/>
      <c r="I54" s="213"/>
      <c r="J54" s="213"/>
      <c r="K54" s="213"/>
      <c r="L54" s="213"/>
      <c r="M54" s="214"/>
      <c r="N54" s="153" t="s">
        <v>239</v>
      </c>
      <c r="O54" s="154" t="s">
        <v>225</v>
      </c>
      <c r="P54" s="111">
        <v>0.11</v>
      </c>
      <c r="Q54" s="112">
        <v>1</v>
      </c>
      <c r="R54" s="111">
        <f t="shared" si="5"/>
        <v>0.11</v>
      </c>
      <c r="S54" s="230"/>
      <c r="T54" s="205"/>
      <c r="U54" s="207"/>
    </row>
    <row r="55" spans="1:21" s="113" customFormat="1" ht="14.25" x14ac:dyDescent="0.15">
      <c r="A55" s="202"/>
      <c r="B55" s="224"/>
      <c r="C55" s="202"/>
      <c r="D55" s="215"/>
      <c r="E55" s="216"/>
      <c r="F55" s="216"/>
      <c r="G55" s="216"/>
      <c r="H55" s="216"/>
      <c r="I55" s="216"/>
      <c r="J55" s="216"/>
      <c r="K55" s="216"/>
      <c r="L55" s="216"/>
      <c r="M55" s="217"/>
      <c r="N55" s="153" t="s">
        <v>240</v>
      </c>
      <c r="O55" s="154" t="s">
        <v>231</v>
      </c>
      <c r="P55" s="111">
        <v>0.12</v>
      </c>
      <c r="Q55" s="112">
        <v>1</v>
      </c>
      <c r="R55" s="111">
        <f t="shared" si="5"/>
        <v>0.12</v>
      </c>
      <c r="S55" s="230"/>
      <c r="T55" s="205"/>
      <c r="U55" s="207"/>
    </row>
    <row r="56" spans="1:21" s="113" customFormat="1" ht="24" x14ac:dyDescent="0.15">
      <c r="A56" s="202"/>
      <c r="B56" s="224"/>
      <c r="C56" s="202"/>
      <c r="D56" s="104" t="s">
        <v>76</v>
      </c>
      <c r="E56" s="115" t="s">
        <v>77</v>
      </c>
      <c r="F56" s="148">
        <v>1</v>
      </c>
      <c r="G56" s="148" t="s">
        <v>38</v>
      </c>
      <c r="H56" s="128">
        <v>4.9000000000000004</v>
      </c>
      <c r="I56" s="105">
        <v>2.1</v>
      </c>
      <c r="J56" s="106">
        <f>K56*1.15</f>
        <v>0.34384999999999993</v>
      </c>
      <c r="K56" s="107">
        <v>0.29899999999999999</v>
      </c>
      <c r="L56" s="108">
        <f>J56-K56</f>
        <v>4.4849999999999945E-2</v>
      </c>
      <c r="M56" s="105">
        <f>H56*J56-I56*L56</f>
        <v>1.5906799999999999</v>
      </c>
      <c r="N56" s="153" t="s">
        <v>216</v>
      </c>
      <c r="O56" s="154" t="s">
        <v>223</v>
      </c>
      <c r="P56" s="111">
        <v>0.12</v>
      </c>
      <c r="Q56" s="112">
        <v>1</v>
      </c>
      <c r="R56" s="111">
        <f t="shared" si="5"/>
        <v>0.12</v>
      </c>
      <c r="S56" s="230"/>
      <c r="T56" s="205"/>
      <c r="U56" s="207"/>
    </row>
    <row r="57" spans="1:21" s="113" customFormat="1" ht="14.25" x14ac:dyDescent="0.15">
      <c r="A57" s="202"/>
      <c r="B57" s="224"/>
      <c r="C57" s="202"/>
      <c r="D57" s="221"/>
      <c r="E57" s="222"/>
      <c r="F57" s="222"/>
      <c r="G57" s="222"/>
      <c r="H57" s="222"/>
      <c r="I57" s="222"/>
      <c r="J57" s="222"/>
      <c r="K57" s="222"/>
      <c r="L57" s="222"/>
      <c r="M57" s="223"/>
      <c r="N57" s="153" t="s">
        <v>236</v>
      </c>
      <c r="O57" s="114" t="s">
        <v>231</v>
      </c>
      <c r="P57" s="111">
        <v>0.12</v>
      </c>
      <c r="Q57" s="112">
        <v>1</v>
      </c>
      <c r="R57" s="111">
        <f t="shared" si="5"/>
        <v>0.12</v>
      </c>
      <c r="S57" s="230"/>
      <c r="T57" s="205"/>
      <c r="U57" s="207"/>
    </row>
    <row r="58" spans="1:21" s="113" customFormat="1" ht="22.5" x14ac:dyDescent="0.15">
      <c r="A58" s="202"/>
      <c r="B58" s="224"/>
      <c r="C58" s="202"/>
      <c r="D58" s="104" t="s">
        <v>49</v>
      </c>
      <c r="E58" s="115" t="s">
        <v>50</v>
      </c>
      <c r="F58" s="148">
        <v>4</v>
      </c>
      <c r="G58" s="148" t="s">
        <v>51</v>
      </c>
      <c r="H58" s="128">
        <v>4.5</v>
      </c>
      <c r="I58" s="128">
        <v>2.1</v>
      </c>
      <c r="J58" s="132">
        <f>0.009*F58</f>
        <v>3.5999999999999997E-2</v>
      </c>
      <c r="K58" s="132">
        <f>0.006*F58</f>
        <v>2.4E-2</v>
      </c>
      <c r="L58" s="108">
        <f>J58-K58</f>
        <v>1.1999999999999997E-2</v>
      </c>
      <c r="M58" s="105">
        <f>H58*J58-I58*L58</f>
        <v>0.13679999999999998</v>
      </c>
      <c r="N58" s="153" t="s">
        <v>216</v>
      </c>
      <c r="O58" s="154" t="s">
        <v>217</v>
      </c>
      <c r="P58" s="111">
        <v>0.05</v>
      </c>
      <c r="Q58" s="112">
        <v>1</v>
      </c>
      <c r="R58" s="111">
        <f>(P58*Q58)*F58</f>
        <v>0.2</v>
      </c>
      <c r="S58" s="230"/>
      <c r="T58" s="205"/>
      <c r="U58" s="207"/>
    </row>
    <row r="59" spans="1:21" s="113" customFormat="1" ht="14.25" x14ac:dyDescent="0.15">
      <c r="A59" s="202"/>
      <c r="B59" s="224"/>
      <c r="C59" s="202"/>
      <c r="D59" s="209"/>
      <c r="E59" s="210"/>
      <c r="F59" s="210"/>
      <c r="G59" s="210"/>
      <c r="H59" s="210"/>
      <c r="I59" s="210"/>
      <c r="J59" s="210"/>
      <c r="K59" s="210"/>
      <c r="L59" s="210"/>
      <c r="M59" s="211"/>
      <c r="N59" s="153" t="s">
        <v>218</v>
      </c>
      <c r="O59" s="114" t="s">
        <v>221</v>
      </c>
      <c r="P59" s="111">
        <v>0.08</v>
      </c>
      <c r="Q59" s="112">
        <v>1</v>
      </c>
      <c r="R59" s="111">
        <f>(P59*Q59)*F58</f>
        <v>0.32</v>
      </c>
      <c r="S59" s="230"/>
      <c r="T59" s="205"/>
      <c r="U59" s="207"/>
    </row>
    <row r="60" spans="1:21" s="113" customFormat="1" ht="14.25" x14ac:dyDescent="0.15">
      <c r="A60" s="202"/>
      <c r="B60" s="224"/>
      <c r="C60" s="202"/>
      <c r="D60" s="215"/>
      <c r="E60" s="216"/>
      <c r="F60" s="216"/>
      <c r="G60" s="216"/>
      <c r="H60" s="216"/>
      <c r="I60" s="216"/>
      <c r="J60" s="216"/>
      <c r="K60" s="216"/>
      <c r="L60" s="216"/>
      <c r="M60" s="217"/>
      <c r="N60" s="153" t="s">
        <v>220</v>
      </c>
      <c r="O60" s="114" t="s">
        <v>221</v>
      </c>
      <c r="P60" s="111">
        <v>0.08</v>
      </c>
      <c r="Q60" s="112">
        <v>1</v>
      </c>
      <c r="R60" s="111">
        <f>(P60*Q60)*F58</f>
        <v>0.32</v>
      </c>
      <c r="S60" s="230"/>
      <c r="T60" s="205"/>
      <c r="U60" s="207"/>
    </row>
    <row r="61" spans="1:21" s="113" customFormat="1" ht="24" x14ac:dyDescent="0.15">
      <c r="A61" s="202"/>
      <c r="B61" s="224"/>
      <c r="C61" s="202"/>
      <c r="D61" s="158" t="s">
        <v>39</v>
      </c>
      <c r="E61" s="117" t="s">
        <v>264</v>
      </c>
      <c r="F61" s="118">
        <v>1</v>
      </c>
      <c r="G61" s="118"/>
      <c r="H61" s="130"/>
      <c r="I61" s="130"/>
      <c r="J61" s="131"/>
      <c r="K61" s="131">
        <v>0.04</v>
      </c>
      <c r="L61" s="131"/>
      <c r="M61" s="130">
        <v>0.88</v>
      </c>
      <c r="N61" s="155"/>
      <c r="O61" s="124"/>
      <c r="P61" s="125"/>
      <c r="Q61" s="126"/>
      <c r="R61" s="125"/>
      <c r="S61" s="230"/>
      <c r="T61" s="205"/>
      <c r="U61" s="207"/>
    </row>
    <row r="62" spans="1:21" s="113" customFormat="1" ht="24" x14ac:dyDescent="0.15">
      <c r="A62" s="202"/>
      <c r="B62" s="224"/>
      <c r="C62" s="202"/>
      <c r="D62" s="158" t="s">
        <v>42</v>
      </c>
      <c r="E62" s="117" t="s">
        <v>265</v>
      </c>
      <c r="F62" s="118">
        <v>1</v>
      </c>
      <c r="G62" s="118"/>
      <c r="H62" s="130"/>
      <c r="I62" s="130"/>
      <c r="J62" s="131"/>
      <c r="K62" s="131">
        <v>0.04</v>
      </c>
      <c r="L62" s="131"/>
      <c r="M62" s="130">
        <v>0.88</v>
      </c>
      <c r="N62" s="155"/>
      <c r="O62" s="124"/>
      <c r="P62" s="125"/>
      <c r="Q62" s="126"/>
      <c r="R62" s="125"/>
      <c r="S62" s="230"/>
      <c r="T62" s="205"/>
      <c r="U62" s="207"/>
    </row>
    <row r="63" spans="1:21" s="113" customFormat="1" ht="22.5" x14ac:dyDescent="0.15">
      <c r="A63" s="202"/>
      <c r="B63" s="224"/>
      <c r="C63" s="202"/>
      <c r="D63" s="116" t="s">
        <v>80</v>
      </c>
      <c r="E63" s="117" t="s">
        <v>81</v>
      </c>
      <c r="F63" s="118">
        <v>2</v>
      </c>
      <c r="G63" s="118"/>
      <c r="H63" s="130">
        <v>8</v>
      </c>
      <c r="I63" s="130"/>
      <c r="J63" s="131"/>
      <c r="K63" s="131">
        <f>0.066*F63</f>
        <v>0.13200000000000001</v>
      </c>
      <c r="L63" s="131"/>
      <c r="M63" s="130">
        <f t="shared" ref="M63:M68" si="6">H63*K63</f>
        <v>1.056</v>
      </c>
      <c r="N63" s="155"/>
      <c r="O63" s="124"/>
      <c r="P63" s="125"/>
      <c r="Q63" s="126"/>
      <c r="R63" s="125"/>
      <c r="S63" s="230"/>
      <c r="T63" s="205"/>
      <c r="U63" s="207"/>
    </row>
    <row r="64" spans="1:21" s="113" customFormat="1" ht="22.5" x14ac:dyDescent="0.15">
      <c r="A64" s="202"/>
      <c r="B64" s="224"/>
      <c r="C64" s="202"/>
      <c r="D64" s="116" t="s">
        <v>82</v>
      </c>
      <c r="E64" s="117" t="s">
        <v>83</v>
      </c>
      <c r="F64" s="118">
        <v>2</v>
      </c>
      <c r="G64" s="118"/>
      <c r="H64" s="130">
        <v>8</v>
      </c>
      <c r="I64" s="130"/>
      <c r="J64" s="131"/>
      <c r="K64" s="131">
        <f>0.016*F64</f>
        <v>3.2000000000000001E-2</v>
      </c>
      <c r="L64" s="131"/>
      <c r="M64" s="130">
        <f t="shared" si="6"/>
        <v>0.25600000000000001</v>
      </c>
      <c r="N64" s="155"/>
      <c r="O64" s="124"/>
      <c r="P64" s="125"/>
      <c r="Q64" s="126"/>
      <c r="R64" s="125"/>
      <c r="S64" s="230"/>
      <c r="T64" s="205"/>
      <c r="U64" s="207"/>
    </row>
    <row r="65" spans="1:21" s="113" customFormat="1" ht="22.5" x14ac:dyDescent="0.15">
      <c r="A65" s="202"/>
      <c r="B65" s="224"/>
      <c r="C65" s="202"/>
      <c r="D65" s="116" t="s">
        <v>84</v>
      </c>
      <c r="E65" s="117" t="s">
        <v>85</v>
      </c>
      <c r="F65" s="118">
        <v>2</v>
      </c>
      <c r="G65" s="118"/>
      <c r="H65" s="130">
        <v>8</v>
      </c>
      <c r="I65" s="130"/>
      <c r="J65" s="131"/>
      <c r="K65" s="131">
        <f>0.05*F65</f>
        <v>0.1</v>
      </c>
      <c r="L65" s="131"/>
      <c r="M65" s="130">
        <f t="shared" si="6"/>
        <v>0.8</v>
      </c>
      <c r="N65" s="155"/>
      <c r="O65" s="124"/>
      <c r="P65" s="125"/>
      <c r="Q65" s="126"/>
      <c r="R65" s="125"/>
      <c r="S65" s="230"/>
      <c r="T65" s="205"/>
      <c r="U65" s="207"/>
    </row>
    <row r="66" spans="1:21" s="113" customFormat="1" ht="14.25" x14ac:dyDescent="0.15">
      <c r="A66" s="202"/>
      <c r="B66" s="224"/>
      <c r="C66" s="202"/>
      <c r="D66" s="116" t="s">
        <v>86</v>
      </c>
      <c r="E66" s="117" t="s">
        <v>87</v>
      </c>
      <c r="F66" s="118">
        <v>1</v>
      </c>
      <c r="G66" s="118"/>
      <c r="H66" s="130">
        <v>8</v>
      </c>
      <c r="I66" s="130"/>
      <c r="J66" s="131"/>
      <c r="K66" s="131">
        <f>0.076*F66</f>
        <v>7.5999999999999998E-2</v>
      </c>
      <c r="L66" s="131"/>
      <c r="M66" s="130">
        <f t="shared" si="6"/>
        <v>0.60799999999999998</v>
      </c>
      <c r="N66" s="155"/>
      <c r="O66" s="124"/>
      <c r="P66" s="125"/>
      <c r="Q66" s="126"/>
      <c r="R66" s="125"/>
      <c r="S66" s="230"/>
      <c r="T66" s="205"/>
      <c r="U66" s="207"/>
    </row>
    <row r="67" spans="1:21" s="113" customFormat="1" ht="22.5" x14ac:dyDescent="0.15">
      <c r="A67" s="202"/>
      <c r="B67" s="224"/>
      <c r="C67" s="202"/>
      <c r="D67" s="116" t="s">
        <v>58</v>
      </c>
      <c r="E67" s="117" t="s">
        <v>59</v>
      </c>
      <c r="F67" s="118">
        <v>2</v>
      </c>
      <c r="G67" s="118"/>
      <c r="H67" s="130">
        <v>8</v>
      </c>
      <c r="I67" s="130"/>
      <c r="J67" s="131"/>
      <c r="K67" s="131">
        <f>0.048*F67</f>
        <v>9.6000000000000002E-2</v>
      </c>
      <c r="L67" s="131"/>
      <c r="M67" s="130">
        <f t="shared" si="6"/>
        <v>0.76800000000000002</v>
      </c>
      <c r="N67" s="155"/>
      <c r="O67" s="124"/>
      <c r="P67" s="125"/>
      <c r="Q67" s="126"/>
      <c r="R67" s="125"/>
      <c r="S67" s="230"/>
      <c r="T67" s="205"/>
      <c r="U67" s="207"/>
    </row>
    <row r="68" spans="1:21" s="113" customFormat="1" ht="22.5" x14ac:dyDescent="0.15">
      <c r="A68" s="202"/>
      <c r="B68" s="224"/>
      <c r="C68" s="202"/>
      <c r="D68" s="116" t="s">
        <v>44</v>
      </c>
      <c r="E68" s="117" t="s">
        <v>45</v>
      </c>
      <c r="F68" s="118">
        <v>2</v>
      </c>
      <c r="G68" s="118"/>
      <c r="H68" s="130">
        <v>8</v>
      </c>
      <c r="I68" s="130"/>
      <c r="J68" s="131"/>
      <c r="K68" s="131">
        <f>0.065*F68</f>
        <v>0.13</v>
      </c>
      <c r="L68" s="131"/>
      <c r="M68" s="130">
        <f t="shared" si="6"/>
        <v>1.04</v>
      </c>
      <c r="N68" s="155"/>
      <c r="O68" s="124"/>
      <c r="P68" s="125"/>
      <c r="Q68" s="126"/>
      <c r="R68" s="125"/>
      <c r="S68" s="230"/>
      <c r="T68" s="205"/>
      <c r="U68" s="207"/>
    </row>
    <row r="69" spans="1:21" s="113" customFormat="1" ht="22.5" x14ac:dyDescent="0.15">
      <c r="A69" s="202"/>
      <c r="B69" s="224"/>
      <c r="C69" s="202"/>
      <c r="D69" s="116" t="s">
        <v>60</v>
      </c>
      <c r="E69" s="117" t="s">
        <v>61</v>
      </c>
      <c r="F69" s="118">
        <v>2</v>
      </c>
      <c r="G69" s="118"/>
      <c r="H69" s="130"/>
      <c r="I69" s="130"/>
      <c r="J69" s="131"/>
      <c r="K69" s="131">
        <f>0.053*F69</f>
        <v>0.106</v>
      </c>
      <c r="L69" s="131"/>
      <c r="M69" s="130">
        <f>1.4*F69</f>
        <v>2.8</v>
      </c>
      <c r="N69" s="155" t="s">
        <v>266</v>
      </c>
      <c r="O69" s="156" t="s">
        <v>267</v>
      </c>
      <c r="P69" s="125">
        <v>0.1</v>
      </c>
      <c r="Q69" s="126">
        <v>1</v>
      </c>
      <c r="R69" s="111">
        <f>(P69*Q69)*F69</f>
        <v>0.2</v>
      </c>
      <c r="S69" s="230"/>
      <c r="T69" s="205"/>
      <c r="U69" s="207"/>
    </row>
    <row r="70" spans="1:21" s="113" customFormat="1" ht="23.1" customHeight="1" x14ac:dyDescent="0.15">
      <c r="A70" s="202"/>
      <c r="B70" s="224"/>
      <c r="C70" s="202"/>
      <c r="D70" s="116"/>
      <c r="E70" s="117"/>
      <c r="F70" s="118"/>
      <c r="G70" s="118"/>
      <c r="H70" s="130"/>
      <c r="I70" s="130"/>
      <c r="J70" s="131"/>
      <c r="K70" s="131"/>
      <c r="L70" s="131"/>
      <c r="M70" s="130"/>
      <c r="N70" s="155" t="s">
        <v>259</v>
      </c>
      <c r="O70" s="156" t="s">
        <v>260</v>
      </c>
      <c r="P70" s="157">
        <v>480</v>
      </c>
      <c r="Q70" s="126" t="s">
        <v>261</v>
      </c>
      <c r="R70" s="125">
        <f>P70*0.012</f>
        <v>5.76</v>
      </c>
      <c r="S70" s="231"/>
      <c r="T70" s="205"/>
      <c r="U70" s="207"/>
    </row>
    <row r="71" spans="1:21" s="113" customFormat="1" ht="24" x14ac:dyDescent="0.15">
      <c r="A71" s="203"/>
      <c r="B71" s="225"/>
      <c r="C71" s="203"/>
      <c r="D71" s="127" t="s">
        <v>227</v>
      </c>
      <c r="E71" s="104"/>
      <c r="F71" s="148"/>
      <c r="G71" s="148"/>
      <c r="H71" s="148"/>
      <c r="I71" s="148"/>
      <c r="J71" s="148"/>
      <c r="K71" s="148"/>
      <c r="L71" s="148"/>
      <c r="M71" s="128">
        <f>SUM(M49:M70)</f>
        <v>16.257840000000002</v>
      </c>
      <c r="N71" s="218" t="s">
        <v>228</v>
      </c>
      <c r="O71" s="219"/>
      <c r="P71" s="220"/>
      <c r="Q71" s="219"/>
      <c r="R71" s="149">
        <f>SUM(R49:R70)</f>
        <v>9.0300000000000011</v>
      </c>
      <c r="S71" s="149">
        <f>2.08*0.2</f>
        <v>0.41600000000000004</v>
      </c>
      <c r="T71" s="205"/>
      <c r="U71" s="208"/>
    </row>
    <row r="72" spans="1:21" s="113" customFormat="1" ht="27" customHeight="1" x14ac:dyDescent="0.15">
      <c r="A72" s="202">
        <v>5</v>
      </c>
      <c r="B72" s="224" t="s">
        <v>88</v>
      </c>
      <c r="C72" s="202"/>
      <c r="D72" s="101" t="s">
        <v>89</v>
      </c>
      <c r="E72" s="152" t="s">
        <v>90</v>
      </c>
      <c r="F72" s="148">
        <v>1</v>
      </c>
      <c r="G72" s="104" t="s">
        <v>38</v>
      </c>
      <c r="H72" s="105">
        <v>4.9000000000000004</v>
      </c>
      <c r="I72" s="105">
        <v>2.1</v>
      </c>
      <c r="J72" s="106">
        <f>K72*1.15</f>
        <v>0.97979999999999989</v>
      </c>
      <c r="K72" s="107">
        <v>0.85199999999999998</v>
      </c>
      <c r="L72" s="108">
        <f>J72-K72</f>
        <v>0.12779999999999991</v>
      </c>
      <c r="M72" s="105">
        <f>H72*J72-I72*L72</f>
        <v>4.5326399999999998</v>
      </c>
      <c r="N72" s="153" t="s">
        <v>216</v>
      </c>
      <c r="O72" s="154" t="s">
        <v>223</v>
      </c>
      <c r="P72" s="111">
        <v>0.2</v>
      </c>
      <c r="Q72" s="112">
        <v>1</v>
      </c>
      <c r="R72" s="111">
        <f t="shared" ref="R72:R75" si="7">P72*Q72</f>
        <v>0.2</v>
      </c>
      <c r="S72" s="238"/>
      <c r="T72" s="205">
        <v>1.1200000000000001</v>
      </c>
      <c r="U72" s="206">
        <f>(M84+R84+S84)*T72</f>
        <v>17.195628800000001</v>
      </c>
    </row>
    <row r="73" spans="1:21" s="113" customFormat="1" ht="14.25" x14ac:dyDescent="0.15">
      <c r="A73" s="202"/>
      <c r="B73" s="224"/>
      <c r="C73" s="202"/>
      <c r="D73" s="221"/>
      <c r="E73" s="222"/>
      <c r="F73" s="222"/>
      <c r="G73" s="222"/>
      <c r="H73" s="222"/>
      <c r="I73" s="222"/>
      <c r="J73" s="222"/>
      <c r="K73" s="222"/>
      <c r="L73" s="222"/>
      <c r="M73" s="223"/>
      <c r="N73" s="153" t="s">
        <v>229</v>
      </c>
      <c r="O73" s="154" t="s">
        <v>230</v>
      </c>
      <c r="P73" s="111">
        <v>0.24</v>
      </c>
      <c r="Q73" s="112">
        <v>2</v>
      </c>
      <c r="R73" s="111">
        <f t="shared" si="7"/>
        <v>0.48</v>
      </c>
      <c r="S73" s="238"/>
      <c r="T73" s="205"/>
      <c r="U73" s="207"/>
    </row>
    <row r="74" spans="1:21" s="113" customFormat="1" ht="14.25" x14ac:dyDescent="0.15">
      <c r="A74" s="202"/>
      <c r="B74" s="224"/>
      <c r="C74" s="202"/>
      <c r="D74" s="104" t="s">
        <v>92</v>
      </c>
      <c r="E74" s="115" t="s">
        <v>93</v>
      </c>
      <c r="F74" s="148">
        <v>1</v>
      </c>
      <c r="G74" s="148" t="s">
        <v>38</v>
      </c>
      <c r="H74" s="128">
        <v>4.9000000000000004</v>
      </c>
      <c r="I74" s="105">
        <v>2.1</v>
      </c>
      <c r="J74" s="106">
        <f>K74*1.15</f>
        <v>0.35074999999999995</v>
      </c>
      <c r="K74" s="107">
        <v>0.30499999999999999</v>
      </c>
      <c r="L74" s="108">
        <f>J74-K74</f>
        <v>4.5749999999999957E-2</v>
      </c>
      <c r="M74" s="105">
        <f>H74*J74-I74*L74</f>
        <v>1.6226</v>
      </c>
      <c r="N74" s="153" t="s">
        <v>216</v>
      </c>
      <c r="O74" s="154" t="s">
        <v>223</v>
      </c>
      <c r="P74" s="111">
        <v>0.12</v>
      </c>
      <c r="Q74" s="112">
        <v>1</v>
      </c>
      <c r="R74" s="111">
        <f t="shared" si="7"/>
        <v>0.12</v>
      </c>
      <c r="S74" s="238"/>
      <c r="T74" s="205"/>
      <c r="U74" s="207"/>
    </row>
    <row r="75" spans="1:21" s="113" customFormat="1" ht="14.25" x14ac:dyDescent="0.15">
      <c r="A75" s="202"/>
      <c r="B75" s="224"/>
      <c r="C75" s="202"/>
      <c r="D75" s="221"/>
      <c r="E75" s="222"/>
      <c r="F75" s="222"/>
      <c r="G75" s="222"/>
      <c r="H75" s="222"/>
      <c r="I75" s="222"/>
      <c r="J75" s="222"/>
      <c r="K75" s="222"/>
      <c r="L75" s="222"/>
      <c r="M75" s="223"/>
      <c r="N75" s="153" t="s">
        <v>236</v>
      </c>
      <c r="O75" s="114" t="s">
        <v>231</v>
      </c>
      <c r="P75" s="111">
        <v>0.12</v>
      </c>
      <c r="Q75" s="112">
        <v>1</v>
      </c>
      <c r="R75" s="111">
        <f t="shared" si="7"/>
        <v>0.12</v>
      </c>
      <c r="S75" s="238"/>
      <c r="T75" s="205"/>
      <c r="U75" s="207"/>
    </row>
    <row r="76" spans="1:21" s="113" customFormat="1" ht="22.5" x14ac:dyDescent="0.15">
      <c r="A76" s="202"/>
      <c r="B76" s="224"/>
      <c r="C76" s="202"/>
      <c r="D76" s="116" t="s">
        <v>94</v>
      </c>
      <c r="E76" s="117" t="s">
        <v>95</v>
      </c>
      <c r="F76" s="118">
        <v>1</v>
      </c>
      <c r="G76" s="118"/>
      <c r="H76" s="130">
        <v>8</v>
      </c>
      <c r="I76" s="130"/>
      <c r="J76" s="131"/>
      <c r="K76" s="131">
        <f>0.048*F76</f>
        <v>4.8000000000000001E-2</v>
      </c>
      <c r="L76" s="131"/>
      <c r="M76" s="130">
        <f t="shared" ref="M76:M82" si="8">H76*K76</f>
        <v>0.38400000000000001</v>
      </c>
      <c r="N76" s="155"/>
      <c r="O76" s="124"/>
      <c r="P76" s="125"/>
      <c r="Q76" s="126"/>
      <c r="R76" s="125"/>
      <c r="S76" s="238"/>
      <c r="T76" s="205"/>
      <c r="U76" s="207"/>
    </row>
    <row r="77" spans="1:21" s="113" customFormat="1" ht="22.5" x14ac:dyDescent="0.15">
      <c r="A77" s="202"/>
      <c r="B77" s="224"/>
      <c r="C77" s="202"/>
      <c r="D77" s="116" t="s">
        <v>99</v>
      </c>
      <c r="E77" s="117" t="s">
        <v>100</v>
      </c>
      <c r="F77" s="118">
        <v>2</v>
      </c>
      <c r="G77" s="118"/>
      <c r="H77" s="130">
        <v>8</v>
      </c>
      <c r="I77" s="130"/>
      <c r="J77" s="131"/>
      <c r="K77" s="131">
        <f>0.02*F77</f>
        <v>0.04</v>
      </c>
      <c r="L77" s="131"/>
      <c r="M77" s="130">
        <f t="shared" si="8"/>
        <v>0.32</v>
      </c>
      <c r="N77" s="155"/>
      <c r="O77" s="124"/>
      <c r="P77" s="125"/>
      <c r="Q77" s="126"/>
      <c r="R77" s="125"/>
      <c r="S77" s="238"/>
      <c r="T77" s="205"/>
      <c r="U77" s="207"/>
    </row>
    <row r="78" spans="1:21" s="113" customFormat="1" ht="22.5" x14ac:dyDescent="0.15">
      <c r="A78" s="202"/>
      <c r="B78" s="224"/>
      <c r="C78" s="202"/>
      <c r="D78" s="116" t="s">
        <v>101</v>
      </c>
      <c r="E78" s="117" t="s">
        <v>102</v>
      </c>
      <c r="F78" s="118">
        <v>2</v>
      </c>
      <c r="G78" s="118"/>
      <c r="H78" s="130">
        <v>8</v>
      </c>
      <c r="I78" s="130"/>
      <c r="J78" s="131"/>
      <c r="K78" s="131">
        <f>0.061*F78</f>
        <v>0.122</v>
      </c>
      <c r="L78" s="131"/>
      <c r="M78" s="130">
        <f t="shared" si="8"/>
        <v>0.97599999999999998</v>
      </c>
      <c r="N78" s="155"/>
      <c r="O78" s="124"/>
      <c r="P78" s="125"/>
      <c r="Q78" s="126"/>
      <c r="R78" s="125"/>
      <c r="S78" s="238"/>
      <c r="T78" s="205"/>
      <c r="U78" s="207"/>
    </row>
    <row r="79" spans="1:21" s="113" customFormat="1" ht="22.5" x14ac:dyDescent="0.15">
      <c r="A79" s="202"/>
      <c r="B79" s="224"/>
      <c r="C79" s="202"/>
      <c r="D79" s="116" t="s">
        <v>103</v>
      </c>
      <c r="E79" s="117" t="s">
        <v>104</v>
      </c>
      <c r="F79" s="118">
        <v>2</v>
      </c>
      <c r="G79" s="118"/>
      <c r="H79" s="130">
        <v>8</v>
      </c>
      <c r="I79" s="130"/>
      <c r="J79" s="131"/>
      <c r="K79" s="131">
        <f>0.091*F79</f>
        <v>0.182</v>
      </c>
      <c r="L79" s="131"/>
      <c r="M79" s="130">
        <f t="shared" si="8"/>
        <v>1.456</v>
      </c>
      <c r="N79" s="155"/>
      <c r="O79" s="124"/>
      <c r="P79" s="125"/>
      <c r="Q79" s="126"/>
      <c r="R79" s="125"/>
      <c r="S79" s="238"/>
      <c r="T79" s="205"/>
      <c r="U79" s="207"/>
    </row>
    <row r="80" spans="1:21" s="113" customFormat="1" ht="22.5" x14ac:dyDescent="0.15">
      <c r="A80" s="202"/>
      <c r="B80" s="224"/>
      <c r="C80" s="202"/>
      <c r="D80" s="116" t="s">
        <v>107</v>
      </c>
      <c r="E80" s="117" t="s">
        <v>108</v>
      </c>
      <c r="F80" s="118">
        <v>2</v>
      </c>
      <c r="G80" s="118"/>
      <c r="H80" s="130">
        <v>8</v>
      </c>
      <c r="I80" s="130"/>
      <c r="J80" s="131"/>
      <c r="K80" s="131">
        <f>0.101*F80</f>
        <v>0.20200000000000001</v>
      </c>
      <c r="L80" s="131"/>
      <c r="M80" s="130">
        <f t="shared" si="8"/>
        <v>1.6160000000000001</v>
      </c>
      <c r="N80" s="155"/>
      <c r="O80" s="124"/>
      <c r="P80" s="125"/>
      <c r="Q80" s="126"/>
      <c r="R80" s="125"/>
      <c r="S80" s="238"/>
      <c r="T80" s="205"/>
      <c r="U80" s="207"/>
    </row>
    <row r="81" spans="1:21" s="113" customFormat="1" ht="22.5" x14ac:dyDescent="0.15">
      <c r="A81" s="202"/>
      <c r="B81" s="224"/>
      <c r="C81" s="202"/>
      <c r="D81" s="116" t="s">
        <v>109</v>
      </c>
      <c r="E81" s="117" t="s">
        <v>110</v>
      </c>
      <c r="F81" s="118">
        <v>3</v>
      </c>
      <c r="G81" s="118"/>
      <c r="H81" s="130">
        <v>8</v>
      </c>
      <c r="I81" s="130"/>
      <c r="J81" s="131"/>
      <c r="K81" s="131">
        <f>0.041*F81</f>
        <v>0.123</v>
      </c>
      <c r="L81" s="131"/>
      <c r="M81" s="130">
        <f t="shared" si="8"/>
        <v>0.98399999999999999</v>
      </c>
      <c r="N81" s="155"/>
      <c r="O81" s="124"/>
      <c r="P81" s="125"/>
      <c r="Q81" s="126"/>
      <c r="R81" s="125"/>
      <c r="S81" s="238"/>
      <c r="T81" s="205"/>
      <c r="U81" s="207"/>
    </row>
    <row r="82" spans="1:21" s="113" customFormat="1" ht="22.5" x14ac:dyDescent="0.15">
      <c r="A82" s="202"/>
      <c r="B82" s="224"/>
      <c r="C82" s="202"/>
      <c r="D82" s="116" t="s">
        <v>111</v>
      </c>
      <c r="E82" s="117" t="s">
        <v>112</v>
      </c>
      <c r="F82" s="118">
        <v>1</v>
      </c>
      <c r="G82" s="118"/>
      <c r="H82" s="130">
        <v>8</v>
      </c>
      <c r="I82" s="130"/>
      <c r="J82" s="131"/>
      <c r="K82" s="131">
        <f>0.031*F82</f>
        <v>3.1E-2</v>
      </c>
      <c r="L82" s="131"/>
      <c r="M82" s="130">
        <f t="shared" si="8"/>
        <v>0.248</v>
      </c>
      <c r="N82" s="155"/>
      <c r="O82" s="156"/>
      <c r="P82" s="125"/>
      <c r="Q82" s="126"/>
      <c r="R82" s="125"/>
      <c r="S82" s="238"/>
      <c r="T82" s="205"/>
      <c r="U82" s="207"/>
    </row>
    <row r="83" spans="1:21" s="113" customFormat="1" ht="18.95" customHeight="1" x14ac:dyDescent="0.15">
      <c r="A83" s="202"/>
      <c r="B83" s="224"/>
      <c r="C83" s="202"/>
      <c r="D83" s="116"/>
      <c r="E83" s="117"/>
      <c r="F83" s="118"/>
      <c r="G83" s="118"/>
      <c r="H83" s="130"/>
      <c r="I83" s="130"/>
      <c r="J83" s="131"/>
      <c r="K83" s="131"/>
      <c r="L83" s="131"/>
      <c r="M83" s="130"/>
      <c r="N83" s="155" t="s">
        <v>259</v>
      </c>
      <c r="O83" s="156" t="s">
        <v>260</v>
      </c>
      <c r="P83" s="157">
        <v>160</v>
      </c>
      <c r="Q83" s="126" t="s">
        <v>261</v>
      </c>
      <c r="R83" s="125">
        <f>P83*0.012</f>
        <v>1.92</v>
      </c>
      <c r="S83" s="238"/>
      <c r="T83" s="205"/>
      <c r="U83" s="207"/>
    </row>
    <row r="84" spans="1:21" s="113" customFormat="1" ht="24" x14ac:dyDescent="0.15">
      <c r="A84" s="203"/>
      <c r="B84" s="225"/>
      <c r="C84" s="203"/>
      <c r="D84" s="127" t="s">
        <v>227</v>
      </c>
      <c r="E84" s="104"/>
      <c r="F84" s="148"/>
      <c r="G84" s="148"/>
      <c r="H84" s="148"/>
      <c r="I84" s="148"/>
      <c r="J84" s="148"/>
      <c r="K84" s="148"/>
      <c r="L84" s="148"/>
      <c r="M84" s="128">
        <f>SUM(M72:M83)</f>
        <v>12.139239999999999</v>
      </c>
      <c r="N84" s="218" t="s">
        <v>228</v>
      </c>
      <c r="O84" s="219"/>
      <c r="P84" s="220"/>
      <c r="Q84" s="219"/>
      <c r="R84" s="149">
        <f>SUM(R72:R83)</f>
        <v>2.84</v>
      </c>
      <c r="S84" s="111">
        <f>1.87*0.2</f>
        <v>0.37400000000000005</v>
      </c>
      <c r="T84" s="205"/>
      <c r="U84" s="208"/>
    </row>
    <row r="85" spans="1:21" s="113" customFormat="1" ht="27" customHeight="1" x14ac:dyDescent="0.15">
      <c r="A85" s="202">
        <v>6</v>
      </c>
      <c r="B85" s="224" t="s">
        <v>114</v>
      </c>
      <c r="C85" s="202"/>
      <c r="D85" s="101" t="s">
        <v>89</v>
      </c>
      <c r="E85" s="152" t="s">
        <v>90</v>
      </c>
      <c r="F85" s="148">
        <v>1</v>
      </c>
      <c r="G85" s="104" t="s">
        <v>38</v>
      </c>
      <c r="H85" s="105">
        <v>4.9000000000000004</v>
      </c>
      <c r="I85" s="105">
        <v>2.1</v>
      </c>
      <c r="J85" s="106">
        <f>K85*1.15</f>
        <v>0.94989999999999986</v>
      </c>
      <c r="K85" s="107">
        <v>0.82599999999999996</v>
      </c>
      <c r="L85" s="108">
        <f>J85-K85</f>
        <v>0.1238999999999999</v>
      </c>
      <c r="M85" s="105">
        <f>H85*J85-I85*L85</f>
        <v>4.3943199999999996</v>
      </c>
      <c r="N85" s="153" t="s">
        <v>216</v>
      </c>
      <c r="O85" s="154" t="s">
        <v>223</v>
      </c>
      <c r="P85" s="111">
        <v>0.2</v>
      </c>
      <c r="Q85" s="112">
        <v>1</v>
      </c>
      <c r="R85" s="111">
        <f t="shared" ref="R85:R88" si="9">P85*Q85</f>
        <v>0.2</v>
      </c>
      <c r="S85" s="229"/>
      <c r="T85" s="205">
        <v>1.1200000000000001</v>
      </c>
      <c r="U85" s="206">
        <f>(M97+R97+S97)*T85</f>
        <v>16.8626304</v>
      </c>
    </row>
    <row r="86" spans="1:21" s="113" customFormat="1" ht="14.25" x14ac:dyDescent="0.15">
      <c r="A86" s="202"/>
      <c r="B86" s="224"/>
      <c r="C86" s="202"/>
      <c r="D86" s="221"/>
      <c r="E86" s="222"/>
      <c r="F86" s="222"/>
      <c r="G86" s="222"/>
      <c r="H86" s="222"/>
      <c r="I86" s="222"/>
      <c r="J86" s="222"/>
      <c r="K86" s="222"/>
      <c r="L86" s="222"/>
      <c r="M86" s="223"/>
      <c r="N86" s="153" t="s">
        <v>229</v>
      </c>
      <c r="O86" s="154" t="s">
        <v>230</v>
      </c>
      <c r="P86" s="111">
        <v>0.24</v>
      </c>
      <c r="Q86" s="112">
        <v>2</v>
      </c>
      <c r="R86" s="111">
        <f t="shared" si="9"/>
        <v>0.48</v>
      </c>
      <c r="S86" s="230"/>
      <c r="T86" s="205"/>
      <c r="U86" s="207"/>
    </row>
    <row r="87" spans="1:21" s="113" customFormat="1" ht="14.25" x14ac:dyDescent="0.15">
      <c r="A87" s="202"/>
      <c r="B87" s="224"/>
      <c r="C87" s="202"/>
      <c r="D87" s="104" t="s">
        <v>92</v>
      </c>
      <c r="E87" s="115" t="s">
        <v>93</v>
      </c>
      <c r="F87" s="148">
        <v>1</v>
      </c>
      <c r="G87" s="148" t="s">
        <v>38</v>
      </c>
      <c r="H87" s="128">
        <v>4.9000000000000004</v>
      </c>
      <c r="I87" s="105">
        <v>2.1</v>
      </c>
      <c r="J87" s="106">
        <f>K87*1.15</f>
        <v>0.32200000000000001</v>
      </c>
      <c r="K87" s="107">
        <v>0.28000000000000003</v>
      </c>
      <c r="L87" s="108">
        <f>J87-K87</f>
        <v>4.1999999999999982E-2</v>
      </c>
      <c r="M87" s="105">
        <f>H87*J87-I87*L87</f>
        <v>1.4896</v>
      </c>
      <c r="N87" s="153" t="s">
        <v>216</v>
      </c>
      <c r="O87" s="154" t="s">
        <v>223</v>
      </c>
      <c r="P87" s="111">
        <v>0.12</v>
      </c>
      <c r="Q87" s="112">
        <v>1</v>
      </c>
      <c r="R87" s="111">
        <f t="shared" si="9"/>
        <v>0.12</v>
      </c>
      <c r="S87" s="230"/>
      <c r="T87" s="205"/>
      <c r="U87" s="207"/>
    </row>
    <row r="88" spans="1:21" s="113" customFormat="1" ht="14.25" x14ac:dyDescent="0.15">
      <c r="A88" s="202"/>
      <c r="B88" s="224"/>
      <c r="C88" s="202"/>
      <c r="D88" s="221"/>
      <c r="E88" s="222"/>
      <c r="F88" s="222"/>
      <c r="G88" s="222"/>
      <c r="H88" s="222"/>
      <c r="I88" s="222"/>
      <c r="J88" s="222"/>
      <c r="K88" s="222"/>
      <c r="L88" s="222"/>
      <c r="M88" s="223"/>
      <c r="N88" s="153" t="s">
        <v>236</v>
      </c>
      <c r="O88" s="114" t="s">
        <v>231</v>
      </c>
      <c r="P88" s="111">
        <v>0.12</v>
      </c>
      <c r="Q88" s="112">
        <v>1</v>
      </c>
      <c r="R88" s="111">
        <f t="shared" si="9"/>
        <v>0.12</v>
      </c>
      <c r="S88" s="230"/>
      <c r="T88" s="205"/>
      <c r="U88" s="207"/>
    </row>
    <row r="89" spans="1:21" s="113" customFormat="1" ht="22.5" x14ac:dyDescent="0.15">
      <c r="A89" s="202"/>
      <c r="B89" s="224"/>
      <c r="C89" s="202"/>
      <c r="D89" s="116" t="s">
        <v>94</v>
      </c>
      <c r="E89" s="117" t="s">
        <v>95</v>
      </c>
      <c r="F89" s="118">
        <v>1</v>
      </c>
      <c r="G89" s="118"/>
      <c r="H89" s="130">
        <v>8</v>
      </c>
      <c r="I89" s="130"/>
      <c r="J89" s="131"/>
      <c r="K89" s="131">
        <f>0.048*F89</f>
        <v>4.8000000000000001E-2</v>
      </c>
      <c r="L89" s="131"/>
      <c r="M89" s="130">
        <f t="shared" ref="M89:M95" si="10">H89*K89</f>
        <v>0.38400000000000001</v>
      </c>
      <c r="N89" s="155"/>
      <c r="O89" s="124"/>
      <c r="P89" s="125"/>
      <c r="Q89" s="126"/>
      <c r="R89" s="125"/>
      <c r="S89" s="230"/>
      <c r="T89" s="205"/>
      <c r="U89" s="207"/>
    </row>
    <row r="90" spans="1:21" s="113" customFormat="1" ht="22.5" x14ac:dyDescent="0.15">
      <c r="A90" s="202"/>
      <c r="B90" s="224"/>
      <c r="C90" s="202"/>
      <c r="D90" s="116" t="s">
        <v>99</v>
      </c>
      <c r="E90" s="117" t="s">
        <v>100</v>
      </c>
      <c r="F90" s="118">
        <v>2</v>
      </c>
      <c r="G90" s="118"/>
      <c r="H90" s="130">
        <v>8</v>
      </c>
      <c r="I90" s="130"/>
      <c r="J90" s="131"/>
      <c r="K90" s="131">
        <f>0.02*F90</f>
        <v>0.04</v>
      </c>
      <c r="L90" s="131"/>
      <c r="M90" s="130">
        <f t="shared" si="10"/>
        <v>0.32</v>
      </c>
      <c r="N90" s="155"/>
      <c r="O90" s="124"/>
      <c r="P90" s="125"/>
      <c r="Q90" s="126"/>
      <c r="R90" s="125"/>
      <c r="S90" s="230"/>
      <c r="T90" s="205"/>
      <c r="U90" s="207"/>
    </row>
    <row r="91" spans="1:21" s="113" customFormat="1" ht="22.5" x14ac:dyDescent="0.15">
      <c r="A91" s="202"/>
      <c r="B91" s="224"/>
      <c r="C91" s="202"/>
      <c r="D91" s="116" t="s">
        <v>101</v>
      </c>
      <c r="E91" s="117" t="s">
        <v>102</v>
      </c>
      <c r="F91" s="118">
        <v>2</v>
      </c>
      <c r="G91" s="118"/>
      <c r="H91" s="130">
        <v>8</v>
      </c>
      <c r="I91" s="130"/>
      <c r="J91" s="131"/>
      <c r="K91" s="131">
        <f>0.061*F91</f>
        <v>0.122</v>
      </c>
      <c r="L91" s="131"/>
      <c r="M91" s="130">
        <f t="shared" si="10"/>
        <v>0.97599999999999998</v>
      </c>
      <c r="N91" s="155"/>
      <c r="O91" s="124"/>
      <c r="P91" s="125"/>
      <c r="Q91" s="126"/>
      <c r="R91" s="125"/>
      <c r="S91" s="230"/>
      <c r="T91" s="205"/>
      <c r="U91" s="207"/>
    </row>
    <row r="92" spans="1:21" s="113" customFormat="1" ht="22.5" x14ac:dyDescent="0.15">
      <c r="A92" s="202"/>
      <c r="B92" s="224"/>
      <c r="C92" s="202"/>
      <c r="D92" s="116" t="s">
        <v>103</v>
      </c>
      <c r="E92" s="117" t="s">
        <v>104</v>
      </c>
      <c r="F92" s="118">
        <v>2</v>
      </c>
      <c r="G92" s="118"/>
      <c r="H92" s="130">
        <v>8</v>
      </c>
      <c r="I92" s="130"/>
      <c r="J92" s="131"/>
      <c r="K92" s="131">
        <f>0.091*F92</f>
        <v>0.182</v>
      </c>
      <c r="L92" s="131"/>
      <c r="M92" s="130">
        <f t="shared" si="10"/>
        <v>1.456</v>
      </c>
      <c r="N92" s="155"/>
      <c r="O92" s="124"/>
      <c r="P92" s="125"/>
      <c r="Q92" s="126"/>
      <c r="R92" s="125"/>
      <c r="S92" s="230"/>
      <c r="T92" s="205"/>
      <c r="U92" s="207"/>
    </row>
    <row r="93" spans="1:21" s="113" customFormat="1" ht="22.5" x14ac:dyDescent="0.15">
      <c r="A93" s="202"/>
      <c r="B93" s="224"/>
      <c r="C93" s="202"/>
      <c r="D93" s="116" t="s">
        <v>107</v>
      </c>
      <c r="E93" s="117" t="s">
        <v>108</v>
      </c>
      <c r="F93" s="118">
        <v>2</v>
      </c>
      <c r="G93" s="118"/>
      <c r="H93" s="130">
        <v>8</v>
      </c>
      <c r="I93" s="130"/>
      <c r="J93" s="131"/>
      <c r="K93" s="131">
        <f>0.101*F93</f>
        <v>0.20200000000000001</v>
      </c>
      <c r="L93" s="131"/>
      <c r="M93" s="130">
        <f t="shared" si="10"/>
        <v>1.6160000000000001</v>
      </c>
      <c r="N93" s="155"/>
      <c r="O93" s="124"/>
      <c r="P93" s="125"/>
      <c r="Q93" s="126"/>
      <c r="R93" s="125"/>
      <c r="S93" s="230"/>
      <c r="T93" s="205"/>
      <c r="U93" s="207"/>
    </row>
    <row r="94" spans="1:21" s="113" customFormat="1" ht="22.5" x14ac:dyDescent="0.15">
      <c r="A94" s="202"/>
      <c r="B94" s="224"/>
      <c r="C94" s="202"/>
      <c r="D94" s="116" t="s">
        <v>109</v>
      </c>
      <c r="E94" s="117" t="s">
        <v>110</v>
      </c>
      <c r="F94" s="118">
        <v>3</v>
      </c>
      <c r="G94" s="118"/>
      <c r="H94" s="130">
        <v>8</v>
      </c>
      <c r="I94" s="130"/>
      <c r="J94" s="131"/>
      <c r="K94" s="131">
        <f>0.041*F94</f>
        <v>0.123</v>
      </c>
      <c r="L94" s="131"/>
      <c r="M94" s="130">
        <f t="shared" si="10"/>
        <v>0.98399999999999999</v>
      </c>
      <c r="N94" s="155"/>
      <c r="O94" s="124"/>
      <c r="P94" s="125"/>
      <c r="Q94" s="126"/>
      <c r="R94" s="125"/>
      <c r="S94" s="230"/>
      <c r="T94" s="205"/>
      <c r="U94" s="207"/>
    </row>
    <row r="95" spans="1:21" s="113" customFormat="1" ht="22.5" x14ac:dyDescent="0.15">
      <c r="A95" s="202"/>
      <c r="B95" s="224"/>
      <c r="C95" s="202"/>
      <c r="D95" s="116" t="s">
        <v>111</v>
      </c>
      <c r="E95" s="117" t="s">
        <v>112</v>
      </c>
      <c r="F95" s="118">
        <v>1</v>
      </c>
      <c r="G95" s="118"/>
      <c r="H95" s="130">
        <v>8</v>
      </c>
      <c r="I95" s="130"/>
      <c r="J95" s="131"/>
      <c r="K95" s="131">
        <f>0.031*F95</f>
        <v>3.1E-2</v>
      </c>
      <c r="L95" s="131"/>
      <c r="M95" s="130">
        <f t="shared" si="10"/>
        <v>0.248</v>
      </c>
      <c r="N95" s="155"/>
      <c r="O95" s="156"/>
      <c r="P95" s="125"/>
      <c r="Q95" s="126"/>
      <c r="R95" s="125"/>
      <c r="S95" s="230"/>
      <c r="T95" s="205"/>
      <c r="U95" s="207"/>
    </row>
    <row r="96" spans="1:21" s="113" customFormat="1" ht="18.95" customHeight="1" x14ac:dyDescent="0.15">
      <c r="A96" s="202"/>
      <c r="B96" s="224"/>
      <c r="C96" s="202"/>
      <c r="D96" s="116"/>
      <c r="E96" s="117"/>
      <c r="F96" s="118"/>
      <c r="G96" s="118"/>
      <c r="H96" s="130"/>
      <c r="I96" s="130"/>
      <c r="J96" s="131"/>
      <c r="K96" s="131"/>
      <c r="L96" s="131"/>
      <c r="M96" s="130"/>
      <c r="N96" s="155" t="s">
        <v>259</v>
      </c>
      <c r="O96" s="156" t="s">
        <v>260</v>
      </c>
      <c r="P96" s="125">
        <v>160</v>
      </c>
      <c r="Q96" s="126" t="s">
        <v>261</v>
      </c>
      <c r="R96" s="125">
        <f>P96*0.012</f>
        <v>1.92</v>
      </c>
      <c r="S96" s="231"/>
      <c r="T96" s="205"/>
      <c r="U96" s="207"/>
    </row>
    <row r="97" spans="1:21" s="113" customFormat="1" ht="24" x14ac:dyDescent="0.15">
      <c r="A97" s="203"/>
      <c r="B97" s="225"/>
      <c r="C97" s="203"/>
      <c r="D97" s="127" t="s">
        <v>227</v>
      </c>
      <c r="E97" s="104"/>
      <c r="F97" s="148"/>
      <c r="G97" s="148"/>
      <c r="H97" s="148"/>
      <c r="I97" s="148"/>
      <c r="J97" s="148"/>
      <c r="K97" s="148"/>
      <c r="L97" s="148"/>
      <c r="M97" s="128">
        <f>SUM(M85:M96)</f>
        <v>11.86792</v>
      </c>
      <c r="N97" s="218" t="s">
        <v>228</v>
      </c>
      <c r="O97" s="219"/>
      <c r="P97" s="220"/>
      <c r="Q97" s="219"/>
      <c r="R97" s="149">
        <f>SUM(R85:R96)</f>
        <v>2.84</v>
      </c>
      <c r="S97" s="149">
        <f>1.74*0.2</f>
        <v>0.34800000000000003</v>
      </c>
      <c r="T97" s="205"/>
      <c r="U97" s="208"/>
    </row>
    <row r="98" spans="1:21" ht="18" customHeight="1" x14ac:dyDescent="0.15"/>
    <row r="99" spans="1:21" ht="21.95" customHeight="1" x14ac:dyDescent="0.15">
      <c r="O99" s="239" t="s">
        <v>241</v>
      </c>
      <c r="P99" s="239"/>
      <c r="Q99" s="239"/>
      <c r="R99" s="239"/>
      <c r="S99" s="239"/>
      <c r="T99" s="239"/>
      <c r="U99" s="239"/>
    </row>
    <row r="100" spans="1:21" ht="21.95" customHeight="1" x14ac:dyDescent="0.15">
      <c r="O100" s="239" t="s">
        <v>268</v>
      </c>
      <c r="P100" s="239"/>
      <c r="Q100" s="239"/>
      <c r="R100" s="239"/>
      <c r="S100" s="239"/>
      <c r="T100" s="239"/>
      <c r="U100" s="239"/>
    </row>
  </sheetData>
  <mergeCells count="72">
    <mergeCell ref="O100:U100"/>
    <mergeCell ref="A85:A97"/>
    <mergeCell ref="B85:B97"/>
    <mergeCell ref="C85:C97"/>
    <mergeCell ref="S85:S96"/>
    <mergeCell ref="T85:T97"/>
    <mergeCell ref="U85:U97"/>
    <mergeCell ref="D86:M86"/>
    <mergeCell ref="D88:M88"/>
    <mergeCell ref="N97:Q97"/>
    <mergeCell ref="B72:B84"/>
    <mergeCell ref="C72:C84"/>
    <mergeCell ref="S72:S83"/>
    <mergeCell ref="T72:T84"/>
    <mergeCell ref="O99:U99"/>
    <mergeCell ref="N48:Q48"/>
    <mergeCell ref="A49:A71"/>
    <mergeCell ref="B49:B71"/>
    <mergeCell ref="C49:C71"/>
    <mergeCell ref="U72:U84"/>
    <mergeCell ref="D73:M73"/>
    <mergeCell ref="D75:M75"/>
    <mergeCell ref="N84:Q84"/>
    <mergeCell ref="T49:T71"/>
    <mergeCell ref="U49:U71"/>
    <mergeCell ref="D50:M55"/>
    <mergeCell ref="D57:M57"/>
    <mergeCell ref="D59:M60"/>
    <mergeCell ref="N71:Q71"/>
    <mergeCell ref="S49:S70"/>
    <mergeCell ref="A72:A84"/>
    <mergeCell ref="U15:U32"/>
    <mergeCell ref="D16:M19"/>
    <mergeCell ref="D25:M26"/>
    <mergeCell ref="N32:Q32"/>
    <mergeCell ref="A33:A48"/>
    <mergeCell ref="B33:B48"/>
    <mergeCell ref="C33:C48"/>
    <mergeCell ref="S33:S47"/>
    <mergeCell ref="T33:T48"/>
    <mergeCell ref="U33:U48"/>
    <mergeCell ref="A15:A32"/>
    <mergeCell ref="B15:B32"/>
    <mergeCell ref="C15:C32"/>
    <mergeCell ref="S15:S31"/>
    <mergeCell ref="T15:T32"/>
    <mergeCell ref="D34:M37"/>
    <mergeCell ref="U4:U14"/>
    <mergeCell ref="D5:M7"/>
    <mergeCell ref="D9:M10"/>
    <mergeCell ref="D12:M13"/>
    <mergeCell ref="N14:Q14"/>
    <mergeCell ref="A4:A14"/>
    <mergeCell ref="B4:B14"/>
    <mergeCell ref="C4:C14"/>
    <mergeCell ref="S4:S13"/>
    <mergeCell ref="T4:T14"/>
    <mergeCell ref="A1:U1"/>
    <mergeCell ref="A2:A3"/>
    <mergeCell ref="B2:B3"/>
    <mergeCell ref="C2:C3"/>
    <mergeCell ref="D2:D3"/>
    <mergeCell ref="E2:E3"/>
    <mergeCell ref="F2:F3"/>
    <mergeCell ref="G2:G3"/>
    <mergeCell ref="H2:I2"/>
    <mergeCell ref="J2:L2"/>
    <mergeCell ref="M2:M3"/>
    <mergeCell ref="N2:R2"/>
    <mergeCell ref="S2:S3"/>
    <mergeCell ref="T2:T3"/>
    <mergeCell ref="U2:U3"/>
  </mergeCells>
  <phoneticPr fontId="6" type="noConversion"/>
  <conditionalFormatting sqref="B4">
    <cfRule type="duplicateValues" dxfId="29" priority="9"/>
  </conditionalFormatting>
  <conditionalFormatting sqref="B15">
    <cfRule type="duplicateValues" dxfId="28" priority="5"/>
  </conditionalFormatting>
  <conditionalFormatting sqref="B33">
    <cfRule type="duplicateValues" dxfId="27" priority="1"/>
  </conditionalFormatting>
  <conditionalFormatting sqref="A2:A3">
    <cfRule type="duplicateValues" dxfId="26" priority="13"/>
    <cfRule type="duplicateValues" dxfId="25" priority="14"/>
    <cfRule type="duplicateValues" dxfId="24" priority="15"/>
  </conditionalFormatting>
  <conditionalFormatting sqref="A4:A14">
    <cfRule type="duplicateValues" dxfId="23" priority="10"/>
    <cfRule type="duplicateValues" dxfId="22" priority="11"/>
    <cfRule type="duplicateValues" dxfId="21" priority="12"/>
  </conditionalFormatting>
  <conditionalFormatting sqref="A15:A32">
    <cfRule type="duplicateValues" dxfId="20" priority="6"/>
    <cfRule type="duplicateValues" dxfId="19" priority="7"/>
    <cfRule type="duplicateValues" dxfId="18" priority="8"/>
  </conditionalFormatting>
  <conditionalFormatting sqref="A33:A48">
    <cfRule type="duplicateValues" dxfId="17" priority="2"/>
    <cfRule type="duplicateValues" dxfId="16" priority="3"/>
    <cfRule type="duplicateValues" dxfId="15" priority="4"/>
  </conditionalFormatting>
  <conditionalFormatting sqref="D2:D3">
    <cfRule type="duplicateValues" dxfId="14" priority="16"/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"/>
  <sheetViews>
    <sheetView tabSelected="1" view="pageBreakPreview" zoomScale="60" zoomScaleNormal="100" workbookViewId="0">
      <selection activeCell="R7" sqref="R7"/>
    </sheetView>
  </sheetViews>
  <sheetFormatPr defaultRowHeight="13.5" x14ac:dyDescent="0.15"/>
  <cols>
    <col min="2" max="2" width="12.125" customWidth="1"/>
    <col min="3" max="3" width="25.25" customWidth="1"/>
    <col min="4" max="4" width="10.5" customWidth="1"/>
    <col min="5" max="5" width="8.25" customWidth="1"/>
    <col min="6" max="6" width="6" hidden="1" customWidth="1"/>
    <col min="7" max="7" width="12.25" customWidth="1"/>
    <col min="8" max="9" width="12.5" customWidth="1"/>
    <col min="11" max="11" width="11.25" customWidth="1"/>
    <col min="12" max="12" width="6.5" customWidth="1"/>
    <col min="15" max="15" width="10.625" customWidth="1"/>
    <col min="16" max="16" width="13.125" customWidth="1"/>
  </cols>
  <sheetData>
    <row r="1" spans="1:16" x14ac:dyDescent="0.15">
      <c r="B1" s="242" t="s">
        <v>254</v>
      </c>
      <c r="C1" s="242" t="s">
        <v>253</v>
      </c>
      <c r="D1" s="242" t="s">
        <v>255</v>
      </c>
      <c r="E1" s="242" t="s">
        <v>244</v>
      </c>
      <c r="F1" s="244" t="s">
        <v>256</v>
      </c>
      <c r="G1" s="246" t="s">
        <v>280</v>
      </c>
      <c r="H1" s="246"/>
      <c r="I1" s="246"/>
      <c r="J1" s="240" t="s">
        <v>281</v>
      </c>
      <c r="K1" s="241"/>
      <c r="L1" s="241"/>
      <c r="M1" s="241"/>
      <c r="N1" s="241"/>
      <c r="O1" s="241"/>
    </row>
    <row r="2" spans="1:16" ht="26.25" customHeight="1" x14ac:dyDescent="0.15">
      <c r="B2" s="243"/>
      <c r="C2" s="243"/>
      <c r="D2" s="243"/>
      <c r="E2" s="243"/>
      <c r="F2" s="245"/>
      <c r="G2" s="165" t="s">
        <v>276</v>
      </c>
      <c r="H2" s="166" t="s">
        <v>275</v>
      </c>
      <c r="I2" s="169" t="s">
        <v>274</v>
      </c>
      <c r="J2" s="168" t="s">
        <v>269</v>
      </c>
      <c r="K2" s="168" t="s">
        <v>270</v>
      </c>
      <c r="L2" s="168" t="s">
        <v>282</v>
      </c>
      <c r="M2" s="167" t="s">
        <v>278</v>
      </c>
      <c r="N2" s="168" t="s">
        <v>279</v>
      </c>
      <c r="O2" s="171" t="s">
        <v>277</v>
      </c>
    </row>
    <row r="3" spans="1:16" ht="26.25" customHeight="1" x14ac:dyDescent="0.15">
      <c r="A3">
        <v>995</v>
      </c>
      <c r="B3" s="140" t="s">
        <v>19</v>
      </c>
      <c r="C3" s="141" t="s">
        <v>252</v>
      </c>
      <c r="D3" s="145">
        <f>总成外协、!L6+总成外协、!L7+总成外协、!L8</f>
        <v>2.5598999999999998</v>
      </c>
      <c r="E3" s="160">
        <v>5.15</v>
      </c>
      <c r="F3" s="139"/>
      <c r="G3" s="139">
        <f>[1]报价单!$U$4</f>
        <v>8.9504040000000007</v>
      </c>
      <c r="H3" s="161">
        <f>凌天二次报价!U4</f>
        <v>8.3137152000000007</v>
      </c>
      <c r="I3" s="170">
        <f>[2]报价单!$U$4</f>
        <v>8.2394856000000001</v>
      </c>
      <c r="J3" s="85">
        <f>E3</f>
        <v>5.15</v>
      </c>
      <c r="K3" s="85">
        <v>15900</v>
      </c>
      <c r="L3" s="167" t="s">
        <v>273</v>
      </c>
      <c r="M3" s="85">
        <f>K3+K4+K5</f>
        <v>26900</v>
      </c>
      <c r="N3" s="85">
        <f>M3/20000</f>
        <v>1.345</v>
      </c>
      <c r="O3" s="86">
        <f>E3+N3</f>
        <v>6.4950000000000001</v>
      </c>
      <c r="P3" s="159" t="s">
        <v>283</v>
      </c>
    </row>
    <row r="4" spans="1:16" ht="26.25" customHeight="1" x14ac:dyDescent="0.15">
      <c r="B4" s="140"/>
      <c r="C4" s="141"/>
      <c r="D4" s="145"/>
      <c r="E4" s="160"/>
      <c r="F4" s="139"/>
      <c r="G4" s="139"/>
      <c r="H4" s="161"/>
      <c r="I4" s="170"/>
      <c r="J4" s="85"/>
      <c r="K4" s="85">
        <v>5500</v>
      </c>
      <c r="L4" s="167" t="s">
        <v>273</v>
      </c>
      <c r="M4" s="85"/>
      <c r="N4" s="85">
        <f t="shared" ref="N4:N13" si="0">M4/20000</f>
        <v>0</v>
      </c>
      <c r="O4" s="86">
        <f t="shared" ref="O4:O16" si="1">E4+N4</f>
        <v>0</v>
      </c>
    </row>
    <row r="5" spans="1:16" ht="26.25" customHeight="1" x14ac:dyDescent="0.15">
      <c r="B5" s="140"/>
      <c r="C5" s="141"/>
      <c r="D5" s="145"/>
      <c r="E5" s="160"/>
      <c r="F5" s="139"/>
      <c r="G5" s="139"/>
      <c r="H5" s="161"/>
      <c r="I5" s="170"/>
      <c r="J5" s="85"/>
      <c r="K5" s="85">
        <v>5500</v>
      </c>
      <c r="L5" s="167" t="s">
        <v>272</v>
      </c>
      <c r="M5" s="85"/>
      <c r="N5" s="85">
        <f t="shared" si="0"/>
        <v>0</v>
      </c>
      <c r="O5" s="86">
        <f t="shared" si="1"/>
        <v>0</v>
      </c>
    </row>
    <row r="6" spans="1:16" ht="26.25" customHeight="1" x14ac:dyDescent="0.15">
      <c r="A6">
        <v>875</v>
      </c>
      <c r="B6" s="142" t="s">
        <v>246</v>
      </c>
      <c r="C6" s="141" t="s">
        <v>245</v>
      </c>
      <c r="D6" s="145">
        <f>总成外协、!L10+总成外协、!L13+总成外协、!M11+总成外协、!M12+总成外协、!L14+总成外协、!M15+总成外协、!L16+总成外协、!L19+总成外协、!M20</f>
        <v>13.908339999999999</v>
      </c>
      <c r="E6" s="160">
        <v>19.8</v>
      </c>
      <c r="F6" s="163">
        <f>(E6-D6)/E6</f>
        <v>0.29755858585858591</v>
      </c>
      <c r="G6" s="164">
        <f>[1]报价单!$U$15</f>
        <v>31.806424</v>
      </c>
      <c r="H6" s="161">
        <f>凌天二次报价!U15</f>
        <v>29.901491200000002</v>
      </c>
      <c r="I6" s="170">
        <f>[2]报价单!$U$15</f>
        <v>29.634513599999998</v>
      </c>
      <c r="J6" s="85">
        <f t="shared" ref="J6:J16" si="2">E6</f>
        <v>19.8</v>
      </c>
      <c r="K6" s="85">
        <v>6500</v>
      </c>
      <c r="L6" s="167" t="s">
        <v>273</v>
      </c>
      <c r="M6" s="85">
        <f>K6+K7</f>
        <v>13000</v>
      </c>
      <c r="N6" s="85">
        <f t="shared" si="0"/>
        <v>0.65</v>
      </c>
      <c r="O6" s="86">
        <f t="shared" si="1"/>
        <v>20.45</v>
      </c>
      <c r="P6" s="159" t="s">
        <v>283</v>
      </c>
    </row>
    <row r="7" spans="1:16" ht="26.25" customHeight="1" x14ac:dyDescent="0.15">
      <c r="B7" s="142"/>
      <c r="C7" s="141"/>
      <c r="D7" s="145"/>
      <c r="E7" s="160"/>
      <c r="F7" s="163"/>
      <c r="G7" s="163"/>
      <c r="H7" s="161"/>
      <c r="I7" s="170"/>
      <c r="J7" s="85"/>
      <c r="K7" s="85">
        <v>6500</v>
      </c>
      <c r="L7" s="167" t="s">
        <v>272</v>
      </c>
      <c r="M7" s="85"/>
      <c r="N7" s="85">
        <f t="shared" si="0"/>
        <v>0</v>
      </c>
      <c r="O7" s="86">
        <f t="shared" si="1"/>
        <v>0</v>
      </c>
    </row>
    <row r="8" spans="1:16" ht="26.25" customHeight="1" x14ac:dyDescent="0.15">
      <c r="A8">
        <v>1249</v>
      </c>
      <c r="B8" s="143"/>
      <c r="C8" s="144" t="s">
        <v>64</v>
      </c>
      <c r="D8" s="146">
        <f>总成外协、!L23+总成外协、!M24+总成外协、!M25+总成外协、!L26+总成外协、!L29+总成外协、!L32+总成外协、!L33+总成外协、!L34</f>
        <v>13.6304</v>
      </c>
      <c r="E8" s="160">
        <v>19.29</v>
      </c>
      <c r="F8" s="163">
        <f t="shared" ref="F8:F16" si="3">(E8-D8)/E8</f>
        <v>0.29339554173146704</v>
      </c>
      <c r="G8" s="164">
        <f>[1]报价单!$U$33</f>
        <v>29.183503999999999</v>
      </c>
      <c r="H8" s="161">
        <f>凌天二次报价!U33</f>
        <v>27.346995200000006</v>
      </c>
      <c r="I8" s="170">
        <f>[2]报价单!$U$33</f>
        <v>27.102825599999999</v>
      </c>
      <c r="J8" s="85">
        <f t="shared" si="2"/>
        <v>19.29</v>
      </c>
      <c r="K8" s="85"/>
      <c r="L8" s="167" t="s">
        <v>273</v>
      </c>
      <c r="M8" s="85"/>
      <c r="N8" s="85">
        <f t="shared" si="0"/>
        <v>0</v>
      </c>
      <c r="O8" s="86">
        <f t="shared" si="1"/>
        <v>19.29</v>
      </c>
      <c r="P8" s="159" t="s">
        <v>283</v>
      </c>
    </row>
    <row r="9" spans="1:16" ht="26.25" customHeight="1" x14ac:dyDescent="0.15">
      <c r="B9" s="143"/>
      <c r="C9" s="144"/>
      <c r="D9" s="146"/>
      <c r="E9" s="160"/>
      <c r="F9" s="163"/>
      <c r="G9" s="163"/>
      <c r="H9" s="161"/>
      <c r="I9" s="170"/>
      <c r="J9" s="85"/>
      <c r="K9" s="85"/>
      <c r="L9" s="167" t="s">
        <v>272</v>
      </c>
      <c r="M9" s="85"/>
      <c r="N9" s="85">
        <f t="shared" si="0"/>
        <v>0</v>
      </c>
      <c r="O9" s="86">
        <f t="shared" si="1"/>
        <v>0</v>
      </c>
    </row>
    <row r="10" spans="1:16" ht="26.25" customHeight="1" x14ac:dyDescent="0.15">
      <c r="A10">
        <v>1027</v>
      </c>
      <c r="B10" s="143"/>
      <c r="C10" s="141" t="s">
        <v>247</v>
      </c>
      <c r="D10" s="145">
        <f>总成外协、!M37+总成外协、!L38+总成外协、!L39+总成外协、!L40+总成外协、!L41+总成外协、!L44+总成外协、!M45+总成外协、!M46+总成外协、!M47+总成外协、!L48+总成外协、!L49</f>
        <v>13.240839999999999</v>
      </c>
      <c r="E10" s="160">
        <v>18.489999999999998</v>
      </c>
      <c r="F10" s="163">
        <f t="shared" si="3"/>
        <v>0.28389183342347218</v>
      </c>
      <c r="G10" s="164">
        <f>[1]报价单!$U$49</f>
        <v>30.801416</v>
      </c>
      <c r="H10" s="161">
        <f>凌天二次报价!U49</f>
        <v>28.788300800000005</v>
      </c>
      <c r="I10" s="170">
        <f>[2]报价单!$U$49</f>
        <v>28.531262399999999</v>
      </c>
      <c r="J10" s="85">
        <f t="shared" si="2"/>
        <v>18.489999999999998</v>
      </c>
      <c r="K10" s="85">
        <v>12500</v>
      </c>
      <c r="L10" s="167" t="s">
        <v>273</v>
      </c>
      <c r="M10" s="85">
        <f>K10+K11+K12</f>
        <v>24000</v>
      </c>
      <c r="N10" s="85">
        <f t="shared" si="0"/>
        <v>1.2</v>
      </c>
      <c r="O10" s="86">
        <f t="shared" si="1"/>
        <v>19.689999999999998</v>
      </c>
      <c r="P10" s="159" t="s">
        <v>283</v>
      </c>
    </row>
    <row r="11" spans="1:16" ht="26.25" customHeight="1" x14ac:dyDescent="0.15">
      <c r="B11" s="143"/>
      <c r="C11" s="141"/>
      <c r="D11" s="145"/>
      <c r="E11" s="160"/>
      <c r="F11" s="163"/>
      <c r="G11" s="163"/>
      <c r="H11" s="161"/>
      <c r="I11" s="170"/>
      <c r="J11" s="85"/>
      <c r="K11" s="85">
        <v>5000</v>
      </c>
      <c r="L11" s="167" t="s">
        <v>273</v>
      </c>
      <c r="M11" s="85"/>
      <c r="N11" s="85">
        <f t="shared" si="0"/>
        <v>0</v>
      </c>
      <c r="O11" s="86">
        <f t="shared" si="1"/>
        <v>0</v>
      </c>
    </row>
    <row r="12" spans="1:16" ht="26.25" customHeight="1" x14ac:dyDescent="0.15">
      <c r="B12" s="143"/>
      <c r="C12" s="141"/>
      <c r="D12" s="145"/>
      <c r="E12" s="160"/>
      <c r="F12" s="163"/>
      <c r="G12" s="163"/>
      <c r="H12" s="161"/>
      <c r="I12" s="170"/>
      <c r="J12" s="85"/>
      <c r="K12" s="85">
        <v>6500</v>
      </c>
      <c r="L12" s="167" t="s">
        <v>272</v>
      </c>
      <c r="M12" s="85"/>
      <c r="N12" s="85">
        <f t="shared" si="0"/>
        <v>0</v>
      </c>
      <c r="O12" s="86">
        <f t="shared" si="1"/>
        <v>0</v>
      </c>
    </row>
    <row r="13" spans="1:16" ht="26.25" customHeight="1" x14ac:dyDescent="0.15">
      <c r="A13">
        <v>1080</v>
      </c>
      <c r="B13" s="143"/>
      <c r="C13" s="143" t="s">
        <v>249</v>
      </c>
      <c r="D13" s="147">
        <f>总成外协、!L52+总成外协、!L53+总成外协、!L54+总成外协、!L55+总成外协、!L58+总成外协、!L59+总成外协、!L62</f>
        <v>10.427800000000001</v>
      </c>
      <c r="E13" s="160">
        <v>14.18</v>
      </c>
      <c r="F13" s="163">
        <f t="shared" si="3"/>
        <v>0.26461212976022558</v>
      </c>
      <c r="G13" s="164">
        <f>[1]报价单!$U$72</f>
        <v>18.760225999999999</v>
      </c>
      <c r="H13" s="161">
        <f>凌天二次报价!U72</f>
        <v>17.195628800000001</v>
      </c>
      <c r="I13" s="170">
        <f>[2]报价单!$U$72</f>
        <v>17.042096399999998</v>
      </c>
      <c r="J13" s="85">
        <f t="shared" si="2"/>
        <v>14.18</v>
      </c>
      <c r="K13" s="85">
        <v>5000</v>
      </c>
      <c r="L13" s="167" t="s">
        <v>273</v>
      </c>
      <c r="M13" s="85">
        <f>K13+K14+K15</f>
        <v>12700</v>
      </c>
      <c r="N13" s="85">
        <f t="shared" si="0"/>
        <v>0.63500000000000001</v>
      </c>
      <c r="O13" s="86">
        <f t="shared" si="1"/>
        <v>14.815</v>
      </c>
      <c r="P13" s="159" t="s">
        <v>283</v>
      </c>
    </row>
    <row r="14" spans="1:16" ht="26.25" customHeight="1" x14ac:dyDescent="0.15">
      <c r="B14" s="143"/>
      <c r="C14" s="143"/>
      <c r="D14" s="147"/>
      <c r="E14" s="160"/>
      <c r="F14" s="163"/>
      <c r="G14" s="163"/>
      <c r="H14" s="161"/>
      <c r="I14" s="170"/>
      <c r="J14" s="85"/>
      <c r="K14" s="85">
        <v>5500</v>
      </c>
      <c r="L14" s="167" t="s">
        <v>272</v>
      </c>
      <c r="M14" s="85"/>
      <c r="N14" s="85"/>
      <c r="O14" s="86">
        <f t="shared" si="1"/>
        <v>0</v>
      </c>
    </row>
    <row r="15" spans="1:16" ht="26.25" customHeight="1" x14ac:dyDescent="0.15">
      <c r="B15" s="143"/>
      <c r="C15" s="143"/>
      <c r="D15" s="147"/>
      <c r="E15" s="160"/>
      <c r="F15" s="163"/>
      <c r="G15" s="163"/>
      <c r="H15" s="161"/>
      <c r="I15" s="170"/>
      <c r="J15" s="85"/>
      <c r="K15" s="85">
        <v>2200</v>
      </c>
      <c r="L15" s="167" t="s">
        <v>272</v>
      </c>
      <c r="M15" s="85"/>
      <c r="N15" s="85"/>
      <c r="O15" s="86">
        <f t="shared" si="1"/>
        <v>0</v>
      </c>
    </row>
    <row r="16" spans="1:16" ht="26.25" customHeight="1" x14ac:dyDescent="0.15">
      <c r="A16">
        <v>1165</v>
      </c>
      <c r="B16" s="143"/>
      <c r="C16" s="143" t="s">
        <v>251</v>
      </c>
      <c r="D16" s="147">
        <f>总成外协、!L65+总成外协、!L66+总成外协、!L67+总成外协、!L68+总成外协、!L71+总成外协、!L74+总成外协、!L75</f>
        <v>10.132500000000002</v>
      </c>
      <c r="E16" s="160">
        <v>13.84</v>
      </c>
      <c r="F16" s="163">
        <f t="shared" si="3"/>
        <v>0.26788294797687845</v>
      </c>
      <c r="G16" s="164">
        <f>[1]报价单!$U$85</f>
        <v>18.418308</v>
      </c>
      <c r="H16" s="161">
        <f>凌天二次报价!U85</f>
        <v>16.8626304</v>
      </c>
      <c r="I16" s="170">
        <f>[2]报价单!$U$85</f>
        <v>16.7120712</v>
      </c>
      <c r="J16" s="85">
        <f t="shared" si="2"/>
        <v>13.84</v>
      </c>
      <c r="K16" s="85"/>
      <c r="L16" s="167" t="s">
        <v>273</v>
      </c>
      <c r="M16" s="85"/>
      <c r="N16" s="85"/>
      <c r="O16" s="86">
        <f t="shared" si="1"/>
        <v>13.84</v>
      </c>
      <c r="P16" s="159" t="s">
        <v>283</v>
      </c>
    </row>
    <row r="17" spans="6:15" x14ac:dyDescent="0.15">
      <c r="F17" s="139"/>
      <c r="G17" s="139"/>
      <c r="H17" s="139"/>
      <c r="I17" s="139"/>
      <c r="J17" s="139"/>
      <c r="K17" s="139"/>
      <c r="L17" s="162" t="s">
        <v>272</v>
      </c>
      <c r="M17" s="139"/>
      <c r="N17" s="139"/>
      <c r="O17" s="139"/>
    </row>
  </sheetData>
  <mergeCells count="7">
    <mergeCell ref="J1:O1"/>
    <mergeCell ref="B1:B2"/>
    <mergeCell ref="C1:C2"/>
    <mergeCell ref="D1:D2"/>
    <mergeCell ref="E1:E2"/>
    <mergeCell ref="F1:F2"/>
    <mergeCell ref="G1:I1"/>
  </mergeCells>
  <phoneticPr fontId="6" type="noConversion"/>
  <conditionalFormatting sqref="B6:B7">
    <cfRule type="duplicateValues" dxfId="13" priority="1"/>
  </conditionalFormatting>
  <conditionalFormatting sqref="B3:B5">
    <cfRule type="duplicateValues" dxfId="12" priority="17"/>
  </conditionalFormatting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5"/>
  <sheetViews>
    <sheetView topLeftCell="A41" workbookViewId="0">
      <selection activeCell="L58" sqref="L58"/>
    </sheetView>
  </sheetViews>
  <sheetFormatPr defaultColWidth="9" defaultRowHeight="13.5" x14ac:dyDescent="0.15"/>
  <cols>
    <col min="1" max="3" width="4.375" customWidth="1"/>
    <col min="4" max="4" width="17.5" customWidth="1"/>
    <col min="5" max="5" width="24.25" customWidth="1"/>
    <col min="6" max="6" width="11.875" customWidth="1"/>
    <col min="7" max="7" width="18.25" customWidth="1"/>
  </cols>
  <sheetData>
    <row r="1" spans="1:11" ht="23.1" customHeight="1" x14ac:dyDescent="0.15">
      <c r="A1" s="173" t="s">
        <v>0</v>
      </c>
      <c r="B1" s="173"/>
      <c r="C1" s="173"/>
      <c r="D1" s="173" t="s">
        <v>1</v>
      </c>
      <c r="E1" s="173" t="s">
        <v>2</v>
      </c>
      <c r="F1" s="173" t="s">
        <v>3</v>
      </c>
      <c r="G1" s="173" t="s">
        <v>5</v>
      </c>
      <c r="H1" s="173" t="s">
        <v>6</v>
      </c>
      <c r="I1" s="176" t="s">
        <v>7</v>
      </c>
      <c r="J1" s="173" t="s">
        <v>8</v>
      </c>
    </row>
    <row r="2" spans="1:11" ht="24.95" customHeight="1" x14ac:dyDescent="0.15">
      <c r="A2" s="173"/>
      <c r="B2" s="173"/>
      <c r="C2" s="173"/>
      <c r="D2" s="174"/>
      <c r="E2" s="175"/>
      <c r="F2" s="175"/>
      <c r="G2" s="175"/>
      <c r="H2" s="175"/>
      <c r="I2" s="173"/>
      <c r="J2" s="175"/>
      <c r="K2" t="s">
        <v>16</v>
      </c>
    </row>
    <row r="3" spans="1:11" s="1" customFormat="1" ht="24.95" customHeight="1" x14ac:dyDescent="0.15">
      <c r="A3" s="5"/>
      <c r="B3" s="6"/>
      <c r="C3" s="6"/>
      <c r="D3" s="7"/>
      <c r="E3" s="5" t="s">
        <v>17</v>
      </c>
      <c r="F3" s="8" t="s">
        <v>18</v>
      </c>
      <c r="G3" s="9"/>
      <c r="H3" s="9"/>
      <c r="I3" s="47"/>
      <c r="J3" s="48"/>
    </row>
    <row r="4" spans="1:11" s="2" customFormat="1" ht="24.95" customHeight="1" x14ac:dyDescent="0.15">
      <c r="A4" s="10">
        <v>1</v>
      </c>
      <c r="B4" s="11"/>
      <c r="C4" s="11"/>
      <c r="D4" s="12" t="s">
        <v>19</v>
      </c>
      <c r="E4" s="13" t="s">
        <v>20</v>
      </c>
      <c r="F4" s="14"/>
      <c r="G4" s="15"/>
      <c r="H4" s="15"/>
      <c r="I4" s="50"/>
      <c r="J4" s="51"/>
      <c r="K4" s="2">
        <v>5.15</v>
      </c>
    </row>
    <row r="5" spans="1:11" s="3" customFormat="1" ht="23.1" customHeight="1" x14ac:dyDescent="0.15">
      <c r="A5" s="16"/>
      <c r="B5" s="17"/>
      <c r="C5" s="17"/>
      <c r="D5" s="18" t="s">
        <v>22</v>
      </c>
      <c r="E5" s="19" t="s">
        <v>23</v>
      </c>
      <c r="F5" s="20"/>
      <c r="G5" s="21" t="s">
        <v>24</v>
      </c>
      <c r="H5" s="34">
        <f>SUMPRODUCT(H6:H8,I6:I8)</f>
        <v>0.51669999999999994</v>
      </c>
      <c r="I5" s="53"/>
      <c r="J5" s="31"/>
    </row>
    <row r="6" spans="1:11" s="3" customFormat="1" ht="24.95" customHeight="1" x14ac:dyDescent="0.15">
      <c r="A6" s="16"/>
      <c r="B6" s="17">
        <v>1</v>
      </c>
      <c r="C6" s="17"/>
      <c r="D6" s="22" t="s">
        <v>25</v>
      </c>
      <c r="E6" s="19" t="s">
        <v>26</v>
      </c>
      <c r="F6" s="20"/>
      <c r="G6" s="23" t="s">
        <v>27</v>
      </c>
      <c r="H6" s="55">
        <v>3.7400000000000003E-2</v>
      </c>
      <c r="I6" s="53">
        <v>2</v>
      </c>
      <c r="J6" s="31" t="s">
        <v>28</v>
      </c>
    </row>
    <row r="7" spans="1:11" s="3" customFormat="1" ht="24.95" customHeight="1" x14ac:dyDescent="0.15">
      <c r="A7" s="16"/>
      <c r="B7" s="17">
        <v>2</v>
      </c>
      <c r="C7" s="17"/>
      <c r="D7" s="18" t="s">
        <v>29</v>
      </c>
      <c r="E7" s="19" t="s">
        <v>30</v>
      </c>
      <c r="F7" s="20"/>
      <c r="G7" s="23" t="s">
        <v>31</v>
      </c>
      <c r="H7" s="55">
        <v>0.34799999999999998</v>
      </c>
      <c r="I7" s="53">
        <v>1</v>
      </c>
      <c r="J7" s="31" t="s">
        <v>28</v>
      </c>
    </row>
    <row r="8" spans="1:11" s="3" customFormat="1" ht="24.95" customHeight="1" x14ac:dyDescent="0.15">
      <c r="A8" s="16"/>
      <c r="B8" s="17">
        <v>3</v>
      </c>
      <c r="C8" s="17"/>
      <c r="D8" s="18" t="s">
        <v>32</v>
      </c>
      <c r="E8" s="19" t="s">
        <v>33</v>
      </c>
      <c r="F8" s="20"/>
      <c r="G8" s="23" t="s">
        <v>34</v>
      </c>
      <c r="H8" s="55">
        <v>9.3899999999999997E-2</v>
      </c>
      <c r="I8" s="53">
        <v>1</v>
      </c>
      <c r="J8" s="31" t="s">
        <v>28</v>
      </c>
    </row>
    <row r="9" spans="1:11" s="4" customFormat="1" ht="24.95" customHeight="1" x14ac:dyDescent="0.15">
      <c r="A9" s="24">
        <v>2</v>
      </c>
      <c r="B9" s="25"/>
      <c r="C9" s="25"/>
      <c r="D9" s="138" t="s">
        <v>246</v>
      </c>
      <c r="E9" s="137" t="s">
        <v>245</v>
      </c>
      <c r="F9" s="27" t="s">
        <v>15</v>
      </c>
      <c r="G9" s="28" t="s">
        <v>24</v>
      </c>
      <c r="H9" s="57">
        <f t="array" ref="H9">SUMPRODUCT(H10:H20,I10:I20)</f>
        <v>2.5324</v>
      </c>
      <c r="I9" s="58"/>
      <c r="J9" s="28"/>
      <c r="K9" s="4">
        <v>19.8</v>
      </c>
    </row>
    <row r="10" spans="1:11" s="3" customFormat="1" ht="24.95" customHeight="1" x14ac:dyDescent="0.15">
      <c r="A10" s="16"/>
      <c r="B10" s="17">
        <v>1</v>
      </c>
      <c r="C10" s="17"/>
      <c r="D10" s="22" t="s">
        <v>36</v>
      </c>
      <c r="E10" s="19" t="s">
        <v>37</v>
      </c>
      <c r="F10" s="20"/>
      <c r="G10" s="23" t="s">
        <v>38</v>
      </c>
      <c r="H10" s="60">
        <v>1.3280000000000001</v>
      </c>
      <c r="I10" s="23">
        <v>1</v>
      </c>
      <c r="J10" s="31" t="s">
        <v>28</v>
      </c>
    </row>
    <row r="11" spans="1:11" s="3" customFormat="1" ht="24.95" customHeight="1" x14ac:dyDescent="0.15">
      <c r="A11" s="16"/>
      <c r="B11" s="17">
        <v>2</v>
      </c>
      <c r="C11" s="17"/>
      <c r="D11" s="18" t="s">
        <v>39</v>
      </c>
      <c r="E11" s="19" t="s">
        <v>40</v>
      </c>
      <c r="F11" s="19"/>
      <c r="G11" s="23" t="s">
        <v>41</v>
      </c>
      <c r="H11" s="62">
        <v>0.04</v>
      </c>
      <c r="I11" s="23">
        <v>1</v>
      </c>
      <c r="J11" s="31" t="s">
        <v>28</v>
      </c>
    </row>
    <row r="12" spans="1:11" s="3" customFormat="1" ht="24.95" customHeight="1" x14ac:dyDescent="0.15">
      <c r="A12" s="16"/>
      <c r="B12" s="17">
        <v>3</v>
      </c>
      <c r="C12" s="17"/>
      <c r="D12" s="18" t="s">
        <v>42</v>
      </c>
      <c r="E12" s="19" t="s">
        <v>43</v>
      </c>
      <c r="F12" s="19"/>
      <c r="G12" s="23" t="s">
        <v>41</v>
      </c>
      <c r="H12" s="62">
        <v>0.04</v>
      </c>
      <c r="I12" s="23">
        <v>1</v>
      </c>
      <c r="J12" s="31" t="s">
        <v>28</v>
      </c>
    </row>
    <row r="13" spans="1:11" s="3" customFormat="1" ht="24.95" customHeight="1" x14ac:dyDescent="0.15">
      <c r="A13" s="16"/>
      <c r="B13" s="17">
        <v>4</v>
      </c>
      <c r="C13" s="17"/>
      <c r="D13" s="22" t="s">
        <v>44</v>
      </c>
      <c r="E13" s="19" t="s">
        <v>45</v>
      </c>
      <c r="F13" s="20"/>
      <c r="G13" s="23" t="s">
        <v>46</v>
      </c>
      <c r="H13" s="55">
        <v>6.5000000000000002E-2</v>
      </c>
      <c r="I13" s="23">
        <v>2</v>
      </c>
      <c r="J13" s="31" t="s">
        <v>28</v>
      </c>
    </row>
    <row r="14" spans="1:11" s="3" customFormat="1" ht="24.95" customHeight="1" x14ac:dyDescent="0.15">
      <c r="A14" s="16"/>
      <c r="B14" s="17">
        <v>5</v>
      </c>
      <c r="C14" s="17"/>
      <c r="D14" s="22" t="s">
        <v>47</v>
      </c>
      <c r="E14" s="19" t="s">
        <v>48</v>
      </c>
      <c r="F14" s="20"/>
      <c r="G14" s="23" t="s">
        <v>46</v>
      </c>
      <c r="H14" s="55">
        <v>7.3999999999999996E-2</v>
      </c>
      <c r="I14" s="23">
        <v>2</v>
      </c>
      <c r="J14" s="31" t="s">
        <v>28</v>
      </c>
    </row>
    <row r="15" spans="1:11" s="3" customFormat="1" ht="24.95" customHeight="1" x14ac:dyDescent="0.15">
      <c r="A15" s="16"/>
      <c r="B15" s="17">
        <v>6</v>
      </c>
      <c r="C15" s="17"/>
      <c r="D15" s="22" t="s">
        <v>49</v>
      </c>
      <c r="E15" s="22" t="s">
        <v>50</v>
      </c>
      <c r="F15" s="20"/>
      <c r="G15" s="23" t="s">
        <v>51</v>
      </c>
      <c r="H15" s="55">
        <v>6.1000000000000004E-3</v>
      </c>
      <c r="I15" s="23">
        <v>4</v>
      </c>
      <c r="J15" s="31" t="s">
        <v>28</v>
      </c>
    </row>
    <row r="16" spans="1:11" s="3" customFormat="1" ht="24.95" customHeight="1" x14ac:dyDescent="0.15">
      <c r="A16" s="16"/>
      <c r="B16" s="17">
        <v>7</v>
      </c>
      <c r="C16" s="17"/>
      <c r="D16" s="22" t="s">
        <v>52</v>
      </c>
      <c r="E16" s="19" t="s">
        <v>53</v>
      </c>
      <c r="F16" s="20"/>
      <c r="G16" s="23" t="s">
        <v>34</v>
      </c>
      <c r="H16" s="55">
        <f>H17*I17+H18*I18</f>
        <v>0.31</v>
      </c>
      <c r="I16" s="23">
        <v>1</v>
      </c>
      <c r="J16" s="31" t="s">
        <v>28</v>
      </c>
    </row>
    <row r="17" spans="1:11" s="3" customFormat="1" ht="24.95" customHeight="1" x14ac:dyDescent="0.15">
      <c r="A17" s="16"/>
      <c r="B17" s="17"/>
      <c r="C17" s="17">
        <v>1</v>
      </c>
      <c r="D17" s="22" t="s">
        <v>54</v>
      </c>
      <c r="E17" s="19" t="s">
        <v>55</v>
      </c>
      <c r="F17" s="20"/>
      <c r="G17" s="23" t="s">
        <v>34</v>
      </c>
      <c r="H17" s="55">
        <v>6.3E-2</v>
      </c>
      <c r="I17" s="23">
        <v>3</v>
      </c>
      <c r="J17" s="31" t="s">
        <v>28</v>
      </c>
    </row>
    <row r="18" spans="1:11" s="3" customFormat="1" ht="24.95" customHeight="1" x14ac:dyDescent="0.15">
      <c r="A18" s="16"/>
      <c r="B18" s="17"/>
      <c r="C18" s="17">
        <v>2</v>
      </c>
      <c r="D18" s="22" t="s">
        <v>56</v>
      </c>
      <c r="E18" s="19" t="s">
        <v>57</v>
      </c>
      <c r="F18" s="20"/>
      <c r="G18" s="23" t="s">
        <v>34</v>
      </c>
      <c r="H18" s="55">
        <v>6.0499999999999998E-2</v>
      </c>
      <c r="I18" s="23">
        <v>2</v>
      </c>
      <c r="J18" s="31" t="s">
        <v>28</v>
      </c>
    </row>
    <row r="19" spans="1:11" s="3" customFormat="1" ht="24.95" customHeight="1" x14ac:dyDescent="0.15">
      <c r="A19" s="16"/>
      <c r="B19" s="17">
        <v>8</v>
      </c>
      <c r="C19" s="17"/>
      <c r="D19" s="22" t="s">
        <v>58</v>
      </c>
      <c r="E19" s="19" t="s">
        <v>59</v>
      </c>
      <c r="F19" s="20"/>
      <c r="G19" s="23" t="s">
        <v>46</v>
      </c>
      <c r="H19" s="55">
        <v>4.8000000000000001E-2</v>
      </c>
      <c r="I19" s="63">
        <v>2</v>
      </c>
      <c r="J19" s="31" t="s">
        <v>28</v>
      </c>
    </row>
    <row r="20" spans="1:11" s="3" customFormat="1" ht="24.95" customHeight="1" x14ac:dyDescent="0.15">
      <c r="A20" s="16"/>
      <c r="B20" s="17">
        <v>9</v>
      </c>
      <c r="C20" s="17"/>
      <c r="D20" s="22" t="s">
        <v>60</v>
      </c>
      <c r="E20" s="29" t="s">
        <v>61</v>
      </c>
      <c r="F20" s="20"/>
      <c r="G20" s="23" t="s">
        <v>62</v>
      </c>
      <c r="H20" s="55">
        <v>5.2999999999999999E-2</v>
      </c>
      <c r="I20" s="63">
        <v>2</v>
      </c>
      <c r="J20" s="31" t="s">
        <v>28</v>
      </c>
    </row>
    <row r="21" spans="1:11" s="1" customFormat="1" ht="24.95" customHeight="1" x14ac:dyDescent="0.15">
      <c r="A21" s="5"/>
      <c r="B21" s="6"/>
      <c r="C21" s="6"/>
      <c r="D21" s="6"/>
      <c r="E21" s="5" t="s">
        <v>63</v>
      </c>
      <c r="F21" s="8" t="s">
        <v>18</v>
      </c>
      <c r="G21" s="5"/>
      <c r="H21" s="5"/>
      <c r="I21" s="5"/>
      <c r="J21" s="5"/>
    </row>
    <row r="22" spans="1:11" s="4" customFormat="1" ht="30" customHeight="1" x14ac:dyDescent="0.15">
      <c r="A22" s="24">
        <v>3</v>
      </c>
      <c r="B22" s="25"/>
      <c r="C22" s="25"/>
      <c r="D22" s="25"/>
      <c r="E22" s="24" t="s">
        <v>64</v>
      </c>
      <c r="F22" s="27" t="s">
        <v>15</v>
      </c>
      <c r="G22" s="30" t="s">
        <v>24</v>
      </c>
      <c r="H22" s="24">
        <f t="array" ref="H22">SUMPRODUCT(H23:H34,I23:I34)</f>
        <v>2.7060000000000004</v>
      </c>
      <c r="I22" s="24"/>
      <c r="J22" s="24"/>
      <c r="K22" s="4">
        <v>19.29</v>
      </c>
    </row>
    <row r="23" spans="1:11" s="3" customFormat="1" ht="24.95" customHeight="1" x14ac:dyDescent="0.15">
      <c r="A23" s="16"/>
      <c r="B23" s="17">
        <v>1</v>
      </c>
      <c r="C23" s="17"/>
      <c r="D23" s="22" t="s">
        <v>36</v>
      </c>
      <c r="E23" s="19" t="s">
        <v>37</v>
      </c>
      <c r="F23" s="31"/>
      <c r="G23" s="23" t="s">
        <v>38</v>
      </c>
      <c r="H23" s="60">
        <v>1.3280000000000001</v>
      </c>
      <c r="I23" s="23">
        <v>1</v>
      </c>
      <c r="J23" s="31" t="s">
        <v>28</v>
      </c>
    </row>
    <row r="24" spans="1:11" s="3" customFormat="1" ht="24.95" customHeight="1" x14ac:dyDescent="0.15">
      <c r="A24" s="16"/>
      <c r="B24" s="17">
        <v>2</v>
      </c>
      <c r="C24" s="17"/>
      <c r="D24" s="42" t="s">
        <v>39</v>
      </c>
      <c r="E24" s="19" t="s">
        <v>40</v>
      </c>
      <c r="F24" s="19"/>
      <c r="G24" s="23" t="s">
        <v>41</v>
      </c>
      <c r="H24" s="64">
        <v>0.04</v>
      </c>
      <c r="I24" s="23">
        <v>1</v>
      </c>
      <c r="J24" s="31" t="s">
        <v>28</v>
      </c>
    </row>
    <row r="25" spans="1:11" s="3" customFormat="1" ht="24.95" customHeight="1" x14ac:dyDescent="0.15">
      <c r="A25" s="16"/>
      <c r="B25" s="17">
        <v>3</v>
      </c>
      <c r="C25" s="17"/>
      <c r="D25" s="42" t="s">
        <v>42</v>
      </c>
      <c r="E25" s="19" t="s">
        <v>43</v>
      </c>
      <c r="F25" s="19"/>
      <c r="G25" s="23" t="s">
        <v>41</v>
      </c>
      <c r="H25" s="64">
        <v>0.04</v>
      </c>
      <c r="I25" s="23">
        <v>1</v>
      </c>
      <c r="J25" s="31" t="s">
        <v>28</v>
      </c>
    </row>
    <row r="26" spans="1:11" s="3" customFormat="1" ht="24.95" customHeight="1" x14ac:dyDescent="0.15">
      <c r="A26" s="16"/>
      <c r="B26" s="17">
        <v>4</v>
      </c>
      <c r="C26" s="17"/>
      <c r="D26" s="18" t="s">
        <v>65</v>
      </c>
      <c r="E26" s="23" t="s">
        <v>66</v>
      </c>
      <c r="F26" s="23"/>
      <c r="G26" s="21" t="s">
        <v>24</v>
      </c>
      <c r="H26" s="65">
        <f>H27+H28</f>
        <v>9.1999999999999998E-2</v>
      </c>
      <c r="I26" s="23">
        <v>2</v>
      </c>
      <c r="J26" s="31" t="s">
        <v>28</v>
      </c>
    </row>
    <row r="27" spans="1:11" s="3" customFormat="1" ht="24.95" customHeight="1" x14ac:dyDescent="0.15">
      <c r="A27" s="16"/>
      <c r="B27" s="17"/>
      <c r="C27" s="17">
        <v>1</v>
      </c>
      <c r="D27" s="22" t="s">
        <v>47</v>
      </c>
      <c r="E27" s="19" t="s">
        <v>48</v>
      </c>
      <c r="F27" s="31"/>
      <c r="G27" s="23" t="s">
        <v>67</v>
      </c>
      <c r="H27" s="55">
        <v>7.3999999999999996E-2</v>
      </c>
      <c r="I27" s="23">
        <v>1</v>
      </c>
      <c r="J27" s="31" t="s">
        <v>28</v>
      </c>
    </row>
    <row r="28" spans="1:11" s="3" customFormat="1" ht="24.95" customHeight="1" x14ac:dyDescent="0.15">
      <c r="A28" s="16"/>
      <c r="B28" s="17"/>
      <c r="C28" s="17">
        <v>2</v>
      </c>
      <c r="D28" s="22" t="s">
        <v>68</v>
      </c>
      <c r="E28" s="19" t="s">
        <v>69</v>
      </c>
      <c r="F28" s="31"/>
      <c r="G28" s="23" t="s">
        <v>34</v>
      </c>
      <c r="H28" s="66">
        <v>1.7999999999999999E-2</v>
      </c>
      <c r="I28" s="23">
        <v>1</v>
      </c>
      <c r="J28" s="31" t="s">
        <v>28</v>
      </c>
    </row>
    <row r="29" spans="1:11" s="3" customFormat="1" ht="24.95" customHeight="1" x14ac:dyDescent="0.15">
      <c r="A29" s="16"/>
      <c r="B29" s="17">
        <v>5</v>
      </c>
      <c r="C29" s="17"/>
      <c r="D29" s="22" t="s">
        <v>52</v>
      </c>
      <c r="E29" s="19" t="s">
        <v>53</v>
      </c>
      <c r="F29" s="31"/>
      <c r="G29" s="23" t="s">
        <v>34</v>
      </c>
      <c r="H29" s="55">
        <f>H30*I30+H31*I31</f>
        <v>0.31</v>
      </c>
      <c r="I29" s="23">
        <v>1</v>
      </c>
      <c r="J29" s="31" t="s">
        <v>28</v>
      </c>
    </row>
    <row r="30" spans="1:11" s="3" customFormat="1" ht="24.95" customHeight="1" x14ac:dyDescent="0.15">
      <c r="A30" s="16"/>
      <c r="B30" s="17"/>
      <c r="C30" s="17">
        <v>1</v>
      </c>
      <c r="D30" s="32" t="s">
        <v>54</v>
      </c>
      <c r="E30" s="33" t="s">
        <v>55</v>
      </c>
      <c r="F30" s="31"/>
      <c r="G30" s="23" t="s">
        <v>34</v>
      </c>
      <c r="H30" s="66">
        <v>6.3E-2</v>
      </c>
      <c r="I30" s="23">
        <v>3</v>
      </c>
      <c r="J30" s="31" t="s">
        <v>28</v>
      </c>
    </row>
    <row r="31" spans="1:11" s="3" customFormat="1" ht="24.95" customHeight="1" x14ac:dyDescent="0.15">
      <c r="A31" s="16"/>
      <c r="B31" s="17"/>
      <c r="C31" s="17">
        <v>2</v>
      </c>
      <c r="D31" s="22" t="s">
        <v>56</v>
      </c>
      <c r="E31" s="19" t="s">
        <v>57</v>
      </c>
      <c r="F31" s="31"/>
      <c r="G31" s="23" t="s">
        <v>34</v>
      </c>
      <c r="H31" s="55">
        <v>6.0499999999999998E-2</v>
      </c>
      <c r="I31" s="23">
        <v>2</v>
      </c>
      <c r="J31" s="31" t="s">
        <v>28</v>
      </c>
    </row>
    <row r="32" spans="1:11" s="3" customFormat="1" ht="24.95" customHeight="1" x14ac:dyDescent="0.15">
      <c r="A32" s="16"/>
      <c r="B32" s="17">
        <v>6</v>
      </c>
      <c r="C32" s="17"/>
      <c r="D32" s="22" t="s">
        <v>58</v>
      </c>
      <c r="E32" s="19" t="s">
        <v>59</v>
      </c>
      <c r="F32" s="31"/>
      <c r="G32" s="23" t="s">
        <v>46</v>
      </c>
      <c r="H32" s="66">
        <v>4.8000000000000001E-2</v>
      </c>
      <c r="I32" s="23">
        <v>2</v>
      </c>
      <c r="J32" s="31" t="s">
        <v>28</v>
      </c>
    </row>
    <row r="33" spans="1:11" s="3" customFormat="1" ht="24.95" customHeight="1" x14ac:dyDescent="0.15">
      <c r="A33" s="16"/>
      <c r="B33" s="17">
        <v>7</v>
      </c>
      <c r="C33" s="17"/>
      <c r="D33" s="22" t="s">
        <v>44</v>
      </c>
      <c r="E33" s="19" t="s">
        <v>45</v>
      </c>
      <c r="F33" s="31"/>
      <c r="G33" s="23" t="s">
        <v>46</v>
      </c>
      <c r="H33" s="55">
        <v>6.5000000000000002E-2</v>
      </c>
      <c r="I33" s="23">
        <v>2</v>
      </c>
      <c r="J33" s="31" t="s">
        <v>28</v>
      </c>
    </row>
    <row r="34" spans="1:11" s="3" customFormat="1" ht="24.95" customHeight="1" x14ac:dyDescent="0.15">
      <c r="A34" s="16"/>
      <c r="B34" s="16">
        <v>8</v>
      </c>
      <c r="C34" s="16"/>
      <c r="D34" s="23" t="s">
        <v>70</v>
      </c>
      <c r="E34" s="19" t="s">
        <v>71</v>
      </c>
      <c r="F34" s="34"/>
      <c r="G34" s="23" t="s">
        <v>46</v>
      </c>
      <c r="H34" s="66">
        <v>8.7999999999999995E-2</v>
      </c>
      <c r="I34" s="23">
        <v>2</v>
      </c>
      <c r="J34" s="31" t="s">
        <v>28</v>
      </c>
    </row>
    <row r="35" spans="1:11" s="1" customFormat="1" ht="24.95" customHeight="1" x14ac:dyDescent="0.15">
      <c r="A35" s="5"/>
      <c r="B35" s="6"/>
      <c r="C35" s="6"/>
      <c r="D35" s="35"/>
      <c r="E35" s="36" t="s">
        <v>72</v>
      </c>
      <c r="F35" s="8" t="s">
        <v>18</v>
      </c>
      <c r="G35" s="37" t="s">
        <v>24</v>
      </c>
      <c r="H35" s="67"/>
      <c r="I35" s="37">
        <v>1</v>
      </c>
      <c r="J35" s="68" t="s">
        <v>28</v>
      </c>
    </row>
    <row r="36" spans="1:11" s="4" customFormat="1" ht="30" customHeight="1" x14ac:dyDescent="0.15">
      <c r="A36" s="24">
        <v>4</v>
      </c>
      <c r="B36" s="25"/>
      <c r="C36" s="25"/>
      <c r="D36" s="38"/>
      <c r="E36" s="26" t="s">
        <v>73</v>
      </c>
      <c r="F36" s="27" t="s">
        <v>15</v>
      </c>
      <c r="G36" s="30" t="s">
        <v>24</v>
      </c>
      <c r="H36" s="69">
        <f>SUMPRODUCT(H37:H49,I37:I49)</f>
        <v>2.2893000000000003</v>
      </c>
      <c r="I36" s="30"/>
      <c r="J36" s="70"/>
      <c r="K36" s="4">
        <v>18.489999999999998</v>
      </c>
    </row>
    <row r="37" spans="1:11" s="3" customFormat="1" ht="24.95" customHeight="1" x14ac:dyDescent="0.15">
      <c r="A37" s="16"/>
      <c r="B37" s="17">
        <v>1</v>
      </c>
      <c r="C37" s="17"/>
      <c r="D37" s="22" t="s">
        <v>60</v>
      </c>
      <c r="E37" s="19" t="s">
        <v>61</v>
      </c>
      <c r="F37" s="31"/>
      <c r="G37" s="23" t="s">
        <v>62</v>
      </c>
      <c r="H37" s="55">
        <v>5.2999999999999999E-2</v>
      </c>
      <c r="I37" s="23">
        <v>2</v>
      </c>
      <c r="J37" s="31" t="s">
        <v>28</v>
      </c>
    </row>
    <row r="38" spans="1:11" s="3" customFormat="1" ht="24.95" customHeight="1" x14ac:dyDescent="0.15">
      <c r="A38" s="16"/>
      <c r="B38" s="17">
        <v>2</v>
      </c>
      <c r="C38" s="17"/>
      <c r="D38" s="39" t="s">
        <v>74</v>
      </c>
      <c r="E38" s="19" t="s">
        <v>75</v>
      </c>
      <c r="F38" s="40"/>
      <c r="G38" s="23" t="s">
        <v>38</v>
      </c>
      <c r="H38" s="71">
        <v>1.0229999999999999</v>
      </c>
      <c r="I38" s="23">
        <v>1</v>
      </c>
      <c r="J38" s="31" t="s">
        <v>28</v>
      </c>
    </row>
    <row r="39" spans="1:11" s="3" customFormat="1" ht="24.95" customHeight="1" x14ac:dyDescent="0.15">
      <c r="A39" s="16"/>
      <c r="B39" s="17">
        <v>3</v>
      </c>
      <c r="C39" s="17"/>
      <c r="D39" s="39" t="s">
        <v>76</v>
      </c>
      <c r="E39" s="19" t="s">
        <v>77</v>
      </c>
      <c r="F39" s="40"/>
      <c r="G39" s="23" t="s">
        <v>38</v>
      </c>
      <c r="H39" s="71">
        <v>0.29899999999999999</v>
      </c>
      <c r="I39" s="23">
        <v>1</v>
      </c>
      <c r="J39" s="31" t="s">
        <v>28</v>
      </c>
    </row>
    <row r="40" spans="1:11" s="3" customFormat="1" ht="24.95" customHeight="1" x14ac:dyDescent="0.15">
      <c r="A40" s="16"/>
      <c r="B40" s="17">
        <v>4</v>
      </c>
      <c r="C40" s="17"/>
      <c r="D40" s="22" t="s">
        <v>58</v>
      </c>
      <c r="E40" s="19" t="s">
        <v>59</v>
      </c>
      <c r="F40" s="31"/>
      <c r="G40" s="23" t="s">
        <v>46</v>
      </c>
      <c r="H40" s="55">
        <v>4.8000000000000001E-2</v>
      </c>
      <c r="I40" s="23">
        <v>2</v>
      </c>
      <c r="J40" s="31" t="s">
        <v>28</v>
      </c>
    </row>
    <row r="41" spans="1:11" s="3" customFormat="1" ht="24.95" customHeight="1" x14ac:dyDescent="0.15">
      <c r="A41" s="16"/>
      <c r="B41" s="17">
        <v>5</v>
      </c>
      <c r="C41" s="17"/>
      <c r="D41" s="22" t="s">
        <v>78</v>
      </c>
      <c r="E41" s="19" t="s">
        <v>79</v>
      </c>
      <c r="F41" s="31"/>
      <c r="G41" s="23" t="s">
        <v>34</v>
      </c>
      <c r="H41" s="55">
        <f>H42*I42+H43*I43</f>
        <v>0.16439999999999999</v>
      </c>
      <c r="I41" s="23">
        <v>1</v>
      </c>
      <c r="J41" s="31" t="s">
        <v>28</v>
      </c>
    </row>
    <row r="42" spans="1:11" s="3" customFormat="1" ht="24.95" customHeight="1" x14ac:dyDescent="0.15">
      <c r="A42" s="16"/>
      <c r="B42" s="17"/>
      <c r="C42" s="17">
        <v>1</v>
      </c>
      <c r="D42" s="41" t="s">
        <v>80</v>
      </c>
      <c r="E42" s="19" t="s">
        <v>81</v>
      </c>
      <c r="F42" s="40"/>
      <c r="G42" s="23" t="s">
        <v>34</v>
      </c>
      <c r="H42" s="55">
        <v>6.6000000000000003E-2</v>
      </c>
      <c r="I42" s="23">
        <v>2</v>
      </c>
      <c r="J42" s="31" t="s">
        <v>28</v>
      </c>
    </row>
    <row r="43" spans="1:11" s="3" customFormat="1" ht="24.95" customHeight="1" x14ac:dyDescent="0.15">
      <c r="A43" s="16"/>
      <c r="B43" s="17"/>
      <c r="C43" s="17">
        <v>2</v>
      </c>
      <c r="D43" s="41" t="s">
        <v>82</v>
      </c>
      <c r="E43" s="19" t="s">
        <v>83</v>
      </c>
      <c r="F43" s="40"/>
      <c r="G43" s="23" t="s">
        <v>34</v>
      </c>
      <c r="H43" s="55">
        <v>1.6199999999999999E-2</v>
      </c>
      <c r="I43" s="23">
        <v>2</v>
      </c>
      <c r="J43" s="31" t="s">
        <v>28</v>
      </c>
    </row>
    <row r="44" spans="1:11" s="3" customFormat="1" ht="24.95" customHeight="1" x14ac:dyDescent="0.15">
      <c r="A44" s="16"/>
      <c r="B44" s="17">
        <v>6</v>
      </c>
      <c r="C44" s="17"/>
      <c r="D44" s="41" t="s">
        <v>84</v>
      </c>
      <c r="E44" s="19" t="s">
        <v>85</v>
      </c>
      <c r="F44" s="40"/>
      <c r="G44" s="23" t="s">
        <v>34</v>
      </c>
      <c r="H44" s="55">
        <v>4.9700000000000001E-2</v>
      </c>
      <c r="I44" s="23">
        <v>1</v>
      </c>
      <c r="J44" s="31" t="s">
        <v>28</v>
      </c>
    </row>
    <row r="45" spans="1:11" s="3" customFormat="1" ht="24.95" customHeight="1" x14ac:dyDescent="0.15">
      <c r="A45" s="16"/>
      <c r="B45" s="17">
        <v>7</v>
      </c>
      <c r="C45" s="17"/>
      <c r="D45" s="22" t="s">
        <v>49</v>
      </c>
      <c r="E45" s="19" t="s">
        <v>50</v>
      </c>
      <c r="F45" s="31"/>
      <c r="G45" s="23" t="s">
        <v>51</v>
      </c>
      <c r="H45" s="55">
        <v>6.1000000000000004E-3</v>
      </c>
      <c r="I45" s="23">
        <v>4</v>
      </c>
      <c r="J45" s="31" t="s">
        <v>28</v>
      </c>
    </row>
    <row r="46" spans="1:11" s="3" customFormat="1" ht="24.95" customHeight="1" x14ac:dyDescent="0.15">
      <c r="A46" s="16"/>
      <c r="B46" s="17">
        <v>8</v>
      </c>
      <c r="C46" s="17"/>
      <c r="D46" s="81" t="s">
        <v>39</v>
      </c>
      <c r="E46" s="19" t="s">
        <v>40</v>
      </c>
      <c r="F46" s="19"/>
      <c r="G46" s="23" t="s">
        <v>41</v>
      </c>
      <c r="H46" s="62">
        <v>0.04</v>
      </c>
      <c r="I46" s="23">
        <v>1</v>
      </c>
      <c r="J46" s="31" t="s">
        <v>28</v>
      </c>
    </row>
    <row r="47" spans="1:11" s="3" customFormat="1" ht="24.95" customHeight="1" x14ac:dyDescent="0.15">
      <c r="A47" s="16"/>
      <c r="B47" s="17">
        <v>9</v>
      </c>
      <c r="C47" s="17"/>
      <c r="D47" s="42" t="s">
        <v>42</v>
      </c>
      <c r="E47" s="19" t="s">
        <v>43</v>
      </c>
      <c r="F47" s="19"/>
      <c r="G47" s="23" t="s">
        <v>41</v>
      </c>
      <c r="H47" s="62">
        <v>0.04</v>
      </c>
      <c r="I47" s="23">
        <v>1</v>
      </c>
      <c r="J47" s="31" t="s">
        <v>28</v>
      </c>
    </row>
    <row r="48" spans="1:11" s="3" customFormat="1" ht="24.95" customHeight="1" x14ac:dyDescent="0.15">
      <c r="A48" s="16"/>
      <c r="B48" s="17">
        <v>10</v>
      </c>
      <c r="C48" s="17"/>
      <c r="D48" s="22" t="s">
        <v>44</v>
      </c>
      <c r="E48" s="19" t="s">
        <v>45</v>
      </c>
      <c r="F48" s="31"/>
      <c r="G48" s="23" t="s">
        <v>46</v>
      </c>
      <c r="H48" s="55">
        <v>6.5199999999999994E-2</v>
      </c>
      <c r="I48" s="23">
        <v>2</v>
      </c>
      <c r="J48" s="31" t="s">
        <v>28</v>
      </c>
    </row>
    <row r="49" spans="1:11" s="3" customFormat="1" ht="24.95" customHeight="1" x14ac:dyDescent="0.15">
      <c r="A49" s="16"/>
      <c r="B49" s="17">
        <v>11</v>
      </c>
      <c r="C49" s="17"/>
      <c r="D49" s="41" t="s">
        <v>86</v>
      </c>
      <c r="E49" s="19" t="s">
        <v>87</v>
      </c>
      <c r="F49" s="40"/>
      <c r="G49" s="23" t="s">
        <v>46</v>
      </c>
      <c r="H49" s="55">
        <v>7.5999999999999998E-2</v>
      </c>
      <c r="I49" s="23">
        <v>2</v>
      </c>
      <c r="J49" s="31" t="s">
        <v>28</v>
      </c>
    </row>
    <row r="50" spans="1:11" s="1" customFormat="1" ht="24.95" customHeight="1" x14ac:dyDescent="0.15">
      <c r="A50" s="5"/>
      <c r="B50" s="6"/>
      <c r="C50" s="6"/>
      <c r="D50" s="35"/>
      <c r="E50" s="36" t="s">
        <v>88</v>
      </c>
      <c r="F50" s="8" t="s">
        <v>18</v>
      </c>
      <c r="G50" s="37" t="s">
        <v>24</v>
      </c>
      <c r="H50" s="72"/>
      <c r="I50" s="37">
        <v>1</v>
      </c>
      <c r="J50" s="68" t="s">
        <v>28</v>
      </c>
    </row>
    <row r="51" spans="1:11" s="4" customFormat="1" ht="30.95" customHeight="1" x14ac:dyDescent="0.15">
      <c r="A51" s="24">
        <v>5</v>
      </c>
      <c r="B51" s="25"/>
      <c r="C51" s="25"/>
      <c r="D51" s="38"/>
      <c r="E51" s="137" t="s">
        <v>248</v>
      </c>
      <c r="F51" s="27" t="s">
        <v>15</v>
      </c>
      <c r="G51" s="30" t="s">
        <v>24</v>
      </c>
      <c r="H51" s="69">
        <f>SUMPRODUCT(H52:H62,I52:I62)</f>
        <v>2.3878000000000004</v>
      </c>
      <c r="I51" s="30"/>
      <c r="J51" s="70"/>
      <c r="K51" s="78">
        <v>14.18</v>
      </c>
    </row>
    <row r="52" spans="1:11" s="3" customFormat="1" ht="24.95" customHeight="1" x14ac:dyDescent="0.15">
      <c r="A52" s="16"/>
      <c r="B52" s="17">
        <v>1</v>
      </c>
      <c r="C52" s="17"/>
      <c r="D52" s="41" t="s">
        <v>89</v>
      </c>
      <c r="E52" s="19" t="s">
        <v>90</v>
      </c>
      <c r="F52" s="44"/>
      <c r="G52" s="23" t="s">
        <v>91</v>
      </c>
      <c r="H52" s="71">
        <v>0.85199999999999998</v>
      </c>
      <c r="I52" s="23">
        <v>1</v>
      </c>
      <c r="J52" s="31" t="s">
        <v>28</v>
      </c>
      <c r="K52" s="79"/>
    </row>
    <row r="53" spans="1:11" s="3" customFormat="1" ht="24.95" customHeight="1" x14ac:dyDescent="0.15">
      <c r="A53" s="16"/>
      <c r="B53" s="17">
        <v>2</v>
      </c>
      <c r="C53" s="17"/>
      <c r="D53" s="41" t="s">
        <v>92</v>
      </c>
      <c r="E53" s="19" t="s">
        <v>93</v>
      </c>
      <c r="F53" s="44"/>
      <c r="G53" s="23" t="s">
        <v>91</v>
      </c>
      <c r="H53" s="71">
        <v>0.30499999999999999</v>
      </c>
      <c r="I53" s="23">
        <v>1</v>
      </c>
      <c r="J53" s="31" t="s">
        <v>28</v>
      </c>
      <c r="K53" s="79"/>
    </row>
    <row r="54" spans="1:11" s="3" customFormat="1" ht="24.95" customHeight="1" x14ac:dyDescent="0.15">
      <c r="A54" s="16"/>
      <c r="B54" s="17">
        <v>3</v>
      </c>
      <c r="C54" s="17"/>
      <c r="D54" s="41" t="s">
        <v>94</v>
      </c>
      <c r="E54" s="19" t="s">
        <v>95</v>
      </c>
      <c r="F54" s="44"/>
      <c r="G54" s="23" t="s">
        <v>96</v>
      </c>
      <c r="H54" s="71">
        <v>4.8000000000000001E-2</v>
      </c>
      <c r="I54" s="23">
        <v>1</v>
      </c>
      <c r="J54" s="31" t="s">
        <v>28</v>
      </c>
      <c r="K54" s="79"/>
    </row>
    <row r="55" spans="1:11" s="3" customFormat="1" ht="24.95" customHeight="1" x14ac:dyDescent="0.15">
      <c r="A55" s="16"/>
      <c r="B55" s="17">
        <v>4</v>
      </c>
      <c r="C55" s="17"/>
      <c r="D55" s="41" t="s">
        <v>97</v>
      </c>
      <c r="E55" s="19" t="s">
        <v>98</v>
      </c>
      <c r="F55" s="44"/>
      <c r="G55" s="23" t="s">
        <v>96</v>
      </c>
      <c r="H55" s="71">
        <f>H56*I56+H57*I57</f>
        <v>0.16120000000000001</v>
      </c>
      <c r="I55" s="23">
        <v>1</v>
      </c>
      <c r="J55" s="31" t="s">
        <v>28</v>
      </c>
      <c r="K55" s="79"/>
    </row>
    <row r="56" spans="1:11" s="3" customFormat="1" ht="24.95" customHeight="1" x14ac:dyDescent="0.15">
      <c r="A56" s="16"/>
      <c r="B56" s="17"/>
      <c r="C56" s="17">
        <v>1</v>
      </c>
      <c r="D56" s="41" t="s">
        <v>99</v>
      </c>
      <c r="E56" s="19" t="s">
        <v>100</v>
      </c>
      <c r="F56" s="23"/>
      <c r="G56" s="23" t="s">
        <v>96</v>
      </c>
      <c r="H56" s="71">
        <v>2.01E-2</v>
      </c>
      <c r="I56" s="23">
        <v>2</v>
      </c>
      <c r="J56" s="31" t="s">
        <v>28</v>
      </c>
      <c r="K56" s="79"/>
    </row>
    <row r="57" spans="1:11" s="3" customFormat="1" ht="24.95" customHeight="1" x14ac:dyDescent="0.15">
      <c r="A57" s="16"/>
      <c r="B57" s="17"/>
      <c r="C57" s="17">
        <v>2</v>
      </c>
      <c r="D57" s="41" t="s">
        <v>101</v>
      </c>
      <c r="E57" s="19" t="s">
        <v>102</v>
      </c>
      <c r="F57" s="23"/>
      <c r="G57" s="23" t="s">
        <v>96</v>
      </c>
      <c r="H57" s="71">
        <v>6.0499999999999998E-2</v>
      </c>
      <c r="I57" s="23">
        <v>2</v>
      </c>
      <c r="J57" s="31" t="s">
        <v>28</v>
      </c>
      <c r="K57" s="79"/>
    </row>
    <row r="58" spans="1:11" s="3" customFormat="1" ht="24.95" customHeight="1" x14ac:dyDescent="0.15">
      <c r="A58" s="16"/>
      <c r="B58" s="17">
        <v>5</v>
      </c>
      <c r="C58" s="17"/>
      <c r="D58" s="41" t="s">
        <v>103</v>
      </c>
      <c r="E58" s="19" t="s">
        <v>104</v>
      </c>
      <c r="F58" s="44"/>
      <c r="G58" s="23" t="s">
        <v>46</v>
      </c>
      <c r="H58" s="71">
        <v>9.0999999999999998E-2</v>
      </c>
      <c r="I58" s="23">
        <v>2</v>
      </c>
      <c r="J58" s="31" t="s">
        <v>28</v>
      </c>
      <c r="K58" s="79"/>
    </row>
    <row r="59" spans="1:11" s="3" customFormat="1" ht="24.95" customHeight="1" x14ac:dyDescent="0.15">
      <c r="A59" s="16"/>
      <c r="B59" s="17">
        <v>6</v>
      </c>
      <c r="C59" s="17"/>
      <c r="D59" s="41" t="s">
        <v>105</v>
      </c>
      <c r="E59" s="19" t="s">
        <v>106</v>
      </c>
      <c r="F59" s="44"/>
      <c r="G59" s="23" t="s">
        <v>24</v>
      </c>
      <c r="H59" s="71">
        <f>H60*I60+H61*I61</f>
        <v>0.32369999999999999</v>
      </c>
      <c r="I59" s="23">
        <v>1</v>
      </c>
      <c r="J59" s="31" t="s">
        <v>28</v>
      </c>
      <c r="K59" s="79"/>
    </row>
    <row r="60" spans="1:11" s="3" customFormat="1" ht="24.95" customHeight="1" x14ac:dyDescent="0.15">
      <c r="A60" s="16"/>
      <c r="B60" s="17"/>
      <c r="C60" s="17"/>
      <c r="D60" s="41" t="s">
        <v>107</v>
      </c>
      <c r="E60" s="19" t="s">
        <v>108</v>
      </c>
      <c r="F60" s="44"/>
      <c r="G60" s="23" t="s">
        <v>96</v>
      </c>
      <c r="H60" s="71">
        <v>0.10050000000000001</v>
      </c>
      <c r="I60" s="23">
        <v>2</v>
      </c>
      <c r="J60" s="31" t="s">
        <v>28</v>
      </c>
      <c r="K60" s="79"/>
    </row>
    <row r="61" spans="1:11" s="3" customFormat="1" ht="24.95" customHeight="1" x14ac:dyDescent="0.15">
      <c r="A61" s="16"/>
      <c r="B61" s="17"/>
      <c r="C61" s="17"/>
      <c r="D61" s="41" t="s">
        <v>109</v>
      </c>
      <c r="E61" s="19" t="s">
        <v>110</v>
      </c>
      <c r="F61" s="44"/>
      <c r="G61" s="23" t="s">
        <v>96</v>
      </c>
      <c r="H61" s="71">
        <v>4.0899999999999999E-2</v>
      </c>
      <c r="I61" s="23">
        <v>3</v>
      </c>
      <c r="J61" s="31" t="s">
        <v>28</v>
      </c>
      <c r="K61" s="79"/>
    </row>
    <row r="62" spans="1:11" s="3" customFormat="1" ht="24.95" customHeight="1" x14ac:dyDescent="0.15">
      <c r="A62" s="16"/>
      <c r="B62" s="17">
        <v>7</v>
      </c>
      <c r="C62" s="17"/>
      <c r="D62" s="41" t="s">
        <v>111</v>
      </c>
      <c r="E62" s="19" t="s">
        <v>112</v>
      </c>
      <c r="F62" s="23"/>
      <c r="G62" s="23" t="s">
        <v>96</v>
      </c>
      <c r="H62" s="71">
        <v>3.1E-2</v>
      </c>
      <c r="I62" s="23">
        <v>1</v>
      </c>
      <c r="J62" s="31" t="s">
        <v>28</v>
      </c>
      <c r="K62" s="79"/>
    </row>
    <row r="63" spans="1:11" s="1" customFormat="1" ht="24.95" customHeight="1" x14ac:dyDescent="0.15">
      <c r="A63" s="5"/>
      <c r="B63" s="6"/>
      <c r="C63" s="6"/>
      <c r="D63" s="45" t="s">
        <v>113</v>
      </c>
      <c r="E63" s="36" t="s">
        <v>114</v>
      </c>
      <c r="F63" s="8" t="s">
        <v>18</v>
      </c>
      <c r="G63" s="37" t="s">
        <v>24</v>
      </c>
      <c r="H63" s="73"/>
      <c r="I63" s="37"/>
      <c r="J63" s="68"/>
      <c r="K63" s="80"/>
    </row>
    <row r="64" spans="1:11" s="4" customFormat="1" ht="24.95" customHeight="1" x14ac:dyDescent="0.15">
      <c r="A64" s="24">
        <v>6</v>
      </c>
      <c r="B64" s="25"/>
      <c r="C64" s="25"/>
      <c r="D64" s="46"/>
      <c r="E64" s="137" t="s">
        <v>250</v>
      </c>
      <c r="F64" s="27" t="s">
        <v>15</v>
      </c>
      <c r="G64" s="30" t="s">
        <v>24</v>
      </c>
      <c r="H64" s="74">
        <f>SUMPRODUCT(H65:H75,I65:I75)</f>
        <v>2.3180000000000001</v>
      </c>
      <c r="I64" s="30"/>
      <c r="J64" s="70"/>
      <c r="K64" s="78">
        <v>13.84</v>
      </c>
    </row>
    <row r="65" spans="1:10" s="3" customFormat="1" ht="24.95" customHeight="1" x14ac:dyDescent="0.15">
      <c r="A65" s="16"/>
      <c r="B65" s="17">
        <v>1</v>
      </c>
      <c r="C65" s="17"/>
      <c r="D65" s="18" t="s">
        <v>115</v>
      </c>
      <c r="E65" s="19" t="s">
        <v>90</v>
      </c>
      <c r="F65" s="44"/>
      <c r="G65" s="23" t="s">
        <v>91</v>
      </c>
      <c r="H65" s="71">
        <v>0.82599999999999996</v>
      </c>
      <c r="I65" s="23">
        <v>1</v>
      </c>
      <c r="J65" s="31" t="s">
        <v>28</v>
      </c>
    </row>
    <row r="66" spans="1:10" s="3" customFormat="1" ht="24.95" customHeight="1" x14ac:dyDescent="0.15">
      <c r="A66" s="16"/>
      <c r="B66" s="17">
        <v>2</v>
      </c>
      <c r="C66" s="17"/>
      <c r="D66" s="41" t="s">
        <v>116</v>
      </c>
      <c r="E66" s="19" t="s">
        <v>93</v>
      </c>
      <c r="F66" s="44"/>
      <c r="G66" s="23" t="s">
        <v>91</v>
      </c>
      <c r="H66" s="71">
        <v>0.28000000000000003</v>
      </c>
      <c r="I66" s="23">
        <v>1</v>
      </c>
      <c r="J66" s="31" t="s">
        <v>28</v>
      </c>
    </row>
    <row r="67" spans="1:10" s="3" customFormat="1" ht="24.95" customHeight="1" x14ac:dyDescent="0.15">
      <c r="A67" s="16"/>
      <c r="B67" s="17">
        <v>3</v>
      </c>
      <c r="C67" s="17"/>
      <c r="D67" s="41" t="s">
        <v>94</v>
      </c>
      <c r="E67" s="19" t="s">
        <v>95</v>
      </c>
      <c r="F67" s="44"/>
      <c r="G67" s="23" t="s">
        <v>96</v>
      </c>
      <c r="H67" s="71">
        <v>4.8000000000000001E-2</v>
      </c>
      <c r="I67" s="23">
        <v>1</v>
      </c>
      <c r="J67" s="31" t="s">
        <v>28</v>
      </c>
    </row>
    <row r="68" spans="1:10" s="3" customFormat="1" ht="24.95" customHeight="1" x14ac:dyDescent="0.15">
      <c r="A68" s="16"/>
      <c r="B68" s="17">
        <v>4</v>
      </c>
      <c r="C68" s="17"/>
      <c r="D68" s="41" t="s">
        <v>105</v>
      </c>
      <c r="E68" s="19" t="s">
        <v>106</v>
      </c>
      <c r="F68" s="44"/>
      <c r="G68" s="23" t="s">
        <v>24</v>
      </c>
      <c r="H68" s="71">
        <v>0.32369999999999999</v>
      </c>
      <c r="I68" s="23">
        <v>1</v>
      </c>
      <c r="J68" s="31" t="s">
        <v>28</v>
      </c>
    </row>
    <row r="69" spans="1:10" s="3" customFormat="1" ht="24.95" customHeight="1" x14ac:dyDescent="0.15">
      <c r="A69" s="16"/>
      <c r="B69" s="17"/>
      <c r="C69" s="17">
        <v>1</v>
      </c>
      <c r="D69" s="41" t="s">
        <v>107</v>
      </c>
      <c r="E69" s="19" t="s">
        <v>108</v>
      </c>
      <c r="F69" s="44"/>
      <c r="G69" s="23" t="s">
        <v>96</v>
      </c>
      <c r="H69" s="71">
        <v>0.10050000000000001</v>
      </c>
      <c r="I69" s="23">
        <v>2</v>
      </c>
      <c r="J69" s="31" t="s">
        <v>28</v>
      </c>
    </row>
    <row r="70" spans="1:10" s="3" customFormat="1" ht="24.95" customHeight="1" x14ac:dyDescent="0.15">
      <c r="A70" s="16"/>
      <c r="B70" s="17"/>
      <c r="C70" s="17">
        <v>2</v>
      </c>
      <c r="D70" s="41" t="s">
        <v>109</v>
      </c>
      <c r="E70" s="19" t="s">
        <v>110</v>
      </c>
      <c r="F70" s="44"/>
      <c r="G70" s="23" t="s">
        <v>96</v>
      </c>
      <c r="H70" s="71">
        <v>4.0899999999999999E-2</v>
      </c>
      <c r="I70" s="23">
        <v>3</v>
      </c>
      <c r="J70" s="31" t="s">
        <v>28</v>
      </c>
    </row>
    <row r="71" spans="1:10" s="3" customFormat="1" ht="24.95" customHeight="1" x14ac:dyDescent="0.15">
      <c r="A71" s="16"/>
      <c r="B71" s="17">
        <v>5</v>
      </c>
      <c r="C71" s="17"/>
      <c r="D71" s="41" t="s">
        <v>117</v>
      </c>
      <c r="E71" s="19" t="s">
        <v>98</v>
      </c>
      <c r="F71" s="44"/>
      <c r="G71" s="23" t="s">
        <v>96</v>
      </c>
      <c r="H71" s="71">
        <f>H72*I72+H73*I73</f>
        <v>0.15179999999999999</v>
      </c>
      <c r="I71" s="23">
        <v>1</v>
      </c>
      <c r="J71" s="31" t="s">
        <v>28</v>
      </c>
    </row>
    <row r="72" spans="1:10" s="3" customFormat="1" ht="24.95" customHeight="1" x14ac:dyDescent="0.15">
      <c r="A72" s="16"/>
      <c r="B72" s="17"/>
      <c r="C72" s="17">
        <v>1</v>
      </c>
      <c r="D72" s="41" t="s">
        <v>99</v>
      </c>
      <c r="E72" s="19" t="s">
        <v>100</v>
      </c>
      <c r="F72" s="23"/>
      <c r="G72" s="23" t="s">
        <v>96</v>
      </c>
      <c r="H72" s="71">
        <v>2.01E-2</v>
      </c>
      <c r="I72" s="23">
        <v>2</v>
      </c>
      <c r="J72" s="31" t="s">
        <v>28</v>
      </c>
    </row>
    <row r="73" spans="1:10" s="3" customFormat="1" ht="24.95" customHeight="1" x14ac:dyDescent="0.15">
      <c r="A73" s="16"/>
      <c r="B73" s="17"/>
      <c r="C73" s="17">
        <v>2</v>
      </c>
      <c r="D73" s="41" t="s">
        <v>118</v>
      </c>
      <c r="E73" s="19" t="s">
        <v>102</v>
      </c>
      <c r="F73" s="23"/>
      <c r="G73" s="23" t="s">
        <v>96</v>
      </c>
      <c r="H73" s="71">
        <v>5.5800000000000002E-2</v>
      </c>
      <c r="I73" s="23">
        <v>2</v>
      </c>
      <c r="J73" s="31" t="s">
        <v>28</v>
      </c>
    </row>
    <row r="74" spans="1:10" s="3" customFormat="1" ht="24.95" customHeight="1" x14ac:dyDescent="0.15">
      <c r="A74" s="16"/>
      <c r="B74" s="17">
        <v>6</v>
      </c>
      <c r="C74" s="17"/>
      <c r="D74" s="41" t="s">
        <v>103</v>
      </c>
      <c r="E74" s="19" t="s">
        <v>104</v>
      </c>
      <c r="F74" s="44"/>
      <c r="G74" s="23" t="s">
        <v>46</v>
      </c>
      <c r="H74" s="71">
        <v>9.0999999999999998E-2</v>
      </c>
      <c r="I74" s="23">
        <v>2</v>
      </c>
      <c r="J74" s="31" t="s">
        <v>28</v>
      </c>
    </row>
    <row r="75" spans="1:10" s="3" customFormat="1" ht="24.95" customHeight="1" x14ac:dyDescent="0.15">
      <c r="A75" s="16"/>
      <c r="B75" s="17">
        <v>7</v>
      </c>
      <c r="C75" s="17"/>
      <c r="D75" s="41" t="s">
        <v>111</v>
      </c>
      <c r="E75" s="19" t="s">
        <v>112</v>
      </c>
      <c r="F75" s="23"/>
      <c r="G75" s="23" t="s">
        <v>96</v>
      </c>
      <c r="H75" s="71">
        <v>3.1E-2</v>
      </c>
      <c r="I75" s="23">
        <v>1</v>
      </c>
      <c r="J75" s="31" t="s">
        <v>28</v>
      </c>
    </row>
    <row r="109" spans="1:1" x14ac:dyDescent="0.15">
      <c r="A109">
        <v>18</v>
      </c>
    </row>
    <row r="110" spans="1:1" x14ac:dyDescent="0.15">
      <c r="A110">
        <v>19</v>
      </c>
    </row>
    <row r="111" spans="1:1" x14ac:dyDescent="0.15">
      <c r="A111">
        <v>20</v>
      </c>
    </row>
    <row r="112" spans="1:1" x14ac:dyDescent="0.15">
      <c r="A112">
        <v>21</v>
      </c>
    </row>
    <row r="113" spans="1:1" x14ac:dyDescent="0.15">
      <c r="A113">
        <v>22</v>
      </c>
    </row>
    <row r="114" spans="1:1" x14ac:dyDescent="0.15">
      <c r="A114">
        <v>23</v>
      </c>
    </row>
    <row r="115" spans="1:1" x14ac:dyDescent="0.15">
      <c r="A115">
        <v>24</v>
      </c>
    </row>
    <row r="116" spans="1:1" x14ac:dyDescent="0.15">
      <c r="A116">
        <v>25</v>
      </c>
    </row>
    <row r="117" spans="1:1" x14ac:dyDescent="0.15">
      <c r="A117">
        <v>26</v>
      </c>
    </row>
    <row r="118" spans="1:1" x14ac:dyDescent="0.15">
      <c r="A118">
        <v>27</v>
      </c>
    </row>
    <row r="119" spans="1:1" x14ac:dyDescent="0.15">
      <c r="A119">
        <v>28</v>
      </c>
    </row>
    <row r="120" spans="1:1" x14ac:dyDescent="0.15">
      <c r="A120">
        <v>29</v>
      </c>
    </row>
    <row r="121" spans="1:1" x14ac:dyDescent="0.15">
      <c r="A121">
        <v>30</v>
      </c>
    </row>
    <row r="122" spans="1:1" x14ac:dyDescent="0.15">
      <c r="A122">
        <v>31</v>
      </c>
    </row>
    <row r="123" spans="1:1" x14ac:dyDescent="0.15">
      <c r="A123">
        <v>32</v>
      </c>
    </row>
    <row r="124" spans="1:1" x14ac:dyDescent="0.15">
      <c r="A124">
        <v>33</v>
      </c>
    </row>
    <row r="125" spans="1:1" x14ac:dyDescent="0.15">
      <c r="A125">
        <v>34</v>
      </c>
    </row>
    <row r="126" spans="1:1" x14ac:dyDescent="0.15">
      <c r="A126">
        <v>35</v>
      </c>
    </row>
    <row r="127" spans="1:1" x14ac:dyDescent="0.15">
      <c r="A127">
        <v>36</v>
      </c>
    </row>
    <row r="128" spans="1:1" x14ac:dyDescent="0.15">
      <c r="A128">
        <v>37</v>
      </c>
    </row>
    <row r="129" spans="1:1" x14ac:dyDescent="0.15">
      <c r="A129">
        <v>38</v>
      </c>
    </row>
    <row r="130" spans="1:1" x14ac:dyDescent="0.15">
      <c r="A130">
        <v>39</v>
      </c>
    </row>
    <row r="131" spans="1:1" x14ac:dyDescent="0.15">
      <c r="A131">
        <v>40</v>
      </c>
    </row>
    <row r="132" spans="1:1" x14ac:dyDescent="0.15">
      <c r="A132">
        <v>41</v>
      </c>
    </row>
    <row r="133" spans="1:1" x14ac:dyDescent="0.15">
      <c r="A133">
        <v>42</v>
      </c>
    </row>
    <row r="134" spans="1:1" x14ac:dyDescent="0.15">
      <c r="A134">
        <v>43</v>
      </c>
    </row>
    <row r="135" spans="1:1" x14ac:dyDescent="0.15">
      <c r="A135">
        <v>44</v>
      </c>
    </row>
    <row r="136" spans="1:1" x14ac:dyDescent="0.15">
      <c r="A136">
        <v>45</v>
      </c>
    </row>
    <row r="137" spans="1:1" x14ac:dyDescent="0.15">
      <c r="A137">
        <v>46</v>
      </c>
    </row>
    <row r="138" spans="1:1" x14ac:dyDescent="0.15">
      <c r="A138">
        <v>47</v>
      </c>
    </row>
    <row r="139" spans="1:1" x14ac:dyDescent="0.15">
      <c r="A139">
        <v>48</v>
      </c>
    </row>
    <row r="140" spans="1:1" x14ac:dyDescent="0.15">
      <c r="A140">
        <v>49</v>
      </c>
    </row>
    <row r="141" spans="1:1" x14ac:dyDescent="0.15">
      <c r="A141">
        <v>50</v>
      </c>
    </row>
    <row r="142" spans="1:1" x14ac:dyDescent="0.15">
      <c r="A142">
        <v>51</v>
      </c>
    </row>
    <row r="143" spans="1:1" x14ac:dyDescent="0.15">
      <c r="A143">
        <v>52</v>
      </c>
    </row>
    <row r="144" spans="1:1" x14ac:dyDescent="0.15">
      <c r="A144">
        <v>53</v>
      </c>
    </row>
    <row r="145" spans="1:1" x14ac:dyDescent="0.15">
      <c r="A145">
        <v>54</v>
      </c>
    </row>
    <row r="146" spans="1:1" x14ac:dyDescent="0.15">
      <c r="A146">
        <v>55</v>
      </c>
    </row>
    <row r="147" spans="1:1" x14ac:dyDescent="0.15">
      <c r="A147">
        <v>56</v>
      </c>
    </row>
    <row r="148" spans="1:1" x14ac:dyDescent="0.15">
      <c r="A148">
        <v>57</v>
      </c>
    </row>
    <row r="149" spans="1:1" x14ac:dyDescent="0.15">
      <c r="A149">
        <v>58</v>
      </c>
    </row>
    <row r="150" spans="1:1" x14ac:dyDescent="0.15">
      <c r="A150">
        <v>59</v>
      </c>
    </row>
    <row r="151" spans="1:1" x14ac:dyDescent="0.15">
      <c r="A151">
        <v>60</v>
      </c>
    </row>
    <row r="152" spans="1:1" x14ac:dyDescent="0.15">
      <c r="A152">
        <v>61</v>
      </c>
    </row>
    <row r="153" spans="1:1" x14ac:dyDescent="0.15">
      <c r="A153">
        <v>62</v>
      </c>
    </row>
    <row r="154" spans="1:1" x14ac:dyDescent="0.15">
      <c r="A154">
        <v>63</v>
      </c>
    </row>
    <row r="155" spans="1:1" x14ac:dyDescent="0.15">
      <c r="A155">
        <v>64</v>
      </c>
    </row>
  </sheetData>
  <mergeCells count="8">
    <mergeCell ref="H1:H2"/>
    <mergeCell ref="I1:I2"/>
    <mergeCell ref="J1:J2"/>
    <mergeCell ref="A1:C2"/>
    <mergeCell ref="D1:D2"/>
    <mergeCell ref="E1:E2"/>
    <mergeCell ref="F1:F2"/>
    <mergeCell ref="G1:G2"/>
  </mergeCells>
  <phoneticPr fontId="6" type="noConversion"/>
  <conditionalFormatting sqref="D15:E15">
    <cfRule type="duplicateValues" dxfId="11" priority="3"/>
  </conditionalFormatting>
  <conditionalFormatting sqref="D20:E20">
    <cfRule type="duplicateValues" dxfId="10" priority="2"/>
  </conditionalFormatting>
  <conditionalFormatting sqref="D34">
    <cfRule type="duplicateValues" dxfId="9" priority="1"/>
  </conditionalFormatting>
  <conditionalFormatting sqref="D43">
    <cfRule type="duplicateValues" dxfId="8" priority="8"/>
    <cfRule type="duplicateValues" dxfId="7" priority="9"/>
  </conditionalFormatting>
  <conditionalFormatting sqref="D23:D33">
    <cfRule type="duplicateValues" dxfId="6" priority="11"/>
  </conditionalFormatting>
  <conditionalFormatting sqref="D3:D14 D16:D19">
    <cfRule type="duplicateValues" dxfId="5" priority="12"/>
  </conditionalFormatting>
  <conditionalFormatting sqref="D35:D42 D44:D62">
    <cfRule type="duplicateValues" dxfId="4" priority="10"/>
  </conditionalFormatting>
  <conditionalFormatting sqref="D63:D70 D73:D75">
    <cfRule type="duplicateValues" dxfId="3" priority="4"/>
    <cfRule type="duplicateValues" dxfId="2" priority="5"/>
    <cfRule type="duplicateValues" dxfId="1" priority="6"/>
    <cfRule type="duplicateValues" dxfId="0" priority="7"/>
  </conditionalFormatting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总成外协、</vt:lpstr>
      <vt:lpstr>Sheet2</vt:lpstr>
      <vt:lpstr>凌天报价</vt:lpstr>
      <vt:lpstr>凌天二次报价</vt:lpstr>
      <vt:lpstr>Sheet4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cp:lastPrinted>2024-07-23T07:23:16Z</cp:lastPrinted>
  <dcterms:created xsi:type="dcterms:W3CDTF">2024-07-10T06:53:00Z</dcterms:created>
  <dcterms:modified xsi:type="dcterms:W3CDTF">2024-07-23T07:23:18Z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F24B71974ECB47B2A0E1D3A40004107F</vt:lpwstr>
  </property>
  <property fmtid="{D5CDD505-2E9C-101B-9397-08002B2CF9AE}" pid="3" name="KSOProductBuildVer">
    <vt:lpwstr>2052-11.8.2.12011</vt:lpwstr>
  </property>
</Properties>
</file>