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霸州政锦\"/>
    </mc:Choice>
  </mc:AlternateContent>
  <xr:revisionPtr revIDLastSave="0" documentId="13_ncr:1_{39C7FC76-6719-469E-A90D-DD857AD5E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Sheet1!$A$1:$AK$66</definedName>
  </definedNames>
  <calcPr calcId="191029"/>
</workbook>
</file>

<file path=xl/calcChain.xml><?xml version="1.0" encoding="utf-8"?>
<calcChain xmlns="http://schemas.openxmlformats.org/spreadsheetml/2006/main">
  <c r="S54" i="1" l="1"/>
  <c r="S46" i="1"/>
  <c r="S45" i="1"/>
  <c r="Q44" i="1"/>
  <c r="S44" i="1" s="1"/>
  <c r="P41" i="1"/>
  <c r="Q41" i="1" s="1"/>
  <c r="J41" i="1" l="1"/>
  <c r="N41" i="1" s="1"/>
  <c r="N48" i="1" s="1"/>
  <c r="S53" i="1"/>
  <c r="Q52" i="1"/>
  <c r="S52" i="1" s="1"/>
  <c r="Q50" i="1"/>
  <c r="S50" i="1" s="1"/>
  <c r="Q49" i="1"/>
  <c r="S49" i="1" s="1"/>
  <c r="J49" i="1"/>
  <c r="N49" i="1" s="1"/>
  <c r="N56" i="1" s="1"/>
  <c r="AE48" i="1"/>
  <c r="AD48" i="1"/>
  <c r="AC48" i="1"/>
  <c r="AB48" i="1"/>
  <c r="AA48" i="1"/>
  <c r="Z48" i="1"/>
  <c r="Q43" i="1"/>
  <c r="S43" i="1" s="1"/>
  <c r="Q42" i="1"/>
  <c r="S42" i="1" s="1"/>
  <c r="S41" i="1"/>
  <c r="Q38" i="1"/>
  <c r="S38" i="1" s="1"/>
  <c r="Q37" i="1"/>
  <c r="S37" i="1" s="1"/>
  <c r="Q36" i="1"/>
  <c r="S36" i="1" s="1"/>
  <c r="J36" i="1"/>
  <c r="S56" i="1" l="1"/>
  <c r="T56" i="1" s="1"/>
  <c r="S48" i="1"/>
  <c r="W48" i="1" s="1"/>
  <c r="U56" i="1" l="1"/>
  <c r="V56" i="1"/>
  <c r="W56" i="1"/>
  <c r="X56" i="1"/>
  <c r="X48" i="1"/>
  <c r="T48" i="1"/>
  <c r="U48" i="1"/>
  <c r="V48" i="1"/>
  <c r="Y56" i="1" l="1"/>
  <c r="Y48" i="1"/>
  <c r="AE40" i="1" l="1"/>
  <c r="AD40" i="1"/>
  <c r="AC40" i="1"/>
  <c r="AB40" i="1"/>
  <c r="AA40" i="1"/>
  <c r="Z40" i="1"/>
  <c r="N36" i="1"/>
  <c r="N40" i="1" s="1"/>
  <c r="AE35" i="1"/>
  <c r="AD35" i="1"/>
  <c r="AC35" i="1"/>
  <c r="AB35" i="1"/>
  <c r="AA35" i="1"/>
  <c r="Z35" i="1"/>
  <c r="J31" i="1"/>
  <c r="N31" i="1" s="1"/>
  <c r="N35" i="1" s="1"/>
  <c r="Q31" i="1"/>
  <c r="S31" i="1" s="1"/>
  <c r="Q32" i="1"/>
  <c r="S32" i="1" s="1"/>
  <c r="Q33" i="1"/>
  <c r="S33" i="1" s="1"/>
  <c r="Q34" i="1"/>
  <c r="S34" i="1" s="1"/>
  <c r="J26" i="1"/>
  <c r="N26" i="1" s="1"/>
  <c r="N30" i="1" s="1"/>
  <c r="Q26" i="1"/>
  <c r="S26" i="1" s="1"/>
  <c r="Q27" i="1"/>
  <c r="S27" i="1" s="1"/>
  <c r="Q28" i="1"/>
  <c r="S28" i="1" s="1"/>
  <c r="Q29" i="1"/>
  <c r="S29" i="1" s="1"/>
  <c r="AE30" i="1"/>
  <c r="AD30" i="1"/>
  <c r="AC30" i="1"/>
  <c r="AB30" i="1"/>
  <c r="AA30" i="1"/>
  <c r="Z30" i="1"/>
  <c r="J20" i="1"/>
  <c r="N20" i="1" s="1"/>
  <c r="N25" i="1" s="1"/>
  <c r="Q20" i="1"/>
  <c r="S20" i="1" s="1"/>
  <c r="Q21" i="1"/>
  <c r="S21" i="1" s="1"/>
  <c r="Q22" i="1"/>
  <c r="S22" i="1" s="1"/>
  <c r="Q23" i="1"/>
  <c r="S23" i="1" s="1"/>
  <c r="Q24" i="1"/>
  <c r="S24" i="1" s="1"/>
  <c r="AE25" i="1"/>
  <c r="AD25" i="1"/>
  <c r="AC25" i="1"/>
  <c r="AB25" i="1"/>
  <c r="AA25" i="1"/>
  <c r="Z25" i="1"/>
  <c r="J9" i="1"/>
  <c r="N9" i="1" s="1"/>
  <c r="N15" i="1" s="1"/>
  <c r="Q9" i="1"/>
  <c r="S9" i="1" s="1"/>
  <c r="Q10" i="1"/>
  <c r="S10" i="1" s="1"/>
  <c r="Q11" i="1"/>
  <c r="S11" i="1" s="1"/>
  <c r="Q12" i="1"/>
  <c r="S12" i="1" s="1"/>
  <c r="Q13" i="1"/>
  <c r="S13" i="1" s="1"/>
  <c r="S14" i="1"/>
  <c r="J3" i="1"/>
  <c r="N3" i="1" s="1"/>
  <c r="N8" i="1" s="1"/>
  <c r="Q3" i="1"/>
  <c r="S3" i="1" s="1"/>
  <c r="Q4" i="1"/>
  <c r="S4" i="1" s="1"/>
  <c r="Q5" i="1"/>
  <c r="S5" i="1" s="1"/>
  <c r="Q6" i="1"/>
  <c r="S6" i="1" s="1"/>
  <c r="Q7" i="1"/>
  <c r="S7" i="1" s="1"/>
  <c r="AA19" i="1"/>
  <c r="AA15" i="1"/>
  <c r="AE8" i="1"/>
  <c r="AE15" i="1"/>
  <c r="AE19" i="1"/>
  <c r="AD8" i="1"/>
  <c r="AD15" i="1"/>
  <c r="AD19" i="1"/>
  <c r="AC19" i="1"/>
  <c r="AA8" i="1"/>
  <c r="AB19" i="1"/>
  <c r="Z19" i="1"/>
  <c r="Q18" i="1"/>
  <c r="S18" i="1" s="1"/>
  <c r="Q17" i="1"/>
  <c r="S17" i="1" s="1"/>
  <c r="Q16" i="1"/>
  <c r="S16" i="1" s="1"/>
  <c r="N16" i="1"/>
  <c r="N19" i="1" s="1"/>
  <c r="Z15" i="1"/>
  <c r="Q14" i="1"/>
  <c r="AB9" i="1"/>
  <c r="AB15" i="1" s="1"/>
  <c r="Z8" i="1"/>
  <c r="AB3" i="1"/>
  <c r="AB8" i="1" s="1"/>
  <c r="S19" i="1" l="1"/>
  <c r="W19" i="1" s="1"/>
  <c r="S15" i="1"/>
  <c r="X15" i="1" s="1"/>
  <c r="S35" i="1"/>
  <c r="U35" i="1" s="1"/>
  <c r="S40" i="1"/>
  <c r="S30" i="1"/>
  <c r="W30" i="1" s="1"/>
  <c r="S8" i="1"/>
  <c r="V8" i="1" s="1"/>
  <c r="S25" i="1"/>
  <c r="T25" i="1" s="1"/>
  <c r="V15" i="1" l="1"/>
  <c r="V30" i="1"/>
  <c r="U15" i="1"/>
  <c r="W15" i="1"/>
  <c r="T15" i="1"/>
  <c r="V19" i="1"/>
  <c r="X19" i="1"/>
  <c r="U19" i="1"/>
  <c r="T19" i="1"/>
  <c r="T30" i="1"/>
  <c r="U30" i="1"/>
  <c r="X35" i="1"/>
  <c r="W35" i="1"/>
  <c r="W25" i="1"/>
  <c r="X30" i="1"/>
  <c r="W8" i="1"/>
  <c r="T8" i="1"/>
  <c r="U8" i="1"/>
  <c r="T35" i="1"/>
  <c r="W40" i="1"/>
  <c r="V35" i="1"/>
  <c r="X25" i="1"/>
  <c r="U25" i="1"/>
  <c r="X40" i="1"/>
  <c r="U40" i="1"/>
  <c r="V40" i="1"/>
  <c r="T40" i="1"/>
  <c r="X8" i="1"/>
  <c r="V25" i="1"/>
  <c r="Y19" i="1" l="1"/>
  <c r="Y15" i="1"/>
  <c r="AC9" i="1" s="1"/>
  <c r="AC15" i="1" s="1"/>
  <c r="Y35" i="1"/>
  <c r="Y30" i="1"/>
  <c r="Y25" i="1"/>
  <c r="Y8" i="1"/>
  <c r="AC3" i="1" s="1"/>
  <c r="AC8" i="1" s="1"/>
  <c r="Y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P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C3" authorId="0" shapeId="0" xr:uid="{D4B464E7-5F67-45D4-A10D-9037D12347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P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C9" authorId="0" shapeId="0" xr:uid="{FE49D541-86C3-427E-87B0-1302E2D4A4E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P1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C16" authorId="0" shapeId="0" xr:uid="{46301C0B-1A3E-4B80-96CC-615AC700432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打孔工序后，还需要铰刀或者掏刀铣一下</t>
        </r>
      </text>
    </comment>
    <comment ref="O17" authorId="0" shapeId="0" xr:uid="{9557C134-F0D0-47B2-95C5-A118313E29F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打完孔后再铰刀/掏刀一下</t>
        </r>
      </text>
    </comment>
    <comment ref="P20" authorId="0" shapeId="0" xr:uid="{97B13B01-1F3D-49C9-B519-0031F6F3F246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P26" authorId="0" shapeId="0" xr:uid="{DEA7C928-4C7A-4A7A-833E-15B5A543DBCA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P31" authorId="0" shapeId="0" xr:uid="{75DF37FA-4554-49DC-B076-328D9C524465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</commentList>
</comments>
</file>

<file path=xl/sharedStrings.xml><?xml version="1.0" encoding="utf-8"?>
<sst xmlns="http://schemas.openxmlformats.org/spreadsheetml/2006/main" count="142" uniqueCount="87">
  <si>
    <t>序号</t>
  </si>
  <si>
    <t>采购工厂</t>
  </si>
  <si>
    <t>零件号</t>
  </si>
  <si>
    <t>物料名称</t>
  </si>
  <si>
    <t>计量单位</t>
  </si>
  <si>
    <t>材料</t>
  </si>
  <si>
    <t>工序</t>
  </si>
  <si>
    <t>政锦未税报价</t>
  </si>
  <si>
    <t>材质</t>
  </si>
  <si>
    <t>毛重</t>
  </si>
  <si>
    <t>净重</t>
  </si>
  <si>
    <t>材料单价-未税</t>
  </si>
  <si>
    <t>废铁单价</t>
  </si>
  <si>
    <t>材料费</t>
  </si>
  <si>
    <t>拆解工时费(元/h)</t>
  </si>
  <si>
    <t>拆解工时费(元/s)</t>
  </si>
  <si>
    <t>拆解工时s</t>
  </si>
  <si>
    <t>工序费</t>
  </si>
  <si>
    <t>包装</t>
  </si>
  <si>
    <t>运费</t>
  </si>
  <si>
    <t>管理费</t>
  </si>
  <si>
    <t>财务费</t>
  </si>
  <si>
    <t>利润</t>
  </si>
  <si>
    <t>合计</t>
  </si>
  <si>
    <t>轻卡减震</t>
  </si>
  <si>
    <t>河北工厂</t>
  </si>
  <si>
    <t>件</t>
  </si>
  <si>
    <t>45#</t>
  </si>
  <si>
    <t>断料</t>
  </si>
  <si>
    <t>车床</t>
  </si>
  <si>
    <t>打孔</t>
  </si>
  <si>
    <t>攻丝</t>
  </si>
  <si>
    <t>倒角</t>
  </si>
  <si>
    <t>1.3平台升降调节组件</t>
  </si>
  <si>
    <t>35#</t>
  </si>
  <si>
    <t>镀锌</t>
  </si>
  <si>
    <t>TX-1.0</t>
  </si>
  <si>
    <t>SWRCH35K</t>
  </si>
  <si>
    <t>1.此件原是成卓供应的车身安装总成的组成单件，成卓报价1.5元含税，此件是创合供应成卓的，后因为设变变短，本想让创合改制，但创合表示因为货款问题，不再承接新项目，故不再改制。2.黄骅兴岳是体系外供应商，并且未配合公司要求自审，后期非必要不再释放新项目。3.沧州智凯现因货款及价格问题，不愿承接新项目。4.瑞安精艺情况同上，配合度差。4.目前体系内配合度较高的仅有沧州旭兴及霸州政锦</t>
  </si>
  <si>
    <t>SHT0011546</t>
    <phoneticPr fontId="11" type="noConversion"/>
  </si>
  <si>
    <t>扶手旋转轴</t>
    <phoneticPr fontId="11" type="noConversion"/>
  </si>
  <si>
    <t>SHT0014884</t>
    <phoneticPr fontId="11" type="noConversion"/>
  </si>
  <si>
    <t>台阶螺母</t>
    <phoneticPr fontId="11" type="noConversion"/>
  </si>
  <si>
    <t>BAS0010008</t>
    <phoneticPr fontId="11" type="noConversion"/>
  </si>
  <si>
    <t>支撑衬套</t>
    <phoneticPr fontId="11" type="noConversion"/>
  </si>
  <si>
    <t>旭兴未税报价</t>
    <phoneticPr fontId="11" type="noConversion"/>
  </si>
  <si>
    <t>旭兴未税报价-最终</t>
    <phoneticPr fontId="11" type="noConversion"/>
  </si>
  <si>
    <t>政锦未税报价-最终</t>
    <phoneticPr fontId="11" type="noConversion"/>
  </si>
  <si>
    <t>智凯未税报价-最终</t>
    <phoneticPr fontId="11" type="noConversion"/>
  </si>
  <si>
    <t>0.6(机加工)
0.45（冷镦，单次5万件起订）</t>
    <phoneticPr fontId="11" type="noConversion"/>
  </si>
  <si>
    <t xml:space="preserve"> </t>
    <phoneticPr fontId="11" type="noConversion"/>
  </si>
  <si>
    <t>未税合计</t>
    <phoneticPr fontId="11" type="noConversion"/>
  </si>
  <si>
    <t>35#</t>
    <phoneticPr fontId="11" type="noConversion"/>
  </si>
  <si>
    <t>奥杰</t>
    <phoneticPr fontId="11" type="noConversion"/>
  </si>
  <si>
    <t>SBS0010115</t>
  </si>
  <si>
    <t>支腿上固定轴套</t>
    <phoneticPr fontId="11" type="noConversion"/>
  </si>
  <si>
    <t>SWRCH22A</t>
    <phoneticPr fontId="11" type="noConversion"/>
  </si>
  <si>
    <t>铰孔</t>
    <phoneticPr fontId="11" type="noConversion"/>
  </si>
  <si>
    <t>SBS0010116</t>
    <phoneticPr fontId="11" type="noConversion"/>
  </si>
  <si>
    <t>主驾左支腿前轴套</t>
    <phoneticPr fontId="11" type="noConversion"/>
  </si>
  <si>
    <t>20#</t>
    <phoneticPr fontId="11" type="noConversion"/>
  </si>
  <si>
    <t>SBS0010133</t>
    <phoneticPr fontId="11" type="noConversion"/>
  </si>
  <si>
    <t>主驾左支腿后轴套</t>
    <phoneticPr fontId="11" type="noConversion"/>
  </si>
  <si>
    <t>BAS0010022</t>
    <phoneticPr fontId="11" type="noConversion"/>
  </si>
  <si>
    <t>上框焊接轴套</t>
    <phoneticPr fontId="11" type="noConversion"/>
  </si>
  <si>
    <t>断料</t>
    <phoneticPr fontId="11" type="noConversion"/>
  </si>
  <si>
    <t>车床</t>
    <phoneticPr fontId="11" type="noConversion"/>
  </si>
  <si>
    <t>倒角</t>
    <phoneticPr fontId="11" type="noConversion"/>
  </si>
  <si>
    <t>SLT0010525</t>
    <phoneticPr fontId="11" type="noConversion"/>
  </si>
  <si>
    <t>内外绞架连接螺栓</t>
    <phoneticPr fontId="11" type="noConversion"/>
  </si>
  <si>
    <t>SWRCH35K</t>
    <phoneticPr fontId="11" type="noConversion"/>
  </si>
  <si>
    <t>SHT0001894</t>
    <phoneticPr fontId="11" type="noConversion"/>
  </si>
  <si>
    <t>仰角旋转轴</t>
    <phoneticPr fontId="11" type="noConversion"/>
  </si>
  <si>
    <t>45#</t>
    <phoneticPr fontId="11" type="noConversion"/>
  </si>
  <si>
    <t>河北工厂</t>
    <phoneticPr fontId="11" type="noConversion"/>
  </si>
  <si>
    <t>冲方孔</t>
    <phoneticPr fontId="11" type="noConversion"/>
  </si>
  <si>
    <t>合计</t>
    <phoneticPr fontId="11" type="noConversion"/>
  </si>
  <si>
    <t>车型</t>
    <phoneticPr fontId="11" type="noConversion"/>
  </si>
  <si>
    <t>冷镦</t>
    <phoneticPr fontId="11" type="noConversion"/>
  </si>
  <si>
    <t>搓丝</t>
    <phoneticPr fontId="11" type="noConversion"/>
  </si>
  <si>
    <t>热处理</t>
    <phoneticPr fontId="11" type="noConversion"/>
  </si>
  <si>
    <t>3元/kg</t>
    <phoneticPr fontId="11" type="noConversion"/>
  </si>
  <si>
    <t>达克罗</t>
    <phoneticPr fontId="11" type="noConversion"/>
  </si>
  <si>
    <t>涂紧固胶</t>
    <phoneticPr fontId="11" type="noConversion"/>
  </si>
  <si>
    <t>8元/kg</t>
    <phoneticPr fontId="11" type="noConversion"/>
  </si>
  <si>
    <t>2元/kg</t>
    <phoneticPr fontId="11" type="noConversion"/>
  </si>
  <si>
    <t>镀白锌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</si>
</sst>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0"/>
    <numFmt numFmtId="179" formatCode="0.00_);[Red]\(0.00\)"/>
    <numFmt numFmtId="180" formatCode="0.0000_);[Red]\(0.0000\)"/>
    <numFmt numFmtId="181" formatCode="0.000_);[Red]\(0.000\)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116">
    <xf numFmtId="0" fontId="0" fillId="0" borderId="0" xfId="0"/>
    <xf numFmtId="0" fontId="0" fillId="2" borderId="0" xfId="0" applyFill="1"/>
    <xf numFmtId="177" fontId="0" fillId="0" borderId="0" xfId="0" applyNumberFormat="1"/>
    <xf numFmtId="176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shrinkToFi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8" xfId="3" applyFont="1" applyFill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1" fontId="1" fillId="4" borderId="1" xfId="3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" fillId="4" borderId="4" xfId="3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6" borderId="1" xfId="3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81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5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81" fontId="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/>
    </xf>
    <xf numFmtId="0" fontId="1" fillId="0" borderId="15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6" fillId="6" borderId="1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" fontId="1" fillId="4" borderId="8" xfId="3" applyNumberFormat="1" applyFont="1" applyFill="1" applyBorder="1" applyAlignment="1">
      <alignment horizontal="center" vertical="center" wrapText="1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1" fillId="0" borderId="1" xfId="3" applyNumberFormat="1" applyFont="1" applyBorder="1" applyAlignment="1">
      <alignment horizontal="center" vertical="center" wrapText="1"/>
    </xf>
    <xf numFmtId="9" fontId="1" fillId="0" borderId="13" xfId="3" applyNumberFormat="1" applyFont="1" applyBorder="1" applyAlignment="1">
      <alignment horizontal="center" vertical="center" wrapText="1"/>
    </xf>
    <xf numFmtId="9" fontId="1" fillId="0" borderId="1" xfId="3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 wrapText="1"/>
    </xf>
    <xf numFmtId="178" fontId="1" fillId="3" borderId="1" xfId="3" applyNumberFormat="1" applyFont="1" applyFill="1" applyBorder="1" applyAlignment="1">
      <alignment horizontal="center" vertical="center" wrapText="1"/>
    </xf>
    <xf numFmtId="9" fontId="1" fillId="0" borderId="5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2" xfId="3" applyFont="1" applyFill="1" applyBorder="1" applyAlignment="1">
      <alignment horizontal="center" vertical="center" wrapText="1"/>
    </xf>
    <xf numFmtId="0" fontId="1" fillId="6" borderId="13" xfId="3" applyFont="1" applyFill="1" applyBorder="1" applyAlignment="1">
      <alignment horizontal="center" vertical="center" wrapText="1"/>
    </xf>
    <xf numFmtId="0" fontId="1" fillId="6" borderId="5" xfId="3" applyFont="1" applyFill="1" applyBorder="1" applyAlignment="1">
      <alignment horizontal="center" vertical="center" wrapText="1"/>
    </xf>
    <xf numFmtId="2" fontId="1" fillId="6" borderId="2" xfId="3" applyNumberFormat="1" applyFont="1" applyFill="1" applyBorder="1" applyAlignment="1">
      <alignment horizontal="center" vertical="center" wrapText="1"/>
    </xf>
    <xf numFmtId="2" fontId="1" fillId="6" borderId="13" xfId="3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8" fontId="1" fillId="3" borderId="2" xfId="3" applyNumberFormat="1" applyFont="1" applyFill="1" applyBorder="1" applyAlignment="1">
      <alignment horizontal="center" vertical="center" wrapText="1"/>
    </xf>
    <xf numFmtId="178" fontId="1" fillId="3" borderId="13" xfId="3" applyNumberFormat="1" applyFont="1" applyFill="1" applyBorder="1" applyAlignment="1">
      <alignment horizontal="center" vertical="center" wrapText="1"/>
    </xf>
    <xf numFmtId="178" fontId="1" fillId="3" borderId="5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3" applyFont="1" applyBorder="1" applyAlignment="1">
      <alignment horizontal="center" vertical="center"/>
    </xf>
    <xf numFmtId="0" fontId="1" fillId="6" borderId="2" xfId="3" applyFont="1" applyFill="1" applyBorder="1" applyAlignment="1">
      <alignment horizontal="left" vertical="center" wrapText="1"/>
    </xf>
    <xf numFmtId="0" fontId="1" fillId="6" borderId="13" xfId="3" applyFont="1" applyFill="1" applyBorder="1" applyAlignment="1">
      <alignment horizontal="left" vertical="center" wrapText="1"/>
    </xf>
    <xf numFmtId="0" fontId="1" fillId="6" borderId="5" xfId="3" applyFont="1" applyFill="1" applyBorder="1" applyAlignment="1">
      <alignment horizontal="left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178" fontId="1" fillId="0" borderId="2" xfId="3" applyNumberFormat="1" applyFont="1" applyBorder="1" applyAlignment="1">
      <alignment horizontal="center" vertical="center" wrapText="1"/>
    </xf>
    <xf numFmtId="178" fontId="1" fillId="0" borderId="13" xfId="3" applyNumberFormat="1" applyFont="1" applyBorder="1" applyAlignment="1">
      <alignment horizontal="center" vertical="center" wrapText="1"/>
    </xf>
    <xf numFmtId="178" fontId="1" fillId="0" borderId="5" xfId="3" applyNumberFormat="1" applyFont="1" applyBorder="1" applyAlignment="1">
      <alignment horizontal="center" vertical="center" wrapText="1"/>
    </xf>
  </cellXfs>
  <cellStyles count="6">
    <cellStyle name="BOM_Level_Below3 2" xfId="2" xr:uid="{00000000-0005-0000-0000-000032000000}"/>
    <cellStyle name="常规" xfId="0" builtinId="0"/>
    <cellStyle name="常规 2" xfId="3" xr:uid="{00000000-0005-0000-0000-000033000000}"/>
    <cellStyle name="常规 39 2" xfId="4" xr:uid="{00000000-0005-0000-0000-000034000000}"/>
    <cellStyle name="常规_正司机座椅 _34 2" xfId="5" xr:uid="{00000000-0005-0000-0000-000035000000}"/>
    <cellStyle name="样式 1 10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9525</xdr:colOff>
      <xdr:row>2</xdr:row>
      <xdr:rowOff>28575</xdr:rowOff>
    </xdr:from>
    <xdr:to>
      <xdr:col>33</xdr:col>
      <xdr:colOff>504825</xdr:colOff>
      <xdr:row>38</xdr:row>
      <xdr:rowOff>194175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1030" y="542925"/>
          <a:ext cx="1866900" cy="1085215"/>
        </a:xfrm>
        <a:prstGeom prst="rect">
          <a:avLst/>
        </a:prstGeom>
      </xdr:spPr>
    </xdr:pic>
    <xdr:clientData/>
  </xdr:twoCellAnchor>
  <xdr:twoCellAnchor editAs="oneCell">
    <xdr:from>
      <xdr:col>31</xdr:col>
      <xdr:colOff>42181</xdr:colOff>
      <xdr:row>8</xdr:row>
      <xdr:rowOff>61232</xdr:rowOff>
    </xdr:from>
    <xdr:to>
      <xdr:col>33</xdr:col>
      <xdr:colOff>516526</xdr:colOff>
      <xdr:row>38</xdr:row>
      <xdr:rowOff>179614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3638" y="2347232"/>
          <a:ext cx="1715316" cy="1061357"/>
        </a:xfrm>
        <a:prstGeom prst="rect">
          <a:avLst/>
        </a:prstGeom>
      </xdr:spPr>
    </xdr:pic>
    <xdr:clientData/>
  </xdr:twoCellAnchor>
  <xdr:twoCellAnchor editAs="oneCell">
    <xdr:from>
      <xdr:col>31</xdr:col>
      <xdr:colOff>152400</xdr:colOff>
      <xdr:row>15</xdr:row>
      <xdr:rowOff>72680</xdr:rowOff>
    </xdr:from>
    <xdr:to>
      <xdr:col>33</xdr:col>
      <xdr:colOff>478972</xdr:colOff>
      <xdr:row>37</xdr:row>
      <xdr:rowOff>226693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0" y="4655566"/>
          <a:ext cx="1567543" cy="814522"/>
        </a:xfrm>
        <a:prstGeom prst="rect">
          <a:avLst/>
        </a:prstGeom>
      </xdr:spPr>
    </xdr:pic>
    <xdr:clientData/>
  </xdr:twoCellAnchor>
  <xdr:twoCellAnchor editAs="oneCell">
    <xdr:from>
      <xdr:col>35</xdr:col>
      <xdr:colOff>54427</xdr:colOff>
      <xdr:row>15</xdr:row>
      <xdr:rowOff>32657</xdr:rowOff>
    </xdr:from>
    <xdr:to>
      <xdr:col>37</xdr:col>
      <xdr:colOff>108856</xdr:colOff>
      <xdr:row>37</xdr:row>
      <xdr:rowOff>108857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74398" y="4615543"/>
          <a:ext cx="1295401" cy="696686"/>
        </a:xfrm>
        <a:prstGeom prst="rect">
          <a:avLst/>
        </a:prstGeom>
      </xdr:spPr>
    </xdr:pic>
    <xdr:clientData/>
  </xdr:twoCellAnchor>
  <xdr:twoCellAnchor editAs="oneCell">
    <xdr:from>
      <xdr:col>26</xdr:col>
      <xdr:colOff>280459</xdr:colOff>
      <xdr:row>15</xdr:row>
      <xdr:rowOff>12031</xdr:rowOff>
    </xdr:from>
    <xdr:to>
      <xdr:col>26</xdr:col>
      <xdr:colOff>743208</xdr:colOff>
      <xdr:row>36</xdr:row>
      <xdr:rowOff>53282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AEE02B3-AC8C-E229-AB6F-2F375D68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0800000">
          <a:off x="15868802" y="4594917"/>
          <a:ext cx="462749" cy="347197"/>
        </a:xfrm>
        <a:prstGeom prst="rect">
          <a:avLst/>
        </a:prstGeom>
      </xdr:spPr>
    </xdr:pic>
    <xdr:clientData/>
  </xdr:twoCellAnchor>
  <xdr:twoCellAnchor editAs="oneCell">
    <xdr:from>
      <xdr:col>26</xdr:col>
      <xdr:colOff>185055</xdr:colOff>
      <xdr:row>2</xdr:row>
      <xdr:rowOff>16602</xdr:rowOff>
    </xdr:from>
    <xdr:to>
      <xdr:col>26</xdr:col>
      <xdr:colOff>936171</xdr:colOff>
      <xdr:row>36</xdr:row>
      <xdr:rowOff>269643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987515A-2E9F-D302-0A3A-91591268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73398" y="539116"/>
          <a:ext cx="751116" cy="563558"/>
        </a:xfrm>
        <a:prstGeom prst="rect">
          <a:avLst/>
        </a:prstGeom>
      </xdr:spPr>
    </xdr:pic>
    <xdr:clientData/>
  </xdr:twoCellAnchor>
  <xdr:twoCellAnchor editAs="oneCell">
    <xdr:from>
      <xdr:col>26</xdr:col>
      <xdr:colOff>141514</xdr:colOff>
      <xdr:row>8</xdr:row>
      <xdr:rowOff>10886</xdr:rowOff>
    </xdr:from>
    <xdr:to>
      <xdr:col>26</xdr:col>
      <xdr:colOff>979714</xdr:colOff>
      <xdr:row>37</xdr:row>
      <xdr:rowOff>41066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AA78DC1-0F3F-5ED8-EE03-6BCED4E7F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29857" y="2296886"/>
          <a:ext cx="838200" cy="628895"/>
        </a:xfrm>
        <a:prstGeom prst="rect">
          <a:avLst/>
        </a:prstGeom>
      </xdr:spPr>
    </xdr:pic>
    <xdr:clientData/>
  </xdr:twoCellAnchor>
  <xdr:twoCellAnchor editAs="oneCell">
    <xdr:from>
      <xdr:col>35</xdr:col>
      <xdr:colOff>32658</xdr:colOff>
      <xdr:row>17</xdr:row>
      <xdr:rowOff>195943</xdr:rowOff>
    </xdr:from>
    <xdr:to>
      <xdr:col>37</xdr:col>
      <xdr:colOff>97971</xdr:colOff>
      <xdr:row>37</xdr:row>
      <xdr:rowOff>161428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F0884CD-9C3C-E2CB-CC96-65FFBE74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363715" y="5366657"/>
          <a:ext cx="1306285" cy="750346"/>
        </a:xfrm>
        <a:prstGeom prst="rect">
          <a:avLst/>
        </a:prstGeom>
      </xdr:spPr>
    </xdr:pic>
    <xdr:clientData/>
  </xdr:twoCellAnchor>
  <xdr:twoCellAnchor editAs="oneCell">
    <xdr:from>
      <xdr:col>27</xdr:col>
      <xdr:colOff>108858</xdr:colOff>
      <xdr:row>5</xdr:row>
      <xdr:rowOff>65314</xdr:rowOff>
    </xdr:from>
    <xdr:to>
      <xdr:col>27</xdr:col>
      <xdr:colOff>566058</xdr:colOff>
      <xdr:row>36</xdr:row>
      <xdr:rowOff>108856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4D57973-4271-F47B-FA50-2D2DB3D0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74887" y="1469571"/>
          <a:ext cx="457200" cy="402771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18</xdr:row>
      <xdr:rowOff>297179</xdr:rowOff>
    </xdr:from>
    <xdr:to>
      <xdr:col>34</xdr:col>
      <xdr:colOff>236220</xdr:colOff>
      <xdr:row>39</xdr:row>
      <xdr:rowOff>282139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8A972EE-EB95-CFB3-0038-F7FA7BFA5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89880" y="5814059"/>
          <a:ext cx="2087880" cy="147412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25</xdr:row>
      <xdr:rowOff>0</xdr:rowOff>
    </xdr:from>
    <xdr:to>
      <xdr:col>34</xdr:col>
      <xdr:colOff>201636</xdr:colOff>
      <xdr:row>39</xdr:row>
      <xdr:rowOff>220980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DB547F7-6CCE-0184-F459-B50674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89880" y="7597140"/>
          <a:ext cx="2053296" cy="140970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30</xdr:row>
      <xdr:rowOff>0</xdr:rowOff>
    </xdr:from>
    <xdr:to>
      <xdr:col>34</xdr:col>
      <xdr:colOff>251460</xdr:colOff>
      <xdr:row>39</xdr:row>
      <xdr:rowOff>77706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F2E6095-7916-CFA5-908D-FE8BB12B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89880" y="9083040"/>
          <a:ext cx="2103120" cy="1266426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35</xdr:row>
      <xdr:rowOff>0</xdr:rowOff>
    </xdr:from>
    <xdr:to>
      <xdr:col>33</xdr:col>
      <xdr:colOff>449580</xdr:colOff>
      <xdr:row>38</xdr:row>
      <xdr:rowOff>290120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31F7643-B279-1433-49F7-649923D2B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89880" y="10568940"/>
          <a:ext cx="1684020" cy="1181660"/>
        </a:xfrm>
        <a:prstGeom prst="rect">
          <a:avLst/>
        </a:prstGeom>
      </xdr:spPr>
    </xdr:pic>
    <xdr:clientData/>
  </xdr:twoCellAnchor>
  <xdr:twoCellAnchor editAs="oneCell">
    <xdr:from>
      <xdr:col>29</xdr:col>
      <xdr:colOff>8467</xdr:colOff>
      <xdr:row>48</xdr:row>
      <xdr:rowOff>22981</xdr:rowOff>
    </xdr:from>
    <xdr:to>
      <xdr:col>34</xdr:col>
      <xdr:colOff>970931</xdr:colOff>
      <xdr:row>54</xdr:row>
      <xdr:rowOff>228601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884703A-C33B-4A29-9D13-A85ECDD35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829867" y="14305038"/>
          <a:ext cx="2823921" cy="1969106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40</xdr:row>
      <xdr:rowOff>0</xdr:rowOff>
    </xdr:from>
    <xdr:to>
      <xdr:col>34</xdr:col>
      <xdr:colOff>1007646</xdr:colOff>
      <xdr:row>46</xdr:row>
      <xdr:rowOff>254001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67A9ED3-C741-59C1-1F71-528227AC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516600" y="12022667"/>
          <a:ext cx="2861846" cy="20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525780</xdr:colOff>
      <xdr:row>32</xdr:row>
      <xdr:rowOff>45896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26980" cy="5532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330200</xdr:colOff>
      <xdr:row>80</xdr:row>
      <xdr:rowOff>66402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4EA7867-5348-4FF9-AB96-210A584FF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23000"/>
          <a:ext cx="11455400" cy="8067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6"/>
  <sheetViews>
    <sheetView tabSelected="1" view="pageBreakPreview" zoomScale="70" zoomScaleNormal="100" zoomScaleSheetLayoutView="70" workbookViewId="0">
      <selection activeCell="M43" sqref="M43"/>
    </sheetView>
  </sheetViews>
  <sheetFormatPr defaultColWidth="9" defaultRowHeight="13.8" x14ac:dyDescent="0.25"/>
  <cols>
    <col min="2" max="2" width="3" customWidth="1"/>
    <col min="3" max="3" width="12.88671875" customWidth="1"/>
    <col min="5" max="5" width="12.109375" customWidth="1"/>
    <col min="6" max="6" width="12.88671875" customWidth="1"/>
    <col min="8" max="8" width="3.109375" customWidth="1"/>
    <col min="9" max="9" width="11.77734375" customWidth="1"/>
    <col min="10" max="10" width="7.33203125" style="2" customWidth="1"/>
    <col min="11" max="11" width="9" style="2"/>
    <col min="14" max="14" width="7" style="3" customWidth="1"/>
    <col min="15" max="15" width="10.5546875" customWidth="1"/>
    <col min="16" max="16" width="10.44140625" customWidth="1"/>
    <col min="26" max="26" width="10.44140625" customWidth="1"/>
    <col min="27" max="27" width="15.77734375" customWidth="1"/>
    <col min="28" max="28" width="9.6640625" customWidth="1"/>
    <col min="29" max="29" width="11.77734375" customWidth="1"/>
    <col min="30" max="31" width="11.77734375" hidden="1" customWidth="1"/>
    <col min="35" max="35" width="54.21875" customWidth="1"/>
  </cols>
  <sheetData>
    <row r="1" spans="1:35" x14ac:dyDescent="0.25">
      <c r="A1" s="82" t="s">
        <v>0</v>
      </c>
      <c r="B1" s="48"/>
      <c r="C1" s="107" t="s">
        <v>77</v>
      </c>
      <c r="D1" s="107" t="s">
        <v>1</v>
      </c>
      <c r="E1" s="107" t="s">
        <v>2</v>
      </c>
      <c r="F1" s="107" t="s">
        <v>3</v>
      </c>
      <c r="G1" s="71" t="s">
        <v>4</v>
      </c>
      <c r="H1" s="59"/>
      <c r="I1" s="4"/>
      <c r="J1" s="102" t="s">
        <v>5</v>
      </c>
      <c r="K1" s="103"/>
      <c r="L1" s="104"/>
      <c r="M1" s="104"/>
      <c r="N1" s="105"/>
      <c r="O1" s="106" t="s">
        <v>6</v>
      </c>
      <c r="P1" s="106"/>
      <c r="Q1" s="106"/>
      <c r="R1" s="106"/>
      <c r="S1" s="106"/>
      <c r="Z1" s="87" t="s">
        <v>45</v>
      </c>
      <c r="AA1" s="87" t="s">
        <v>46</v>
      </c>
      <c r="AB1" s="94" t="s">
        <v>7</v>
      </c>
      <c r="AC1" s="98" t="s">
        <v>47</v>
      </c>
      <c r="AD1" s="99" t="s">
        <v>48</v>
      </c>
      <c r="AE1" s="99" t="s">
        <v>48</v>
      </c>
      <c r="AF1" s="34"/>
    </row>
    <row r="2" spans="1:35" ht="27.6" x14ac:dyDescent="0.25">
      <c r="A2" s="82"/>
      <c r="B2" s="48"/>
      <c r="C2" s="107"/>
      <c r="D2" s="107"/>
      <c r="E2" s="107"/>
      <c r="F2" s="107"/>
      <c r="G2" s="101"/>
      <c r="H2" s="60"/>
      <c r="I2" s="5" t="s">
        <v>8</v>
      </c>
      <c r="J2" s="6" t="s">
        <v>9</v>
      </c>
      <c r="K2" s="6" t="s">
        <v>10</v>
      </c>
      <c r="L2" s="17" t="s">
        <v>11</v>
      </c>
      <c r="M2" s="17" t="s">
        <v>12</v>
      </c>
      <c r="N2" s="18" t="s">
        <v>13</v>
      </c>
      <c r="O2" s="11" t="s">
        <v>6</v>
      </c>
      <c r="P2" s="19" t="s">
        <v>14</v>
      </c>
      <c r="Q2" s="17" t="s">
        <v>15</v>
      </c>
      <c r="R2" s="20" t="s">
        <v>16</v>
      </c>
      <c r="S2" s="29" t="s">
        <v>17</v>
      </c>
      <c r="T2" s="5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44" t="s">
        <v>51</v>
      </c>
      <c r="Z2" s="88"/>
      <c r="AA2" s="88"/>
      <c r="AB2" s="94"/>
      <c r="AC2" s="94"/>
      <c r="AD2" s="100"/>
      <c r="AE2" s="100"/>
      <c r="AF2" s="35"/>
    </row>
    <row r="3" spans="1:35" ht="23.4" hidden="1" customHeight="1" x14ac:dyDescent="0.25">
      <c r="A3" s="7">
        <v>1</v>
      </c>
      <c r="B3" s="7"/>
      <c r="C3" s="8" t="s">
        <v>24</v>
      </c>
      <c r="D3" s="7" t="s">
        <v>25</v>
      </c>
      <c r="E3" s="9" t="s">
        <v>39</v>
      </c>
      <c r="F3" s="10" t="s">
        <v>40</v>
      </c>
      <c r="G3" s="7" t="s">
        <v>26</v>
      </c>
      <c r="H3" s="7"/>
      <c r="I3" s="11" t="s">
        <v>27</v>
      </c>
      <c r="J3" s="6">
        <f>22*22*0.00617*0.0523</f>
        <v>0.156182444</v>
      </c>
      <c r="K3" s="6">
        <v>0.123</v>
      </c>
      <c r="L3" s="11">
        <v>5</v>
      </c>
      <c r="M3" s="11">
        <v>1</v>
      </c>
      <c r="N3" s="18">
        <f>L3*J3-(J3-K3)*M3</f>
        <v>0.74772977600000001</v>
      </c>
      <c r="O3" s="11" t="s">
        <v>28</v>
      </c>
      <c r="P3" s="21">
        <v>20</v>
      </c>
      <c r="Q3" s="22">
        <f>P3/3600</f>
        <v>5.5555555555555558E-3</v>
      </c>
      <c r="R3" s="23">
        <v>10</v>
      </c>
      <c r="S3" s="30">
        <f>Q3*R3</f>
        <v>5.5555555555555559E-2</v>
      </c>
      <c r="T3" s="67">
        <v>0.01</v>
      </c>
      <c r="U3" s="69">
        <v>0.02</v>
      </c>
      <c r="V3" s="69">
        <v>0.01</v>
      </c>
      <c r="W3" s="69">
        <v>0.03</v>
      </c>
      <c r="X3" s="69">
        <v>0.05</v>
      </c>
      <c r="Y3" s="111"/>
      <c r="Z3" s="83">
        <v>2.58</v>
      </c>
      <c r="AA3" s="83">
        <v>2.2000000000000002</v>
      </c>
      <c r="AB3" s="84">
        <f>3/1.13</f>
        <v>2.6548672566371683</v>
      </c>
      <c r="AC3" s="84">
        <f>Y8*1.05</f>
        <v>1.5522635499093334</v>
      </c>
      <c r="AD3" s="79"/>
      <c r="AE3" s="79"/>
      <c r="AF3" s="36"/>
    </row>
    <row r="4" spans="1:35" ht="23.4" hidden="1" customHeight="1" x14ac:dyDescent="0.25">
      <c r="A4" s="7"/>
      <c r="B4" s="7"/>
      <c r="C4" s="8"/>
      <c r="D4" s="7"/>
      <c r="E4" s="9"/>
      <c r="F4" s="10"/>
      <c r="G4" s="7"/>
      <c r="H4" s="7"/>
      <c r="I4" s="11"/>
      <c r="J4" s="6"/>
      <c r="K4" s="6"/>
      <c r="L4" s="11"/>
      <c r="M4" s="11"/>
      <c r="N4" s="18"/>
      <c r="O4" s="11" t="s">
        <v>29</v>
      </c>
      <c r="P4" s="21">
        <v>30</v>
      </c>
      <c r="Q4" s="22">
        <f>P4/3600</f>
        <v>8.3333333333333332E-3</v>
      </c>
      <c r="R4" s="23">
        <v>30</v>
      </c>
      <c r="S4" s="30">
        <f>Q4*R4</f>
        <v>0.25</v>
      </c>
      <c r="T4" s="68"/>
      <c r="U4" s="70"/>
      <c r="V4" s="70"/>
      <c r="W4" s="70"/>
      <c r="X4" s="70"/>
      <c r="Y4" s="112"/>
      <c r="Z4" s="83"/>
      <c r="AA4" s="83"/>
      <c r="AB4" s="84"/>
      <c r="AC4" s="84"/>
      <c r="AD4" s="79"/>
      <c r="AE4" s="79"/>
      <c r="AF4" s="36"/>
    </row>
    <row r="5" spans="1:35" ht="23.4" hidden="1" customHeight="1" x14ac:dyDescent="0.25">
      <c r="A5" s="7"/>
      <c r="B5" s="7"/>
      <c r="C5" s="8"/>
      <c r="D5" s="7"/>
      <c r="E5" s="9"/>
      <c r="F5" s="10"/>
      <c r="G5" s="7"/>
      <c r="H5" s="7"/>
      <c r="I5" s="11"/>
      <c r="J5" s="6"/>
      <c r="K5" s="6"/>
      <c r="L5" s="11"/>
      <c r="M5" s="11"/>
      <c r="N5" s="18"/>
      <c r="O5" s="11" t="s">
        <v>30</v>
      </c>
      <c r="P5" s="21">
        <v>15</v>
      </c>
      <c r="Q5" s="22">
        <f t="shared" ref="Q5:Q7" si="0">P5/3600</f>
        <v>4.1666666666666666E-3</v>
      </c>
      <c r="R5" s="23">
        <v>30</v>
      </c>
      <c r="S5" s="30">
        <f>Q5*R5</f>
        <v>0.125</v>
      </c>
      <c r="T5" s="68"/>
      <c r="U5" s="70"/>
      <c r="V5" s="70"/>
      <c r="W5" s="70"/>
      <c r="X5" s="70"/>
      <c r="Y5" s="112"/>
      <c r="Z5" s="83"/>
      <c r="AA5" s="83"/>
      <c r="AB5" s="84"/>
      <c r="AC5" s="84"/>
      <c r="AD5" s="79"/>
      <c r="AE5" s="79"/>
      <c r="AF5" s="36"/>
    </row>
    <row r="6" spans="1:35" ht="23.4" hidden="1" customHeight="1" x14ac:dyDescent="0.25">
      <c r="A6" s="7"/>
      <c r="B6" s="7"/>
      <c r="C6" s="8"/>
      <c r="D6" s="7"/>
      <c r="E6" s="9"/>
      <c r="F6" s="10"/>
      <c r="G6" s="7"/>
      <c r="H6" s="7"/>
      <c r="I6" s="11"/>
      <c r="J6" s="6"/>
      <c r="K6" s="6"/>
      <c r="L6" s="11"/>
      <c r="M6" s="11"/>
      <c r="N6" s="18"/>
      <c r="O6" s="11" t="s">
        <v>31</v>
      </c>
      <c r="P6" s="21">
        <v>15</v>
      </c>
      <c r="Q6" s="22">
        <f t="shared" ref="Q6" si="1">P6/3600</f>
        <v>4.1666666666666666E-3</v>
      </c>
      <c r="R6" s="23">
        <v>30</v>
      </c>
      <c r="S6" s="30">
        <f>Q6*R6</f>
        <v>0.125</v>
      </c>
      <c r="T6" s="68"/>
      <c r="U6" s="70"/>
      <c r="V6" s="70"/>
      <c r="W6" s="70"/>
      <c r="X6" s="70"/>
      <c r="Y6" s="112"/>
      <c r="Z6" s="83"/>
      <c r="AA6" s="83"/>
      <c r="AB6" s="84"/>
      <c r="AC6" s="84"/>
      <c r="AD6" s="79"/>
      <c r="AE6" s="79"/>
      <c r="AF6" s="36"/>
    </row>
    <row r="7" spans="1:35" ht="23.4" hidden="1" customHeight="1" x14ac:dyDescent="0.25">
      <c r="A7" s="7"/>
      <c r="B7" s="7"/>
      <c r="C7" s="8"/>
      <c r="D7" s="7"/>
      <c r="E7" s="9"/>
      <c r="F7" s="10"/>
      <c r="G7" s="7"/>
      <c r="H7" s="7"/>
      <c r="I7" s="11"/>
      <c r="J7" s="6"/>
      <c r="K7" s="6"/>
      <c r="L7" s="11"/>
      <c r="M7" s="11"/>
      <c r="N7" s="18"/>
      <c r="O7" s="11" t="s">
        <v>32</v>
      </c>
      <c r="P7" s="21">
        <v>30</v>
      </c>
      <c r="Q7" s="22">
        <f t="shared" si="0"/>
        <v>8.3333333333333332E-3</v>
      </c>
      <c r="R7" s="23">
        <v>2</v>
      </c>
      <c r="S7" s="30">
        <f>Q7*R7</f>
        <v>1.6666666666666666E-2</v>
      </c>
      <c r="T7" s="68"/>
      <c r="U7" s="70"/>
      <c r="V7" s="70"/>
      <c r="W7" s="70"/>
      <c r="X7" s="70"/>
      <c r="Y7" s="112"/>
      <c r="Z7" s="83"/>
      <c r="AA7" s="83"/>
      <c r="AB7" s="84"/>
      <c r="AC7" s="84"/>
      <c r="AD7" s="79"/>
      <c r="AE7" s="79"/>
      <c r="AF7" s="36"/>
    </row>
    <row r="8" spans="1:35" s="1" customFormat="1" ht="23.4" hidden="1" customHeight="1" x14ac:dyDescent="0.25">
      <c r="A8" s="12"/>
      <c r="B8" s="12"/>
      <c r="C8" s="13"/>
      <c r="D8" s="12"/>
      <c r="E8" s="14"/>
      <c r="F8" s="15"/>
      <c r="G8" s="12"/>
      <c r="H8" s="61"/>
      <c r="I8" s="75" t="s">
        <v>23</v>
      </c>
      <c r="J8" s="76"/>
      <c r="K8" s="76"/>
      <c r="L8" s="77"/>
      <c r="M8" s="78"/>
      <c r="N8" s="24">
        <f>SUM(N3:N7)</f>
        <v>0.74772977600000001</v>
      </c>
      <c r="O8" s="25"/>
      <c r="P8" s="26"/>
      <c r="Q8" s="25"/>
      <c r="R8" s="27"/>
      <c r="S8" s="31">
        <f>SUM(S3:S7)</f>
        <v>0.5722222222222223</v>
      </c>
      <c r="T8" s="32">
        <f>(N8+S8)*T3</f>
        <v>1.3199519982222224E-2</v>
      </c>
      <c r="U8" s="33">
        <f>(N8+S8)*U3</f>
        <v>2.6399039964444447E-2</v>
      </c>
      <c r="V8" s="33">
        <f>(N8+S8)*V3</f>
        <v>1.3199519982222224E-2</v>
      </c>
      <c r="W8" s="33">
        <f>(N8+S8)*W3</f>
        <v>3.9598559946666667E-2</v>
      </c>
      <c r="X8" s="33">
        <f>(N8+S8)*X3</f>
        <v>6.5997599911111121E-2</v>
      </c>
      <c r="Y8" s="39">
        <f>SUM(N8:X8)</f>
        <v>1.4783462380088888</v>
      </c>
      <c r="Z8" s="40">
        <f t="shared" ref="Z8:AE8" si="2">Z3</f>
        <v>2.58</v>
      </c>
      <c r="AA8" s="40">
        <f t="shared" si="2"/>
        <v>2.2000000000000002</v>
      </c>
      <c r="AB8" s="42">
        <f t="shared" si="2"/>
        <v>2.6548672566371683</v>
      </c>
      <c r="AC8" s="42">
        <f t="shared" si="2"/>
        <v>1.5522635499093334</v>
      </c>
      <c r="AD8" s="37">
        <f t="shared" si="2"/>
        <v>0</v>
      </c>
      <c r="AE8" s="37">
        <f t="shared" si="2"/>
        <v>0</v>
      </c>
      <c r="AF8" s="38"/>
    </row>
    <row r="9" spans="1:35" ht="23.4" hidden="1" customHeight="1" x14ac:dyDescent="0.25">
      <c r="A9" s="7">
        <v>2</v>
      </c>
      <c r="B9" s="7"/>
      <c r="C9" s="16" t="s">
        <v>33</v>
      </c>
      <c r="D9" s="7" t="s">
        <v>25</v>
      </c>
      <c r="E9" s="9" t="s">
        <v>41</v>
      </c>
      <c r="F9" s="10" t="s">
        <v>42</v>
      </c>
      <c r="G9" s="7" t="s">
        <v>26</v>
      </c>
      <c r="H9" s="7"/>
      <c r="I9" s="11" t="s">
        <v>34</v>
      </c>
      <c r="J9" s="6">
        <f>17*17*0.00617*0.0106</f>
        <v>1.8901178000000001E-2</v>
      </c>
      <c r="K9" s="6">
        <v>1.7000000000000001E-2</v>
      </c>
      <c r="L9" s="11">
        <v>5</v>
      </c>
      <c r="M9" s="11">
        <v>1</v>
      </c>
      <c r="N9" s="18">
        <f>L9*J9-(J9-K9)*M9</f>
        <v>9.2604712000000006E-2</v>
      </c>
      <c r="O9" s="11" t="s">
        <v>28</v>
      </c>
      <c r="P9" s="21">
        <v>20</v>
      </c>
      <c r="Q9" s="22">
        <f>P9/3600</f>
        <v>5.5555555555555558E-3</v>
      </c>
      <c r="R9" s="28">
        <v>10</v>
      </c>
      <c r="S9" s="30">
        <f>Q9*R9</f>
        <v>5.5555555555555559E-2</v>
      </c>
      <c r="T9" s="67">
        <v>0.01</v>
      </c>
      <c r="U9" s="69">
        <v>0.02</v>
      </c>
      <c r="V9" s="69">
        <v>0.01</v>
      </c>
      <c r="W9" s="69">
        <v>0.03</v>
      </c>
      <c r="X9" s="69">
        <v>0.05</v>
      </c>
      <c r="Y9" s="71"/>
      <c r="Z9" s="89">
        <v>0.85</v>
      </c>
      <c r="AA9" s="108" t="s">
        <v>49</v>
      </c>
      <c r="AB9" s="95">
        <f>1/1.13</f>
        <v>0.88495575221238942</v>
      </c>
      <c r="AC9" s="95">
        <f>Y15*1.05</f>
        <v>0.61131647464533334</v>
      </c>
      <c r="AD9" s="113"/>
      <c r="AE9" s="113"/>
      <c r="AF9" s="36"/>
    </row>
    <row r="10" spans="1:35" ht="23.4" hidden="1" customHeight="1" x14ac:dyDescent="0.25">
      <c r="A10" s="7"/>
      <c r="B10" s="7"/>
      <c r="C10" s="8"/>
      <c r="D10" s="7"/>
      <c r="E10" s="9"/>
      <c r="F10" s="10"/>
      <c r="G10" s="7"/>
      <c r="H10" s="7"/>
      <c r="I10" s="11"/>
      <c r="J10" s="6"/>
      <c r="K10" s="6"/>
      <c r="L10" s="11"/>
      <c r="M10" s="11"/>
      <c r="N10" s="18"/>
      <c r="O10" s="11" t="s">
        <v>29</v>
      </c>
      <c r="P10" s="21">
        <v>30</v>
      </c>
      <c r="Q10" s="22">
        <f t="shared" ref="Q10:Q14" si="3">P10/3600</f>
        <v>8.3333333333333332E-3</v>
      </c>
      <c r="R10" s="28">
        <v>20</v>
      </c>
      <c r="S10" s="30">
        <f>Q10*R10</f>
        <v>0.16666666666666666</v>
      </c>
      <c r="T10" s="68"/>
      <c r="U10" s="70"/>
      <c r="V10" s="70"/>
      <c r="W10" s="70"/>
      <c r="X10" s="70"/>
      <c r="Y10" s="70"/>
      <c r="Z10" s="90"/>
      <c r="AA10" s="109"/>
      <c r="AB10" s="96"/>
      <c r="AC10" s="96"/>
      <c r="AD10" s="114"/>
      <c r="AE10" s="114"/>
      <c r="AF10" s="36"/>
    </row>
    <row r="11" spans="1:35" ht="23.4" hidden="1" customHeight="1" x14ac:dyDescent="0.25">
      <c r="A11" s="7"/>
      <c r="B11" s="7"/>
      <c r="C11" s="8"/>
      <c r="D11" s="7"/>
      <c r="E11" s="9"/>
      <c r="F11" s="10"/>
      <c r="G11" s="7"/>
      <c r="H11" s="7"/>
      <c r="I11" s="11"/>
      <c r="J11" s="6"/>
      <c r="K11" s="6"/>
      <c r="L11" s="11"/>
      <c r="M11" s="11"/>
      <c r="N11" s="18"/>
      <c r="O11" s="11" t="s">
        <v>30</v>
      </c>
      <c r="P11" s="21">
        <v>15</v>
      </c>
      <c r="Q11" s="22">
        <f t="shared" si="3"/>
        <v>4.1666666666666666E-3</v>
      </c>
      <c r="R11" s="28">
        <v>20</v>
      </c>
      <c r="S11" s="30">
        <f>Q11*R11</f>
        <v>8.3333333333333329E-2</v>
      </c>
      <c r="T11" s="68"/>
      <c r="U11" s="70"/>
      <c r="V11" s="70"/>
      <c r="W11" s="70"/>
      <c r="X11" s="70"/>
      <c r="Y11" s="70"/>
      <c r="Z11" s="90"/>
      <c r="AA11" s="109"/>
      <c r="AB11" s="96"/>
      <c r="AC11" s="96"/>
      <c r="AD11" s="114"/>
      <c r="AE11" s="114"/>
      <c r="AF11" s="36"/>
    </row>
    <row r="12" spans="1:35" ht="23.4" hidden="1" customHeight="1" x14ac:dyDescent="0.25">
      <c r="A12" s="7"/>
      <c r="B12" s="7"/>
      <c r="C12" s="8"/>
      <c r="D12" s="7"/>
      <c r="E12" s="9"/>
      <c r="F12" s="10"/>
      <c r="G12" s="7"/>
      <c r="H12" s="7"/>
      <c r="I12" s="11"/>
      <c r="J12" s="6"/>
      <c r="K12" s="6"/>
      <c r="L12" s="11"/>
      <c r="M12" s="11"/>
      <c r="N12" s="18"/>
      <c r="O12" s="11" t="s">
        <v>31</v>
      </c>
      <c r="P12" s="21">
        <v>15</v>
      </c>
      <c r="Q12" s="22">
        <f t="shared" ref="Q12" si="4">P12/3600</f>
        <v>4.1666666666666666E-3</v>
      </c>
      <c r="R12" s="28">
        <v>15</v>
      </c>
      <c r="S12" s="30">
        <f>Q12*R12</f>
        <v>6.25E-2</v>
      </c>
      <c r="T12" s="68"/>
      <c r="U12" s="70"/>
      <c r="V12" s="70"/>
      <c r="W12" s="70"/>
      <c r="X12" s="70"/>
      <c r="Y12" s="70"/>
      <c r="Z12" s="90"/>
      <c r="AA12" s="109"/>
      <c r="AB12" s="96"/>
      <c r="AC12" s="96"/>
      <c r="AD12" s="114"/>
      <c r="AE12" s="114"/>
      <c r="AF12" s="36"/>
    </row>
    <row r="13" spans="1:35" ht="23.4" hidden="1" customHeight="1" x14ac:dyDescent="0.25">
      <c r="A13" s="7"/>
      <c r="B13" s="7"/>
      <c r="C13" s="8"/>
      <c r="D13" s="7"/>
      <c r="E13" s="9"/>
      <c r="F13" s="10"/>
      <c r="G13" s="7"/>
      <c r="H13" s="7"/>
      <c r="I13" s="11"/>
      <c r="J13" s="6"/>
      <c r="K13" s="6"/>
      <c r="L13" s="11"/>
      <c r="M13" s="11"/>
      <c r="N13" s="18"/>
      <c r="O13" s="11" t="s">
        <v>32</v>
      </c>
      <c r="P13" s="21">
        <v>30</v>
      </c>
      <c r="Q13" s="22">
        <f t="shared" si="3"/>
        <v>8.3333333333333332E-3</v>
      </c>
      <c r="R13" s="28">
        <v>2</v>
      </c>
      <c r="S13" s="30">
        <f>Q13*R13</f>
        <v>1.6666666666666666E-2</v>
      </c>
      <c r="T13" s="68"/>
      <c r="U13" s="70"/>
      <c r="V13" s="70"/>
      <c r="W13" s="70"/>
      <c r="X13" s="70"/>
      <c r="Y13" s="70"/>
      <c r="Z13" s="90"/>
      <c r="AA13" s="109"/>
      <c r="AB13" s="96"/>
      <c r="AC13" s="96"/>
      <c r="AD13" s="114"/>
      <c r="AE13" s="114"/>
      <c r="AF13" s="36"/>
    </row>
    <row r="14" spans="1:35" ht="23.4" hidden="1" customHeight="1" x14ac:dyDescent="0.25">
      <c r="A14" s="7"/>
      <c r="B14" s="7"/>
      <c r="C14" s="8"/>
      <c r="D14" s="7"/>
      <c r="E14" s="9"/>
      <c r="F14" s="10"/>
      <c r="G14" s="7"/>
      <c r="H14" s="7"/>
      <c r="I14" s="11"/>
      <c r="J14" s="6"/>
      <c r="K14" s="6"/>
      <c r="L14" s="11"/>
      <c r="M14" s="11"/>
      <c r="N14" s="18"/>
      <c r="O14" s="11" t="s">
        <v>35</v>
      </c>
      <c r="P14" s="21">
        <v>2.5</v>
      </c>
      <c r="Q14" s="22">
        <f t="shared" si="3"/>
        <v>6.9444444444444447E-4</v>
      </c>
      <c r="R14" s="28"/>
      <c r="S14" s="30">
        <f>P14*K9</f>
        <v>4.2500000000000003E-2</v>
      </c>
      <c r="T14" s="68"/>
      <c r="U14" s="70"/>
      <c r="V14" s="70"/>
      <c r="W14" s="70"/>
      <c r="X14" s="70"/>
      <c r="Y14" s="70"/>
      <c r="Z14" s="91"/>
      <c r="AA14" s="110"/>
      <c r="AB14" s="97"/>
      <c r="AC14" s="97"/>
      <c r="AD14" s="115"/>
      <c r="AE14" s="115"/>
      <c r="AF14" s="36"/>
    </row>
    <row r="15" spans="1:35" s="1" customFormat="1" ht="42" hidden="1" customHeight="1" x14ac:dyDescent="0.25">
      <c r="A15" s="12"/>
      <c r="B15" s="12"/>
      <c r="C15" s="13"/>
      <c r="D15" s="12"/>
      <c r="E15" s="14"/>
      <c r="F15" s="15"/>
      <c r="G15" s="12"/>
      <c r="H15" s="61"/>
      <c r="I15" s="75" t="s">
        <v>23</v>
      </c>
      <c r="J15" s="76"/>
      <c r="K15" s="76"/>
      <c r="L15" s="77"/>
      <c r="M15" s="78"/>
      <c r="N15" s="24">
        <f>SUM(N9:N14)</f>
        <v>9.2604712000000006E-2</v>
      </c>
      <c r="O15" s="25"/>
      <c r="P15" s="26"/>
      <c r="Q15" s="25"/>
      <c r="R15" s="27"/>
      <c r="S15" s="31">
        <f>SUM(S9:S14)</f>
        <v>0.42722222222222217</v>
      </c>
      <c r="T15" s="32">
        <f>(N15+S15)*T9</f>
        <v>5.1982693422222212E-3</v>
      </c>
      <c r="U15" s="33">
        <f>(N15+S15)*U9</f>
        <v>1.0396538684444442E-2</v>
      </c>
      <c r="V15" s="33">
        <f>(N15+S15)*V9</f>
        <v>5.1982693422222212E-3</v>
      </c>
      <c r="W15" s="33">
        <f>(N15+S15)*W9</f>
        <v>1.5594808026666664E-2</v>
      </c>
      <c r="X15" s="33">
        <f>(N15+S15)*X9</f>
        <v>2.5991346711111109E-2</v>
      </c>
      <c r="Y15" s="39">
        <f>SUM(N15:X15)</f>
        <v>0.58220616632888889</v>
      </c>
      <c r="Z15" s="40">
        <f t="shared" ref="Z15:AE15" si="5">Z9</f>
        <v>0.85</v>
      </c>
      <c r="AA15" s="41" t="str">
        <f t="shared" si="5"/>
        <v>0.6(机加工)
0.45（冷镦，单次5万件起订）</v>
      </c>
      <c r="AB15" s="42">
        <f t="shared" si="5"/>
        <v>0.88495575221238942</v>
      </c>
      <c r="AC15" s="42">
        <f t="shared" si="5"/>
        <v>0.61131647464533334</v>
      </c>
      <c r="AD15" s="37">
        <f t="shared" si="5"/>
        <v>0</v>
      </c>
      <c r="AE15" s="37">
        <f t="shared" si="5"/>
        <v>0</v>
      </c>
      <c r="AF15" s="38"/>
    </row>
    <row r="16" spans="1:35" ht="23.4" hidden="1" customHeight="1" x14ac:dyDescent="0.25">
      <c r="A16" s="7">
        <v>3</v>
      </c>
      <c r="B16" s="7"/>
      <c r="C16" s="16" t="s">
        <v>36</v>
      </c>
      <c r="D16" s="7" t="s">
        <v>25</v>
      </c>
      <c r="E16" s="9" t="s">
        <v>43</v>
      </c>
      <c r="F16" s="10" t="s">
        <v>44</v>
      </c>
      <c r="G16" s="7" t="s">
        <v>26</v>
      </c>
      <c r="H16" s="7"/>
      <c r="I16" s="11" t="s">
        <v>37</v>
      </c>
      <c r="J16" s="6">
        <v>2.5000000000000001E-2</v>
      </c>
      <c r="K16" s="6">
        <v>2.5000000000000001E-2</v>
      </c>
      <c r="L16" s="11">
        <v>5</v>
      </c>
      <c r="M16" s="11">
        <v>1</v>
      </c>
      <c r="N16" s="18">
        <f>L16*J16-(J16-K16)*M16</f>
        <v>0.125</v>
      </c>
      <c r="O16" s="11" t="s">
        <v>28</v>
      </c>
      <c r="P16" s="21">
        <v>20</v>
      </c>
      <c r="Q16" s="22">
        <f>P16/3600</f>
        <v>5.5555555555555558E-3</v>
      </c>
      <c r="R16" s="28">
        <v>10</v>
      </c>
      <c r="S16" s="30">
        <f>Q16*R16</f>
        <v>5.5555555555555559E-2</v>
      </c>
      <c r="T16" s="67">
        <v>0.01</v>
      </c>
      <c r="U16" s="69">
        <v>0.02</v>
      </c>
      <c r="V16" s="69">
        <v>0.01</v>
      </c>
      <c r="W16" s="69">
        <v>0.03</v>
      </c>
      <c r="X16" s="69">
        <v>0.05</v>
      </c>
      <c r="Y16" s="71"/>
      <c r="Z16" s="92">
        <v>1</v>
      </c>
      <c r="AA16" s="92">
        <v>1</v>
      </c>
      <c r="AB16" s="95">
        <v>0.8</v>
      </c>
      <c r="AC16" s="95">
        <v>0.4</v>
      </c>
      <c r="AD16" s="113"/>
      <c r="AE16" s="113"/>
      <c r="AF16" s="36"/>
      <c r="AI16" s="86" t="s">
        <v>38</v>
      </c>
    </row>
    <row r="17" spans="1:39" ht="23.4" hidden="1" customHeight="1" x14ac:dyDescent="0.25">
      <c r="A17" s="7"/>
      <c r="B17" s="7"/>
      <c r="C17" s="8"/>
      <c r="D17" s="7"/>
      <c r="E17" s="9"/>
      <c r="F17" s="10"/>
      <c r="G17" s="7"/>
      <c r="H17" s="7"/>
      <c r="I17" s="45" t="s">
        <v>52</v>
      </c>
      <c r="J17" s="6"/>
      <c r="K17" s="6"/>
      <c r="L17" s="11"/>
      <c r="M17" s="11"/>
      <c r="N17" s="18"/>
      <c r="O17" s="11" t="s">
        <v>30</v>
      </c>
      <c r="P17" s="21">
        <v>15</v>
      </c>
      <c r="Q17" s="22">
        <f t="shared" ref="Q17:Q18" si="6">P17/3600</f>
        <v>4.1666666666666666E-3</v>
      </c>
      <c r="R17" s="28">
        <v>20</v>
      </c>
      <c r="S17" s="30">
        <f>Q17*R17</f>
        <v>8.3333333333333329E-2</v>
      </c>
      <c r="T17" s="68"/>
      <c r="U17" s="70"/>
      <c r="V17" s="70"/>
      <c r="W17" s="70"/>
      <c r="X17" s="70"/>
      <c r="Y17" s="70"/>
      <c r="Z17" s="93"/>
      <c r="AA17" s="93"/>
      <c r="AB17" s="96"/>
      <c r="AC17" s="96"/>
      <c r="AD17" s="114"/>
      <c r="AE17" s="114"/>
      <c r="AF17" s="36"/>
      <c r="AI17" s="86"/>
      <c r="AM17" s="43" t="s">
        <v>50</v>
      </c>
    </row>
    <row r="18" spans="1:39" ht="23.4" hidden="1" customHeight="1" x14ac:dyDescent="0.25">
      <c r="A18" s="7"/>
      <c r="B18" s="7"/>
      <c r="C18" s="8"/>
      <c r="D18" s="7"/>
      <c r="E18" s="9"/>
      <c r="F18" s="10"/>
      <c r="G18" s="7"/>
      <c r="H18" s="7"/>
      <c r="I18" s="11"/>
      <c r="J18" s="6"/>
      <c r="K18" s="6"/>
      <c r="L18" s="11"/>
      <c r="M18" s="11"/>
      <c r="N18" s="18"/>
      <c r="O18" s="11" t="s">
        <v>32</v>
      </c>
      <c r="P18" s="21">
        <v>30</v>
      </c>
      <c r="Q18" s="22">
        <f t="shared" si="6"/>
        <v>8.3333333333333332E-3</v>
      </c>
      <c r="R18" s="28">
        <v>2</v>
      </c>
      <c r="S18" s="30">
        <f>Q18*R18</f>
        <v>1.6666666666666666E-2</v>
      </c>
      <c r="T18" s="68"/>
      <c r="U18" s="70"/>
      <c r="V18" s="70"/>
      <c r="W18" s="70"/>
      <c r="X18" s="70"/>
      <c r="Y18" s="70"/>
      <c r="Z18" s="93"/>
      <c r="AA18" s="93"/>
      <c r="AB18" s="96"/>
      <c r="AC18" s="96"/>
      <c r="AD18" s="114"/>
      <c r="AE18" s="114"/>
      <c r="AF18" s="36"/>
      <c r="AI18" s="86"/>
    </row>
    <row r="19" spans="1:39" s="1" customFormat="1" ht="23.4" hidden="1" customHeight="1" x14ac:dyDescent="0.25">
      <c r="A19" s="12"/>
      <c r="B19" s="12"/>
      <c r="C19" s="13"/>
      <c r="D19" s="12"/>
      <c r="E19" s="14"/>
      <c r="F19" s="15"/>
      <c r="G19" s="12"/>
      <c r="H19" s="61"/>
      <c r="I19" s="75" t="s">
        <v>23</v>
      </c>
      <c r="J19" s="76"/>
      <c r="K19" s="76"/>
      <c r="L19" s="77"/>
      <c r="M19" s="78"/>
      <c r="N19" s="24">
        <f>SUM(N16:N18)</f>
        <v>0.125</v>
      </c>
      <c r="O19" s="25"/>
      <c r="P19" s="26"/>
      <c r="Q19" s="25"/>
      <c r="R19" s="27"/>
      <c r="S19" s="31">
        <f>SUM(S16:S18)</f>
        <v>0.15555555555555556</v>
      </c>
      <c r="T19" s="32">
        <f>(N19+S19)*T16</f>
        <v>2.8055555555555555E-3</v>
      </c>
      <c r="U19" s="33">
        <f>(N19+S19)*U16</f>
        <v>5.611111111111111E-3</v>
      </c>
      <c r="V19" s="33">
        <f>(N19+S19)*V16</f>
        <v>2.8055555555555555E-3</v>
      </c>
      <c r="W19" s="33">
        <f>(N19+S19)*W16</f>
        <v>8.416666666666666E-3</v>
      </c>
      <c r="X19" s="33">
        <f>(N19+S19)*X16</f>
        <v>1.4027777777777778E-2</v>
      </c>
      <c r="Y19" s="39">
        <f>SUM(N19:X19)</f>
        <v>0.31422222222222229</v>
      </c>
      <c r="Z19" s="40">
        <f t="shared" ref="Z19:AE19" si="7">Z16</f>
        <v>1</v>
      </c>
      <c r="AA19" s="40">
        <f t="shared" si="7"/>
        <v>1</v>
      </c>
      <c r="AB19" s="42">
        <f t="shared" si="7"/>
        <v>0.8</v>
      </c>
      <c r="AC19" s="42">
        <f t="shared" si="7"/>
        <v>0.4</v>
      </c>
      <c r="AD19" s="37">
        <f t="shared" si="7"/>
        <v>0</v>
      </c>
      <c r="AE19" s="37">
        <f t="shared" si="7"/>
        <v>0</v>
      </c>
      <c r="AF19" s="38"/>
    </row>
    <row r="20" spans="1:39" ht="23.4" hidden="1" customHeight="1" x14ac:dyDescent="0.25">
      <c r="A20" s="7">
        <v>1</v>
      </c>
      <c r="B20" s="7"/>
      <c r="C20" s="8" t="s">
        <v>53</v>
      </c>
      <c r="D20" s="7" t="s">
        <v>25</v>
      </c>
      <c r="E20" s="9" t="s">
        <v>54</v>
      </c>
      <c r="F20" s="10" t="s">
        <v>55</v>
      </c>
      <c r="G20" s="7" t="s">
        <v>26</v>
      </c>
      <c r="H20" s="7"/>
      <c r="I20" s="45" t="s">
        <v>56</v>
      </c>
      <c r="J20" s="6">
        <f>18*18*0.00617*0.035</f>
        <v>6.9967800000000011E-2</v>
      </c>
      <c r="K20" s="6">
        <v>2.5000000000000001E-2</v>
      </c>
      <c r="L20" s="11">
        <v>5</v>
      </c>
      <c r="M20" s="11">
        <v>1</v>
      </c>
      <c r="N20" s="18">
        <f>L20*J20-(J20-K20)*M20</f>
        <v>0.30487120000000006</v>
      </c>
      <c r="O20" s="11" t="s">
        <v>28</v>
      </c>
      <c r="P20" s="49">
        <v>20</v>
      </c>
      <c r="Q20" s="22">
        <f>P20/3600</f>
        <v>5.5555555555555558E-3</v>
      </c>
      <c r="R20" s="23">
        <v>10</v>
      </c>
      <c r="S20" s="50">
        <f>Q20*R20</f>
        <v>5.5555555555555559E-2</v>
      </c>
      <c r="T20" s="81">
        <v>0.01</v>
      </c>
      <c r="U20" s="81">
        <v>0.02</v>
      </c>
      <c r="V20" s="81">
        <v>0.01</v>
      </c>
      <c r="W20" s="81">
        <v>0.03</v>
      </c>
      <c r="X20" s="81">
        <v>0.05</v>
      </c>
      <c r="Y20" s="82"/>
      <c r="Z20" s="83"/>
      <c r="AA20" s="83"/>
      <c r="AB20" s="84"/>
      <c r="AC20" s="84"/>
      <c r="AD20" s="79"/>
      <c r="AE20" s="79"/>
      <c r="AF20" s="36"/>
    </row>
    <row r="21" spans="1:39" ht="23.4" hidden="1" customHeight="1" x14ac:dyDescent="0.25">
      <c r="A21" s="7"/>
      <c r="B21" s="7"/>
      <c r="C21" s="8"/>
      <c r="D21" s="7"/>
      <c r="E21" s="9"/>
      <c r="F21" s="10"/>
      <c r="G21" s="7"/>
      <c r="H21" s="7"/>
      <c r="I21" s="11"/>
      <c r="J21" s="6"/>
      <c r="K21" s="6"/>
      <c r="L21" s="11"/>
      <c r="M21" s="11"/>
      <c r="N21" s="18"/>
      <c r="O21" s="11" t="s">
        <v>29</v>
      </c>
      <c r="P21" s="49">
        <v>30</v>
      </c>
      <c r="Q21" s="22">
        <f>P21/3600</f>
        <v>8.3333333333333332E-3</v>
      </c>
      <c r="R21" s="23">
        <v>20</v>
      </c>
      <c r="S21" s="50">
        <f>Q21*R21</f>
        <v>0.16666666666666666</v>
      </c>
      <c r="T21" s="82"/>
      <c r="U21" s="82"/>
      <c r="V21" s="82"/>
      <c r="W21" s="82"/>
      <c r="X21" s="82"/>
      <c r="Y21" s="82"/>
      <c r="Z21" s="83"/>
      <c r="AA21" s="83"/>
      <c r="AB21" s="84"/>
      <c r="AC21" s="84"/>
      <c r="AD21" s="79"/>
      <c r="AE21" s="79"/>
      <c r="AF21" s="36"/>
    </row>
    <row r="22" spans="1:39" ht="23.4" hidden="1" customHeight="1" x14ac:dyDescent="0.25">
      <c r="A22" s="7"/>
      <c r="B22" s="7"/>
      <c r="C22" s="8"/>
      <c r="D22" s="7"/>
      <c r="E22" s="9"/>
      <c r="F22" s="10"/>
      <c r="G22" s="7"/>
      <c r="H22" s="7"/>
      <c r="I22" s="11"/>
      <c r="J22" s="6"/>
      <c r="K22" s="6"/>
      <c r="L22" s="11"/>
      <c r="M22" s="11"/>
      <c r="N22" s="18"/>
      <c r="O22" s="11" t="s">
        <v>30</v>
      </c>
      <c r="P22" s="49">
        <v>15</v>
      </c>
      <c r="Q22" s="22">
        <f t="shared" ref="Q22:Q24" si="8">P22/3600</f>
        <v>4.1666666666666666E-3</v>
      </c>
      <c r="R22" s="23">
        <v>20</v>
      </c>
      <c r="S22" s="50">
        <f>Q22*R22</f>
        <v>8.3333333333333329E-2</v>
      </c>
      <c r="T22" s="82"/>
      <c r="U22" s="82"/>
      <c r="V22" s="82"/>
      <c r="W22" s="82"/>
      <c r="X22" s="82"/>
      <c r="Y22" s="82"/>
      <c r="Z22" s="83"/>
      <c r="AA22" s="83"/>
      <c r="AB22" s="84"/>
      <c r="AC22" s="84"/>
      <c r="AD22" s="79"/>
      <c r="AE22" s="79"/>
      <c r="AF22" s="36"/>
    </row>
    <row r="23" spans="1:39" ht="23.4" hidden="1" customHeight="1" x14ac:dyDescent="0.25">
      <c r="A23" s="7"/>
      <c r="B23" s="7"/>
      <c r="C23" s="8"/>
      <c r="D23" s="7"/>
      <c r="E23" s="9"/>
      <c r="F23" s="10"/>
      <c r="G23" s="7"/>
      <c r="H23" s="7"/>
      <c r="I23" s="11"/>
      <c r="J23" s="6"/>
      <c r="K23" s="6"/>
      <c r="L23" s="11"/>
      <c r="M23" s="11"/>
      <c r="N23" s="18"/>
      <c r="O23" s="45" t="s">
        <v>57</v>
      </c>
      <c r="P23" s="49">
        <v>15</v>
      </c>
      <c r="Q23" s="22">
        <f t="shared" ref="Q23" si="9">P23/3600</f>
        <v>4.1666666666666666E-3</v>
      </c>
      <c r="R23" s="23">
        <v>10</v>
      </c>
      <c r="S23" s="50">
        <f>Q23*R23</f>
        <v>4.1666666666666664E-2</v>
      </c>
      <c r="T23" s="82"/>
      <c r="U23" s="82"/>
      <c r="V23" s="82"/>
      <c r="W23" s="82"/>
      <c r="X23" s="82"/>
      <c r="Y23" s="82"/>
      <c r="Z23" s="83"/>
      <c r="AA23" s="83"/>
      <c r="AB23" s="84"/>
      <c r="AC23" s="84"/>
      <c r="AD23" s="79"/>
      <c r="AE23" s="79"/>
      <c r="AF23" s="36"/>
    </row>
    <row r="24" spans="1:39" ht="23.4" hidden="1" customHeight="1" x14ac:dyDescent="0.25">
      <c r="A24" s="7"/>
      <c r="B24" s="7"/>
      <c r="C24" s="8"/>
      <c r="D24" s="7"/>
      <c r="E24" s="9"/>
      <c r="F24" s="10"/>
      <c r="G24" s="7"/>
      <c r="H24" s="7"/>
      <c r="I24" s="11"/>
      <c r="J24" s="6"/>
      <c r="K24" s="6"/>
      <c r="L24" s="11"/>
      <c r="M24" s="11"/>
      <c r="N24" s="18"/>
      <c r="O24" s="11" t="s">
        <v>32</v>
      </c>
      <c r="P24" s="49">
        <v>30</v>
      </c>
      <c r="Q24" s="22">
        <f t="shared" si="8"/>
        <v>8.3333333333333332E-3</v>
      </c>
      <c r="R24" s="23">
        <v>2</v>
      </c>
      <c r="S24" s="50">
        <f>Q24*R24</f>
        <v>1.6666666666666666E-2</v>
      </c>
      <c r="T24" s="82"/>
      <c r="U24" s="82"/>
      <c r="V24" s="82"/>
      <c r="W24" s="82"/>
      <c r="X24" s="82"/>
      <c r="Y24" s="82"/>
      <c r="Z24" s="83"/>
      <c r="AA24" s="83"/>
      <c r="AB24" s="84"/>
      <c r="AC24" s="84"/>
      <c r="AD24" s="79"/>
      <c r="AE24" s="79"/>
      <c r="AF24" s="36"/>
    </row>
    <row r="25" spans="1:39" s="1" customFormat="1" ht="23.4" hidden="1" customHeight="1" x14ac:dyDescent="0.25">
      <c r="A25" s="12"/>
      <c r="B25" s="12"/>
      <c r="C25" s="13"/>
      <c r="D25" s="12"/>
      <c r="E25" s="14"/>
      <c r="F25" s="15"/>
      <c r="G25" s="12"/>
      <c r="H25" s="61"/>
      <c r="I25" s="75" t="s">
        <v>23</v>
      </c>
      <c r="J25" s="76"/>
      <c r="K25" s="76"/>
      <c r="L25" s="77"/>
      <c r="M25" s="78"/>
      <c r="N25" s="24">
        <f>SUM(N20:N24)</f>
        <v>0.30487120000000006</v>
      </c>
      <c r="O25" s="25"/>
      <c r="P25" s="26"/>
      <c r="Q25" s="25"/>
      <c r="R25" s="27"/>
      <c r="S25" s="31">
        <f>SUM(S20:S24)</f>
        <v>0.36388888888888887</v>
      </c>
      <c r="T25" s="32">
        <f>(N25+S25)*T20</f>
        <v>6.6876008888888897E-3</v>
      </c>
      <c r="U25" s="33">
        <f>(N25+S25)*U20</f>
        <v>1.3375201777777779E-2</v>
      </c>
      <c r="V25" s="33">
        <f>(N25+S25)*V20</f>
        <v>6.6876008888888897E-3</v>
      </c>
      <c r="W25" s="33">
        <f>(N25+S25)*W20</f>
        <v>2.0062802666666667E-2</v>
      </c>
      <c r="X25" s="51">
        <f>(N25+S25)*X20</f>
        <v>3.3438004444444447E-2</v>
      </c>
      <c r="Y25" s="39">
        <f>SUM(N25:X25)</f>
        <v>0.74901129955555557</v>
      </c>
      <c r="Z25" s="40">
        <f t="shared" ref="Z25:AE25" si="10">Z22</f>
        <v>0</v>
      </c>
      <c r="AA25" s="40">
        <f t="shared" si="10"/>
        <v>0</v>
      </c>
      <c r="AB25" s="42">
        <f t="shared" si="10"/>
        <v>0</v>
      </c>
      <c r="AC25" s="42">
        <f t="shared" si="10"/>
        <v>0</v>
      </c>
      <c r="AD25" s="37">
        <f t="shared" si="10"/>
        <v>0</v>
      </c>
      <c r="AE25" s="37">
        <f t="shared" si="10"/>
        <v>0</v>
      </c>
      <c r="AF25" s="38"/>
    </row>
    <row r="26" spans="1:39" ht="23.4" hidden="1" customHeight="1" x14ac:dyDescent="0.25">
      <c r="A26" s="7">
        <v>1</v>
      </c>
      <c r="B26" s="7"/>
      <c r="C26" s="8" t="s">
        <v>53</v>
      </c>
      <c r="D26" s="7" t="s">
        <v>25</v>
      </c>
      <c r="E26" s="9" t="s">
        <v>58</v>
      </c>
      <c r="F26" s="10" t="s">
        <v>59</v>
      </c>
      <c r="G26" s="7" t="s">
        <v>26</v>
      </c>
      <c r="H26" s="7"/>
      <c r="I26" s="45" t="s">
        <v>60</v>
      </c>
      <c r="J26" s="6">
        <f>28*28*0.00617*0.0375</f>
        <v>0.18139799999999998</v>
      </c>
      <c r="K26" s="6">
        <v>0.14199999999999999</v>
      </c>
      <c r="L26" s="11">
        <v>5</v>
      </c>
      <c r="M26" s="11">
        <v>1</v>
      </c>
      <c r="N26" s="18">
        <f>L26*J26-(J26-K26)*M26</f>
        <v>0.86759199999999992</v>
      </c>
      <c r="O26" s="11" t="s">
        <v>28</v>
      </c>
      <c r="P26" s="49">
        <v>20</v>
      </c>
      <c r="Q26" s="22">
        <f>P26/3600</f>
        <v>5.5555555555555558E-3</v>
      </c>
      <c r="R26" s="23">
        <v>10</v>
      </c>
      <c r="S26" s="50">
        <f>Q26*R26</f>
        <v>5.5555555555555559E-2</v>
      </c>
      <c r="T26" s="81">
        <v>0.01</v>
      </c>
      <c r="U26" s="81">
        <v>0.02</v>
      </c>
      <c r="V26" s="81">
        <v>0.01</v>
      </c>
      <c r="W26" s="81">
        <v>0.03</v>
      </c>
      <c r="X26" s="81">
        <v>0.05</v>
      </c>
      <c r="Y26" s="82"/>
      <c r="Z26" s="83"/>
      <c r="AA26" s="83"/>
      <c r="AB26" s="84"/>
      <c r="AC26" s="84"/>
      <c r="AD26" s="79"/>
      <c r="AE26" s="79"/>
      <c r="AF26" s="36"/>
    </row>
    <row r="27" spans="1:39" ht="23.4" hidden="1" customHeight="1" x14ac:dyDescent="0.25">
      <c r="A27" s="7"/>
      <c r="B27" s="7"/>
      <c r="C27" s="8"/>
      <c r="D27" s="7"/>
      <c r="E27" s="9"/>
      <c r="F27" s="10"/>
      <c r="G27" s="7"/>
      <c r="H27" s="7"/>
      <c r="I27" s="11"/>
      <c r="J27" s="6"/>
      <c r="K27" s="6"/>
      <c r="L27" s="11"/>
      <c r="M27" s="11"/>
      <c r="N27" s="18"/>
      <c r="O27" s="11" t="s">
        <v>30</v>
      </c>
      <c r="P27" s="49">
        <v>15</v>
      </c>
      <c r="Q27" s="22">
        <f t="shared" ref="Q27:Q29" si="11">P27/3600</f>
        <v>4.1666666666666666E-3</v>
      </c>
      <c r="R27" s="23">
        <v>20</v>
      </c>
      <c r="S27" s="50">
        <f>Q27*R27</f>
        <v>8.3333333333333329E-2</v>
      </c>
      <c r="T27" s="82"/>
      <c r="U27" s="82"/>
      <c r="V27" s="82"/>
      <c r="W27" s="82"/>
      <c r="X27" s="82"/>
      <c r="Y27" s="82"/>
      <c r="Z27" s="83"/>
      <c r="AA27" s="83"/>
      <c r="AB27" s="84"/>
      <c r="AC27" s="84"/>
      <c r="AD27" s="79"/>
      <c r="AE27" s="79"/>
      <c r="AF27" s="36"/>
    </row>
    <row r="28" spans="1:39" ht="23.4" hidden="1" customHeight="1" x14ac:dyDescent="0.25">
      <c r="A28" s="7"/>
      <c r="B28" s="7"/>
      <c r="C28" s="8"/>
      <c r="D28" s="7"/>
      <c r="E28" s="9"/>
      <c r="F28" s="10"/>
      <c r="G28" s="7"/>
      <c r="H28" s="7"/>
      <c r="I28" s="11"/>
      <c r="J28" s="6"/>
      <c r="K28" s="6"/>
      <c r="L28" s="11"/>
      <c r="M28" s="11"/>
      <c r="N28" s="18"/>
      <c r="O28" s="45" t="s">
        <v>57</v>
      </c>
      <c r="P28" s="49">
        <v>15</v>
      </c>
      <c r="Q28" s="22">
        <f t="shared" si="11"/>
        <v>4.1666666666666666E-3</v>
      </c>
      <c r="R28" s="23">
        <v>10</v>
      </c>
      <c r="S28" s="50">
        <f>Q28*R28</f>
        <v>4.1666666666666664E-2</v>
      </c>
      <c r="T28" s="82"/>
      <c r="U28" s="82"/>
      <c r="V28" s="82"/>
      <c r="W28" s="82"/>
      <c r="X28" s="82"/>
      <c r="Y28" s="82"/>
      <c r="Z28" s="83"/>
      <c r="AA28" s="83"/>
      <c r="AB28" s="84"/>
      <c r="AC28" s="84"/>
      <c r="AD28" s="79"/>
      <c r="AE28" s="79"/>
      <c r="AF28" s="36"/>
    </row>
    <row r="29" spans="1:39" ht="23.4" hidden="1" customHeight="1" x14ac:dyDescent="0.25">
      <c r="A29" s="7"/>
      <c r="B29" s="7"/>
      <c r="C29" s="8"/>
      <c r="D29" s="7"/>
      <c r="E29" s="9"/>
      <c r="F29" s="10"/>
      <c r="G29" s="7"/>
      <c r="H29" s="7"/>
      <c r="I29" s="11"/>
      <c r="J29" s="6"/>
      <c r="K29" s="6"/>
      <c r="L29" s="11"/>
      <c r="M29" s="11"/>
      <c r="N29" s="18"/>
      <c r="O29" s="11" t="s">
        <v>32</v>
      </c>
      <c r="P29" s="49">
        <v>30</v>
      </c>
      <c r="Q29" s="22">
        <f t="shared" si="11"/>
        <v>8.3333333333333332E-3</v>
      </c>
      <c r="R29" s="23">
        <v>2</v>
      </c>
      <c r="S29" s="50">
        <f>Q29*R29</f>
        <v>1.6666666666666666E-2</v>
      </c>
      <c r="T29" s="82"/>
      <c r="U29" s="82"/>
      <c r="V29" s="82"/>
      <c r="W29" s="82"/>
      <c r="X29" s="82"/>
      <c r="Y29" s="82"/>
      <c r="Z29" s="83"/>
      <c r="AA29" s="83"/>
      <c r="AB29" s="84"/>
      <c r="AC29" s="84"/>
      <c r="AD29" s="79"/>
      <c r="AE29" s="79"/>
      <c r="AF29" s="36"/>
    </row>
    <row r="30" spans="1:39" s="1" customFormat="1" ht="23.4" hidden="1" customHeight="1" x14ac:dyDescent="0.25">
      <c r="A30" s="12"/>
      <c r="B30" s="12"/>
      <c r="C30" s="13"/>
      <c r="D30" s="12"/>
      <c r="E30" s="14"/>
      <c r="F30" s="15"/>
      <c r="G30" s="12"/>
      <c r="H30" s="61"/>
      <c r="I30" s="75" t="s">
        <v>23</v>
      </c>
      <c r="J30" s="76"/>
      <c r="K30" s="76"/>
      <c r="L30" s="77"/>
      <c r="M30" s="78"/>
      <c r="N30" s="24">
        <f>SUM(N26:N29)</f>
        <v>0.86759199999999992</v>
      </c>
      <c r="O30" s="25"/>
      <c r="P30" s="26"/>
      <c r="Q30" s="25"/>
      <c r="R30" s="27"/>
      <c r="S30" s="31">
        <f>SUM(S26:S29)</f>
        <v>0.19722222222222222</v>
      </c>
      <c r="T30" s="32">
        <f>(N30+S30)*T26</f>
        <v>1.0648142222222221E-2</v>
      </c>
      <c r="U30" s="33">
        <f>(N30+S30)*U26</f>
        <v>2.1296284444444442E-2</v>
      </c>
      <c r="V30" s="33">
        <f>(N30+S30)*V26</f>
        <v>1.0648142222222221E-2</v>
      </c>
      <c r="W30" s="33">
        <f>(N30+S30)*W26</f>
        <v>3.1944426666666664E-2</v>
      </c>
      <c r="X30" s="51">
        <f>(N30+S30)*X26</f>
        <v>5.3240711111111109E-2</v>
      </c>
      <c r="Y30" s="39">
        <f>SUM(N30:X30)</f>
        <v>1.1925919288888887</v>
      </c>
      <c r="Z30" s="40">
        <f t="shared" ref="Z30:AE30" si="12">Z27</f>
        <v>0</v>
      </c>
      <c r="AA30" s="40">
        <f t="shared" si="12"/>
        <v>0</v>
      </c>
      <c r="AB30" s="42">
        <f t="shared" si="12"/>
        <v>0</v>
      </c>
      <c r="AC30" s="42">
        <f t="shared" si="12"/>
        <v>0</v>
      </c>
      <c r="AD30" s="37">
        <f t="shared" si="12"/>
        <v>0</v>
      </c>
      <c r="AE30" s="37">
        <f t="shared" si="12"/>
        <v>0</v>
      </c>
      <c r="AF30" s="38"/>
    </row>
    <row r="31" spans="1:39" ht="23.4" hidden="1" customHeight="1" x14ac:dyDescent="0.25">
      <c r="A31" s="7">
        <v>1</v>
      </c>
      <c r="B31" s="7"/>
      <c r="C31" s="8" t="s">
        <v>53</v>
      </c>
      <c r="D31" s="7" t="s">
        <v>25</v>
      </c>
      <c r="E31" s="9" t="s">
        <v>61</v>
      </c>
      <c r="F31" s="10" t="s">
        <v>62</v>
      </c>
      <c r="G31" s="7" t="s">
        <v>26</v>
      </c>
      <c r="H31" s="7"/>
      <c r="I31" s="45" t="s">
        <v>60</v>
      </c>
      <c r="J31" s="6">
        <f>28*28*0.00617*0.0375</f>
        <v>0.18139799999999998</v>
      </c>
      <c r="K31" s="6">
        <v>0.1173</v>
      </c>
      <c r="L31" s="11">
        <v>5</v>
      </c>
      <c r="M31" s="11">
        <v>1</v>
      </c>
      <c r="N31" s="18">
        <f>L31*J31-(J31-K31)*M31</f>
        <v>0.84289199999999986</v>
      </c>
      <c r="O31" s="11" t="s">
        <v>28</v>
      </c>
      <c r="P31" s="49">
        <v>20</v>
      </c>
      <c r="Q31" s="22">
        <f>P31/3600</f>
        <v>5.5555555555555558E-3</v>
      </c>
      <c r="R31" s="23">
        <v>10</v>
      </c>
      <c r="S31" s="50">
        <f>Q31*R31</f>
        <v>5.5555555555555559E-2</v>
      </c>
      <c r="T31" s="81">
        <v>0.01</v>
      </c>
      <c r="U31" s="81">
        <v>0.02</v>
      </c>
      <c r="V31" s="81">
        <v>0.01</v>
      </c>
      <c r="W31" s="81">
        <v>0.03</v>
      </c>
      <c r="X31" s="81">
        <v>0.05</v>
      </c>
      <c r="Y31" s="82"/>
      <c r="Z31" s="83"/>
      <c r="AA31" s="83"/>
      <c r="AB31" s="84"/>
      <c r="AC31" s="84"/>
      <c r="AD31" s="79"/>
      <c r="AE31" s="79"/>
      <c r="AF31" s="36"/>
    </row>
    <row r="32" spans="1:39" ht="23.4" hidden="1" customHeight="1" x14ac:dyDescent="0.25">
      <c r="A32" s="7"/>
      <c r="B32" s="7"/>
      <c r="C32" s="8"/>
      <c r="D32" s="7"/>
      <c r="E32" s="9"/>
      <c r="F32" s="10"/>
      <c r="G32" s="7"/>
      <c r="H32" s="7"/>
      <c r="I32" s="11"/>
      <c r="J32" s="6"/>
      <c r="K32" s="6"/>
      <c r="L32" s="11"/>
      <c r="M32" s="11"/>
      <c r="N32" s="18"/>
      <c r="O32" s="11" t="s">
        <v>30</v>
      </c>
      <c r="P32" s="49">
        <v>15</v>
      </c>
      <c r="Q32" s="22">
        <f t="shared" ref="Q32:Q34" si="13">P32/3600</f>
        <v>4.1666666666666666E-3</v>
      </c>
      <c r="R32" s="23">
        <v>20</v>
      </c>
      <c r="S32" s="50">
        <f>Q32*R32</f>
        <v>8.3333333333333329E-2</v>
      </c>
      <c r="T32" s="82"/>
      <c r="U32" s="82"/>
      <c r="V32" s="82"/>
      <c r="W32" s="82"/>
      <c r="X32" s="82"/>
      <c r="Y32" s="82"/>
      <c r="Z32" s="83"/>
      <c r="AA32" s="83"/>
      <c r="AB32" s="84"/>
      <c r="AC32" s="84"/>
      <c r="AD32" s="79"/>
      <c r="AE32" s="79"/>
      <c r="AF32" s="36"/>
    </row>
    <row r="33" spans="1:32" ht="23.4" hidden="1" customHeight="1" x14ac:dyDescent="0.25">
      <c r="A33" s="7"/>
      <c r="B33" s="7"/>
      <c r="C33" s="8"/>
      <c r="D33" s="7"/>
      <c r="E33" s="9"/>
      <c r="F33" s="10"/>
      <c r="G33" s="7"/>
      <c r="H33" s="7"/>
      <c r="I33" s="11"/>
      <c r="J33" s="6"/>
      <c r="K33" s="6"/>
      <c r="L33" s="11"/>
      <c r="M33" s="11"/>
      <c r="N33" s="18"/>
      <c r="O33" s="45" t="s">
        <v>57</v>
      </c>
      <c r="P33" s="49">
        <v>15</v>
      </c>
      <c r="Q33" s="22">
        <f t="shared" si="13"/>
        <v>4.1666666666666666E-3</v>
      </c>
      <c r="R33" s="23">
        <v>10</v>
      </c>
      <c r="S33" s="50">
        <f>Q33*R33</f>
        <v>4.1666666666666664E-2</v>
      </c>
      <c r="T33" s="82"/>
      <c r="U33" s="82"/>
      <c r="V33" s="82"/>
      <c r="W33" s="82"/>
      <c r="X33" s="82"/>
      <c r="Y33" s="82"/>
      <c r="Z33" s="83"/>
      <c r="AA33" s="83"/>
      <c r="AB33" s="84"/>
      <c r="AC33" s="84"/>
      <c r="AD33" s="79"/>
      <c r="AE33" s="79"/>
      <c r="AF33" s="36"/>
    </row>
    <row r="34" spans="1:32" ht="23.4" hidden="1" customHeight="1" x14ac:dyDescent="0.25">
      <c r="A34" s="7"/>
      <c r="B34" s="7"/>
      <c r="C34" s="8"/>
      <c r="D34" s="7"/>
      <c r="E34" s="9"/>
      <c r="F34" s="10"/>
      <c r="G34" s="7"/>
      <c r="H34" s="7"/>
      <c r="I34" s="11"/>
      <c r="J34" s="6"/>
      <c r="K34" s="6"/>
      <c r="L34" s="11"/>
      <c r="M34" s="11"/>
      <c r="N34" s="18"/>
      <c r="O34" s="11" t="s">
        <v>32</v>
      </c>
      <c r="P34" s="49">
        <v>30</v>
      </c>
      <c r="Q34" s="22">
        <f t="shared" si="13"/>
        <v>8.3333333333333332E-3</v>
      </c>
      <c r="R34" s="23">
        <v>2</v>
      </c>
      <c r="S34" s="50">
        <f>Q34*R34</f>
        <v>1.6666666666666666E-2</v>
      </c>
      <c r="T34" s="82"/>
      <c r="U34" s="82"/>
      <c r="V34" s="82"/>
      <c r="W34" s="82"/>
      <c r="X34" s="82"/>
      <c r="Y34" s="82"/>
      <c r="Z34" s="83"/>
      <c r="AA34" s="83"/>
      <c r="AB34" s="84"/>
      <c r="AC34" s="84"/>
      <c r="AD34" s="79"/>
      <c r="AE34" s="79"/>
      <c r="AF34" s="36"/>
    </row>
    <row r="35" spans="1:32" s="1" customFormat="1" ht="23.4" hidden="1" customHeight="1" x14ac:dyDescent="0.25">
      <c r="A35" s="12"/>
      <c r="B35" s="12"/>
      <c r="C35" s="13"/>
      <c r="D35" s="12"/>
      <c r="E35" s="14"/>
      <c r="F35" s="15"/>
      <c r="G35" s="12"/>
      <c r="H35" s="61"/>
      <c r="I35" s="75" t="s">
        <v>23</v>
      </c>
      <c r="J35" s="76"/>
      <c r="K35" s="76"/>
      <c r="L35" s="77"/>
      <c r="M35" s="78"/>
      <c r="N35" s="24">
        <f>SUM(N31:N34)</f>
        <v>0.84289199999999986</v>
      </c>
      <c r="O35" s="25"/>
      <c r="P35" s="26"/>
      <c r="Q35" s="25"/>
      <c r="R35" s="27"/>
      <c r="S35" s="31">
        <f>SUM(S31:S34)</f>
        <v>0.19722222222222222</v>
      </c>
      <c r="T35" s="32">
        <f>(N35+S35)*T31</f>
        <v>1.0401142222222222E-2</v>
      </c>
      <c r="U35" s="33">
        <f>(N35+S35)*U31</f>
        <v>2.0802284444444444E-2</v>
      </c>
      <c r="V35" s="33">
        <f>(N35+S35)*V31</f>
        <v>1.0401142222222222E-2</v>
      </c>
      <c r="W35" s="33">
        <f>(N35+S35)*W31</f>
        <v>3.1203426666666662E-2</v>
      </c>
      <c r="X35" s="51">
        <f>(N35+S35)*X31</f>
        <v>5.200571111111111E-2</v>
      </c>
      <c r="Y35" s="39">
        <f>SUM(N35:X35)</f>
        <v>1.1649279288888892</v>
      </c>
      <c r="Z35" s="40">
        <f t="shared" ref="Z35:AE35" si="14">Z32</f>
        <v>0</v>
      </c>
      <c r="AA35" s="40">
        <f t="shared" si="14"/>
        <v>0</v>
      </c>
      <c r="AB35" s="42">
        <f t="shared" si="14"/>
        <v>0</v>
      </c>
      <c r="AC35" s="42">
        <f t="shared" si="14"/>
        <v>0</v>
      </c>
      <c r="AD35" s="37">
        <f t="shared" si="14"/>
        <v>0</v>
      </c>
      <c r="AE35" s="37">
        <f t="shared" si="14"/>
        <v>0</v>
      </c>
      <c r="AF35" s="38"/>
    </row>
    <row r="36" spans="1:32" ht="23.4" customHeight="1" x14ac:dyDescent="0.25">
      <c r="A36" s="7">
        <v>1</v>
      </c>
      <c r="B36" s="7"/>
      <c r="C36" s="8"/>
      <c r="D36" s="7" t="s">
        <v>25</v>
      </c>
      <c r="E36" s="9" t="s">
        <v>63</v>
      </c>
      <c r="F36" s="10" t="s">
        <v>64</v>
      </c>
      <c r="G36" s="7" t="s">
        <v>26</v>
      </c>
      <c r="H36" s="7"/>
      <c r="I36" s="45" t="s">
        <v>52</v>
      </c>
      <c r="J36" s="11">
        <f>(27-6.5)*6.5*0.02466*(8+1.5)/1000</f>
        <v>3.1216477500000003E-2</v>
      </c>
      <c r="K36" s="6">
        <v>1.7899999999999999E-2</v>
      </c>
      <c r="L36" s="11">
        <v>5</v>
      </c>
      <c r="M36" s="11">
        <v>2</v>
      </c>
      <c r="N36" s="18">
        <f>L36*J36-(J36-K36)*M36</f>
        <v>0.12944943249999999</v>
      </c>
      <c r="O36" s="45" t="s">
        <v>65</v>
      </c>
      <c r="P36" s="21">
        <v>20</v>
      </c>
      <c r="Q36" s="22">
        <f>P36/3600</f>
        <v>5.5555555555555558E-3</v>
      </c>
      <c r="R36" s="23">
        <v>25</v>
      </c>
      <c r="S36" s="50">
        <f>Q36*R36</f>
        <v>0.1388888888888889</v>
      </c>
      <c r="T36" s="69">
        <v>0.01</v>
      </c>
      <c r="U36" s="81">
        <v>0.02</v>
      </c>
      <c r="V36" s="81">
        <v>0.01</v>
      </c>
      <c r="W36" s="81">
        <v>0.03</v>
      </c>
      <c r="X36" s="81">
        <v>0.05</v>
      </c>
      <c r="Y36" s="82"/>
      <c r="Z36" s="83"/>
      <c r="AA36" s="83"/>
      <c r="AB36" s="84">
        <v>0.7</v>
      </c>
      <c r="AC36" s="84"/>
      <c r="AD36" s="79"/>
      <c r="AE36" s="79"/>
      <c r="AF36" s="36"/>
    </row>
    <row r="37" spans="1:32" ht="23.4" customHeight="1" x14ac:dyDescent="0.25">
      <c r="A37" s="7"/>
      <c r="B37" s="7"/>
      <c r="C37" s="8"/>
      <c r="D37" s="7"/>
      <c r="E37" s="9"/>
      <c r="F37" s="10"/>
      <c r="G37" s="7"/>
      <c r="H37" s="7"/>
      <c r="I37" s="11"/>
      <c r="J37" s="6"/>
      <c r="K37" s="6"/>
      <c r="L37" s="11"/>
      <c r="M37" s="11"/>
      <c r="N37" s="18"/>
      <c r="O37" s="45" t="s">
        <v>66</v>
      </c>
      <c r="P37" s="21">
        <v>20</v>
      </c>
      <c r="Q37" s="22">
        <f>P37/3600</f>
        <v>5.5555555555555558E-3</v>
      </c>
      <c r="R37" s="23">
        <v>20</v>
      </c>
      <c r="S37" s="50">
        <f>Q37*R37</f>
        <v>0.11111111111111112</v>
      </c>
      <c r="T37" s="80"/>
      <c r="U37" s="82"/>
      <c r="V37" s="82"/>
      <c r="W37" s="82"/>
      <c r="X37" s="82"/>
      <c r="Y37" s="82"/>
      <c r="Z37" s="83"/>
      <c r="AA37" s="83"/>
      <c r="AB37" s="84"/>
      <c r="AC37" s="84"/>
      <c r="AD37" s="79"/>
      <c r="AE37" s="79"/>
      <c r="AF37" s="36"/>
    </row>
    <row r="38" spans="1:32" ht="23.4" customHeight="1" x14ac:dyDescent="0.25">
      <c r="A38" s="7"/>
      <c r="B38" s="7"/>
      <c r="C38" s="8"/>
      <c r="D38" s="7"/>
      <c r="E38" s="9"/>
      <c r="F38" s="10"/>
      <c r="G38" s="7"/>
      <c r="H38" s="7"/>
      <c r="I38" s="11"/>
      <c r="J38" s="6"/>
      <c r="K38" s="6"/>
      <c r="L38" s="11"/>
      <c r="M38" s="11"/>
      <c r="N38" s="18"/>
      <c r="O38" s="45" t="s">
        <v>67</v>
      </c>
      <c r="P38" s="21">
        <v>15</v>
      </c>
      <c r="Q38" s="22">
        <f t="shared" ref="Q38" si="15">P38/3600</f>
        <v>4.1666666666666666E-3</v>
      </c>
      <c r="R38" s="23">
        <v>15</v>
      </c>
      <c r="S38" s="50">
        <f>Q38*R38</f>
        <v>6.25E-2</v>
      </c>
      <c r="T38" s="80"/>
      <c r="U38" s="82"/>
      <c r="V38" s="82"/>
      <c r="W38" s="82"/>
      <c r="X38" s="82"/>
      <c r="Y38" s="82"/>
      <c r="Z38" s="83"/>
      <c r="AA38" s="83"/>
      <c r="AB38" s="84"/>
      <c r="AC38" s="84"/>
      <c r="AD38" s="79"/>
      <c r="AE38" s="79"/>
      <c r="AF38" s="36"/>
    </row>
    <row r="39" spans="1:32" ht="23.4" customHeight="1" x14ac:dyDescent="0.25">
      <c r="A39" s="7"/>
      <c r="B39" s="7"/>
      <c r="C39" s="8"/>
      <c r="D39" s="7"/>
      <c r="E39" s="9"/>
      <c r="F39" s="10"/>
      <c r="G39" s="7"/>
      <c r="H39" s="7"/>
      <c r="I39" s="11"/>
      <c r="J39" s="6"/>
      <c r="K39" s="6"/>
      <c r="L39" s="11"/>
      <c r="M39" s="11"/>
      <c r="N39" s="18"/>
      <c r="O39" s="45"/>
      <c r="P39" s="21"/>
      <c r="Q39" s="22"/>
      <c r="R39" s="23"/>
      <c r="S39" s="50"/>
      <c r="T39" s="85"/>
      <c r="U39" s="82"/>
      <c r="V39" s="82"/>
      <c r="W39" s="82"/>
      <c r="X39" s="82"/>
      <c r="Y39" s="82"/>
      <c r="Z39" s="83"/>
      <c r="AA39" s="83"/>
      <c r="AB39" s="84"/>
      <c r="AC39" s="84"/>
      <c r="AD39" s="79"/>
      <c r="AE39" s="79"/>
      <c r="AF39" s="36"/>
    </row>
    <row r="40" spans="1:32" s="1" customFormat="1" ht="23.4" customHeight="1" x14ac:dyDescent="0.25">
      <c r="A40" s="12"/>
      <c r="B40" s="12"/>
      <c r="C40" s="13"/>
      <c r="D40" s="12"/>
      <c r="E40" s="14"/>
      <c r="F40" s="15"/>
      <c r="G40" s="12"/>
      <c r="H40" s="61"/>
      <c r="I40" s="75" t="s">
        <v>23</v>
      </c>
      <c r="J40" s="76"/>
      <c r="K40" s="76"/>
      <c r="L40" s="77"/>
      <c r="M40" s="78"/>
      <c r="N40" s="24">
        <f>SUM(N36:N39)</f>
        <v>0.12944943249999999</v>
      </c>
      <c r="O40" s="25"/>
      <c r="P40" s="26"/>
      <c r="Q40" s="25"/>
      <c r="R40" s="27"/>
      <c r="S40" s="31">
        <f>SUM(S36:S39)</f>
        <v>0.3125</v>
      </c>
      <c r="T40" s="32">
        <f>(N40+S40)*T36</f>
        <v>4.4194943249999995E-3</v>
      </c>
      <c r="U40" s="33">
        <f>(N40+S40)*U36</f>
        <v>8.838988649999999E-3</v>
      </c>
      <c r="V40" s="33">
        <f>(N40+S40)*V36</f>
        <v>4.4194943249999995E-3</v>
      </c>
      <c r="W40" s="33">
        <f>(N40+S40)*W36</f>
        <v>1.3258482974999998E-2</v>
      </c>
      <c r="X40" s="51">
        <f>(N40+S40)*X36</f>
        <v>2.2097471625E-2</v>
      </c>
      <c r="Y40" s="39">
        <f>SUM(N40:X40)</f>
        <v>0.4949833643999999</v>
      </c>
      <c r="Z40" s="40">
        <f t="shared" ref="Z40:AE40" si="16">Z37</f>
        <v>0</v>
      </c>
      <c r="AA40" s="40">
        <f t="shared" si="16"/>
        <v>0</v>
      </c>
      <c r="AB40" s="42">
        <f t="shared" si="16"/>
        <v>0</v>
      </c>
      <c r="AC40" s="42">
        <f t="shared" si="16"/>
        <v>0</v>
      </c>
      <c r="AD40" s="37">
        <f t="shared" si="16"/>
        <v>0</v>
      </c>
      <c r="AE40" s="37">
        <f t="shared" si="16"/>
        <v>0</v>
      </c>
      <c r="AF40" s="38"/>
    </row>
    <row r="41" spans="1:32" ht="23.4" customHeight="1" x14ac:dyDescent="0.25">
      <c r="A41" s="7">
        <v>1</v>
      </c>
      <c r="B41" s="7"/>
      <c r="C41" s="8"/>
      <c r="D41" s="7" t="s">
        <v>25</v>
      </c>
      <c r="E41" s="9" t="s">
        <v>68</v>
      </c>
      <c r="F41" s="10" t="s">
        <v>69</v>
      </c>
      <c r="G41" s="7" t="s">
        <v>26</v>
      </c>
      <c r="H41" s="7"/>
      <c r="I41" s="45" t="s">
        <v>70</v>
      </c>
      <c r="J41" s="6">
        <f>14*14*0.00617*0.0495</f>
        <v>5.9861339999999999E-2</v>
      </c>
      <c r="K41" s="6">
        <v>5.7000000000000002E-2</v>
      </c>
      <c r="L41" s="11">
        <v>5</v>
      </c>
      <c r="M41" s="11">
        <v>2</v>
      </c>
      <c r="N41" s="18">
        <f>L41*J41-(J41-K41)*M41</f>
        <v>0.29358402</v>
      </c>
      <c r="O41" s="45" t="s">
        <v>78</v>
      </c>
      <c r="P41" s="66">
        <f>500000/10/12/30/8+25/2+15*1</f>
        <v>44.861111111111114</v>
      </c>
      <c r="Q41" s="22">
        <f>P41/3600</f>
        <v>1.2461419753086421E-2</v>
      </c>
      <c r="R41" s="23">
        <v>5</v>
      </c>
      <c r="S41" s="50">
        <f>Q41*R41</f>
        <v>6.2307098765432105E-2</v>
      </c>
      <c r="T41" s="69">
        <v>0.01</v>
      </c>
      <c r="U41" s="81">
        <v>0.02</v>
      </c>
      <c r="V41" s="81">
        <v>0.01</v>
      </c>
      <c r="W41" s="81">
        <v>0.03</v>
      </c>
      <c r="X41" s="81">
        <v>0.05</v>
      </c>
      <c r="Y41" s="82"/>
      <c r="Z41" s="83"/>
      <c r="AA41" s="83"/>
      <c r="AB41" s="84">
        <v>0.7</v>
      </c>
      <c r="AC41" s="84"/>
      <c r="AD41" s="79"/>
      <c r="AE41" s="79"/>
      <c r="AF41" s="36"/>
    </row>
    <row r="42" spans="1:32" ht="23.4" customHeight="1" x14ac:dyDescent="0.25">
      <c r="A42" s="7"/>
      <c r="B42" s="7"/>
      <c r="C42" s="8"/>
      <c r="D42" s="7"/>
      <c r="E42" s="9"/>
      <c r="F42" s="10"/>
      <c r="G42" s="7"/>
      <c r="H42" s="7"/>
      <c r="I42" s="11"/>
      <c r="J42" s="6"/>
      <c r="K42" s="6"/>
      <c r="L42" s="11"/>
      <c r="M42" s="11"/>
      <c r="N42" s="18"/>
      <c r="O42" s="45" t="s">
        <v>66</v>
      </c>
      <c r="P42" s="21">
        <v>20</v>
      </c>
      <c r="Q42" s="22">
        <f>P42/3600</f>
        <v>5.5555555555555558E-3</v>
      </c>
      <c r="R42" s="23">
        <v>20</v>
      </c>
      <c r="S42" s="50">
        <f>Q42*R42</f>
        <v>0.11111111111111112</v>
      </c>
      <c r="T42" s="80"/>
      <c r="U42" s="82"/>
      <c r="V42" s="82"/>
      <c r="W42" s="82"/>
      <c r="X42" s="82"/>
      <c r="Y42" s="82"/>
      <c r="Z42" s="83"/>
      <c r="AA42" s="83"/>
      <c r="AB42" s="84"/>
      <c r="AC42" s="84"/>
      <c r="AD42" s="79"/>
      <c r="AE42" s="79"/>
      <c r="AF42" s="36"/>
    </row>
    <row r="43" spans="1:32" ht="23.4" customHeight="1" x14ac:dyDescent="0.25">
      <c r="A43" s="7"/>
      <c r="B43" s="7"/>
      <c r="C43" s="8"/>
      <c r="D43" s="7"/>
      <c r="E43" s="9"/>
      <c r="F43" s="10"/>
      <c r="G43" s="7"/>
      <c r="H43" s="7"/>
      <c r="I43" s="11"/>
      <c r="J43" s="6"/>
      <c r="K43" s="6"/>
      <c r="L43" s="11"/>
      <c r="M43" s="11"/>
      <c r="N43" s="18"/>
      <c r="O43" s="45" t="s">
        <v>67</v>
      </c>
      <c r="P43" s="21">
        <v>15</v>
      </c>
      <c r="Q43" s="22">
        <f t="shared" ref="Q43:Q44" si="17">P43/3600</f>
        <v>4.1666666666666666E-3</v>
      </c>
      <c r="R43" s="23">
        <v>10</v>
      </c>
      <c r="S43" s="50">
        <f>Q43*R43</f>
        <v>4.1666666666666664E-2</v>
      </c>
      <c r="T43" s="80"/>
      <c r="U43" s="82"/>
      <c r="V43" s="82"/>
      <c r="W43" s="82"/>
      <c r="X43" s="82"/>
      <c r="Y43" s="82"/>
      <c r="Z43" s="83"/>
      <c r="AA43" s="83"/>
      <c r="AB43" s="84"/>
      <c r="AC43" s="84"/>
      <c r="AD43" s="79"/>
      <c r="AE43" s="79"/>
      <c r="AF43" s="36"/>
    </row>
    <row r="44" spans="1:32" ht="23.4" customHeight="1" x14ac:dyDescent="0.25">
      <c r="A44" s="7"/>
      <c r="B44" s="7"/>
      <c r="C44" s="8"/>
      <c r="D44" s="7"/>
      <c r="E44" s="9"/>
      <c r="F44" s="10"/>
      <c r="G44" s="7"/>
      <c r="H44" s="7"/>
      <c r="I44" s="11"/>
      <c r="J44" s="6"/>
      <c r="K44" s="6"/>
      <c r="L44" s="11"/>
      <c r="M44" s="11"/>
      <c r="N44" s="18"/>
      <c r="O44" s="45" t="s">
        <v>79</v>
      </c>
      <c r="P44" s="21">
        <v>15</v>
      </c>
      <c r="Q44" s="22">
        <f t="shared" si="17"/>
        <v>4.1666666666666666E-3</v>
      </c>
      <c r="R44" s="23">
        <v>5</v>
      </c>
      <c r="S44" s="50">
        <f>Q44*R44</f>
        <v>2.0833333333333332E-2</v>
      </c>
      <c r="T44" s="80"/>
      <c r="U44" s="82"/>
      <c r="V44" s="82"/>
      <c r="W44" s="82"/>
      <c r="X44" s="82"/>
      <c r="Y44" s="82"/>
      <c r="Z44" s="83"/>
      <c r="AA44" s="83"/>
      <c r="AB44" s="84"/>
      <c r="AC44" s="84"/>
      <c r="AD44" s="79"/>
      <c r="AE44" s="79"/>
      <c r="AF44" s="36"/>
    </row>
    <row r="45" spans="1:32" ht="23.4" customHeight="1" x14ac:dyDescent="0.25">
      <c r="A45" s="7"/>
      <c r="B45" s="7"/>
      <c r="C45" s="8"/>
      <c r="D45" s="7"/>
      <c r="E45" s="9"/>
      <c r="F45" s="10"/>
      <c r="G45" s="7"/>
      <c r="H45" s="7"/>
      <c r="I45" s="11"/>
      <c r="J45" s="6"/>
      <c r="K45" s="6"/>
      <c r="L45" s="11"/>
      <c r="M45" s="11"/>
      <c r="N45" s="18"/>
      <c r="O45" s="45" t="s">
        <v>80</v>
      </c>
      <c r="P45" s="21" t="s">
        <v>81</v>
      </c>
      <c r="Q45" s="22"/>
      <c r="R45" s="23"/>
      <c r="S45" s="50">
        <f>K41*3</f>
        <v>0.17100000000000001</v>
      </c>
      <c r="T45" s="80"/>
      <c r="U45" s="82"/>
      <c r="V45" s="82"/>
      <c r="W45" s="82"/>
      <c r="X45" s="82"/>
      <c r="Y45" s="82"/>
      <c r="Z45" s="83"/>
      <c r="AA45" s="83"/>
      <c r="AB45" s="84"/>
      <c r="AC45" s="84"/>
      <c r="AD45" s="79"/>
      <c r="AE45" s="79"/>
      <c r="AF45" s="36"/>
    </row>
    <row r="46" spans="1:32" ht="23.4" customHeight="1" x14ac:dyDescent="0.25">
      <c r="A46" s="7"/>
      <c r="B46" s="7"/>
      <c r="C46" s="8"/>
      <c r="D46" s="7"/>
      <c r="E46" s="9"/>
      <c r="F46" s="10"/>
      <c r="G46" s="7"/>
      <c r="H46" s="7"/>
      <c r="I46" s="11"/>
      <c r="J46" s="6"/>
      <c r="K46" s="6"/>
      <c r="L46" s="11"/>
      <c r="M46" s="11"/>
      <c r="N46" s="18"/>
      <c r="O46" s="45" t="s">
        <v>82</v>
      </c>
      <c r="P46" s="21" t="s">
        <v>84</v>
      </c>
      <c r="Q46" s="22"/>
      <c r="R46" s="23"/>
      <c r="S46" s="50">
        <f>K41*8</f>
        <v>0.45600000000000002</v>
      </c>
      <c r="T46" s="80"/>
      <c r="U46" s="82"/>
      <c r="V46" s="82"/>
      <c r="W46" s="82"/>
      <c r="X46" s="82"/>
      <c r="Y46" s="82"/>
      <c r="Z46" s="83"/>
      <c r="AA46" s="83"/>
      <c r="AB46" s="84"/>
      <c r="AC46" s="84"/>
      <c r="AD46" s="79"/>
      <c r="AE46" s="79"/>
      <c r="AF46" s="36"/>
    </row>
    <row r="47" spans="1:32" ht="23.4" customHeight="1" x14ac:dyDescent="0.25">
      <c r="A47" s="7"/>
      <c r="B47" s="7"/>
      <c r="C47" s="8"/>
      <c r="D47" s="7"/>
      <c r="E47" s="9"/>
      <c r="F47" s="10"/>
      <c r="G47" s="7"/>
      <c r="H47" s="7"/>
      <c r="I47" s="11"/>
      <c r="J47" s="6"/>
      <c r="K47" s="6"/>
      <c r="L47" s="11"/>
      <c r="M47" s="11"/>
      <c r="N47" s="18"/>
      <c r="O47" s="45" t="s">
        <v>83</v>
      </c>
      <c r="P47" s="21"/>
      <c r="Q47" s="22"/>
      <c r="R47" s="23"/>
      <c r="S47" s="50">
        <v>0.15</v>
      </c>
      <c r="T47" s="80"/>
      <c r="U47" s="82"/>
      <c r="V47" s="82"/>
      <c r="W47" s="82"/>
      <c r="X47" s="82"/>
      <c r="Y47" s="82"/>
      <c r="Z47" s="83"/>
      <c r="AA47" s="83"/>
      <c r="AB47" s="84"/>
      <c r="AC47" s="84"/>
      <c r="AD47" s="79"/>
      <c r="AE47" s="79"/>
      <c r="AF47" s="36"/>
    </row>
    <row r="48" spans="1:32" s="1" customFormat="1" ht="23.4" customHeight="1" x14ac:dyDescent="0.25">
      <c r="A48" s="12"/>
      <c r="B48" s="12"/>
      <c r="C48" s="13"/>
      <c r="D48" s="12"/>
      <c r="E48" s="14"/>
      <c r="F48" s="15"/>
      <c r="G48" s="12"/>
      <c r="H48" s="61"/>
      <c r="I48" s="75" t="s">
        <v>23</v>
      </c>
      <c r="J48" s="76"/>
      <c r="K48" s="76"/>
      <c r="L48" s="77"/>
      <c r="M48" s="78"/>
      <c r="N48" s="24">
        <f>SUM(N41:N47)</f>
        <v>0.29358402</v>
      </c>
      <c r="O48" s="25"/>
      <c r="P48" s="26"/>
      <c r="Q48" s="25"/>
      <c r="R48" s="27"/>
      <c r="S48" s="31">
        <f>SUM(S41:S47)</f>
        <v>1.0129182098765432</v>
      </c>
      <c r="T48" s="32">
        <f>(N48+S48)*T41</f>
        <v>1.3065022298765432E-2</v>
      </c>
      <c r="U48" s="33">
        <f>(N48+S48)*U41</f>
        <v>2.6130044597530863E-2</v>
      </c>
      <c r="V48" s="33">
        <f>(N48+S48)*V41</f>
        <v>1.3065022298765432E-2</v>
      </c>
      <c r="W48" s="33">
        <f>(N48+S48)*W41</f>
        <v>3.9195066896296295E-2</v>
      </c>
      <c r="X48" s="51">
        <f>(N48+S48)*X41</f>
        <v>6.5325111493827165E-2</v>
      </c>
      <c r="Y48" s="39">
        <f>SUM(N48:X48)</f>
        <v>1.4632824974617282</v>
      </c>
      <c r="Z48" s="40">
        <f t="shared" ref="Z48:AE48" si="18">Z42</f>
        <v>0</v>
      </c>
      <c r="AA48" s="40">
        <f t="shared" si="18"/>
        <v>0</v>
      </c>
      <c r="AB48" s="42">
        <f t="shared" si="18"/>
        <v>0</v>
      </c>
      <c r="AC48" s="42">
        <f t="shared" si="18"/>
        <v>0</v>
      </c>
      <c r="AD48" s="37">
        <f t="shared" si="18"/>
        <v>0</v>
      </c>
      <c r="AE48" s="37">
        <f t="shared" si="18"/>
        <v>0</v>
      </c>
      <c r="AF48" s="38"/>
    </row>
    <row r="49" spans="1:29" ht="23.4" customHeight="1" x14ac:dyDescent="0.25">
      <c r="A49" s="7">
        <v>6</v>
      </c>
      <c r="B49" s="52"/>
      <c r="C49" s="8"/>
      <c r="D49" s="7" t="s">
        <v>74</v>
      </c>
      <c r="E49" s="53" t="s">
        <v>71</v>
      </c>
      <c r="F49" s="54" t="s">
        <v>72</v>
      </c>
      <c r="G49" s="7" t="s">
        <v>26</v>
      </c>
      <c r="H49" s="55"/>
      <c r="I49" s="45" t="s">
        <v>73</v>
      </c>
      <c r="J49" s="11">
        <f>14*14*0.00617*(81.5+1.5)/1000</f>
        <v>0.10037356</v>
      </c>
      <c r="K49" s="11">
        <v>8.3400000000000002E-2</v>
      </c>
      <c r="L49" s="11">
        <v>5</v>
      </c>
      <c r="M49" s="11">
        <v>2</v>
      </c>
      <c r="N49" s="11">
        <f>L49*J49-(J49-K49)*M49</f>
        <v>0.46792067999999998</v>
      </c>
      <c r="O49" s="45" t="s">
        <v>65</v>
      </c>
      <c r="P49" s="21">
        <v>20</v>
      </c>
      <c r="Q49" s="22">
        <f>P49/3600</f>
        <v>5.5555555555555558E-3</v>
      </c>
      <c r="R49" s="23">
        <v>10</v>
      </c>
      <c r="S49" s="30">
        <f>Q49*R49</f>
        <v>5.5555555555555559E-2</v>
      </c>
      <c r="T49" s="67">
        <v>0.01</v>
      </c>
      <c r="U49" s="69">
        <v>0.02</v>
      </c>
      <c r="V49" s="69">
        <v>0.01</v>
      </c>
      <c r="W49" s="69">
        <v>0.03</v>
      </c>
      <c r="X49" s="69">
        <v>0.05</v>
      </c>
      <c r="Y49" s="71"/>
      <c r="Z49" s="46"/>
      <c r="AA49" s="62"/>
      <c r="AB49" s="63"/>
      <c r="AC49" s="63"/>
    </row>
    <row r="50" spans="1:29" ht="23.4" customHeight="1" x14ac:dyDescent="0.25">
      <c r="A50" s="7"/>
      <c r="B50" s="52"/>
      <c r="C50" s="8"/>
      <c r="D50" s="7"/>
      <c r="E50" s="9"/>
      <c r="F50" s="10"/>
      <c r="G50" s="7"/>
      <c r="H50" s="56"/>
      <c r="I50" s="45"/>
      <c r="J50" s="11"/>
      <c r="K50" s="11"/>
      <c r="L50" s="11"/>
      <c r="M50" s="11"/>
      <c r="N50" s="11"/>
      <c r="O50" s="45" t="s">
        <v>66</v>
      </c>
      <c r="P50" s="21">
        <v>30</v>
      </c>
      <c r="Q50" s="22">
        <f>P50/3600</f>
        <v>8.3333333333333332E-3</v>
      </c>
      <c r="R50" s="23">
        <v>20</v>
      </c>
      <c r="S50" s="30">
        <f>Q50*R50</f>
        <v>0.16666666666666666</v>
      </c>
      <c r="T50" s="68"/>
      <c r="U50" s="70"/>
      <c r="V50" s="70"/>
      <c r="W50" s="70"/>
      <c r="X50" s="70"/>
      <c r="Y50" s="70"/>
      <c r="Z50" s="46"/>
      <c r="AA50" s="62"/>
      <c r="AB50" s="63"/>
      <c r="AC50" s="63"/>
    </row>
    <row r="51" spans="1:29" ht="23.4" customHeight="1" x14ac:dyDescent="0.25">
      <c r="A51" s="7"/>
      <c r="B51" s="52"/>
      <c r="C51" s="8"/>
      <c r="D51" s="7"/>
      <c r="E51" s="9"/>
      <c r="F51" s="10"/>
      <c r="G51" s="7"/>
      <c r="H51" s="56"/>
      <c r="I51" s="45"/>
      <c r="J51" s="11"/>
      <c r="K51" s="11"/>
      <c r="L51" s="11"/>
      <c r="M51" s="11"/>
      <c r="N51" s="11"/>
      <c r="O51" s="45" t="s">
        <v>75</v>
      </c>
      <c r="P51" s="21"/>
      <c r="Q51" s="22"/>
      <c r="R51" s="23"/>
      <c r="S51" s="30">
        <v>0.04</v>
      </c>
      <c r="T51" s="68"/>
      <c r="U51" s="70"/>
      <c r="V51" s="70"/>
      <c r="W51" s="70"/>
      <c r="X51" s="70"/>
      <c r="Y51" s="70"/>
      <c r="Z51" s="46"/>
      <c r="AA51" s="62"/>
      <c r="AB51" s="63"/>
      <c r="AC51" s="63"/>
    </row>
    <row r="52" spans="1:29" ht="23.4" customHeight="1" x14ac:dyDescent="0.25">
      <c r="A52" s="7"/>
      <c r="B52" s="52"/>
      <c r="C52" s="8"/>
      <c r="D52" s="7"/>
      <c r="E52" s="9"/>
      <c r="F52" s="10"/>
      <c r="G52" s="7"/>
      <c r="H52" s="56"/>
      <c r="I52" s="45"/>
      <c r="J52" s="11"/>
      <c r="K52" s="11"/>
      <c r="L52" s="11"/>
      <c r="M52" s="11"/>
      <c r="N52" s="11"/>
      <c r="O52" s="45" t="s">
        <v>67</v>
      </c>
      <c r="P52" s="21">
        <v>30</v>
      </c>
      <c r="Q52" s="22">
        <f t="shared" ref="Q52" si="19">P52/3600</f>
        <v>8.3333333333333332E-3</v>
      </c>
      <c r="R52" s="23">
        <v>10</v>
      </c>
      <c r="S52" s="30">
        <f t="shared" ref="S52" si="20">Q52*R52</f>
        <v>8.3333333333333329E-2</v>
      </c>
      <c r="T52" s="68"/>
      <c r="U52" s="70"/>
      <c r="V52" s="70"/>
      <c r="W52" s="70"/>
      <c r="X52" s="70"/>
      <c r="Y52" s="70"/>
      <c r="Z52" s="46"/>
      <c r="AA52" s="62"/>
      <c r="AB52" s="63"/>
      <c r="AC52" s="63"/>
    </row>
    <row r="53" spans="1:29" ht="23.4" customHeight="1" x14ac:dyDescent="0.25">
      <c r="A53" s="7"/>
      <c r="B53" s="52"/>
      <c r="C53" s="8"/>
      <c r="D53" s="7"/>
      <c r="E53" s="9"/>
      <c r="F53" s="10"/>
      <c r="G53" s="7"/>
      <c r="H53" s="56"/>
      <c r="I53" s="45"/>
      <c r="J53" s="11"/>
      <c r="K53" s="11"/>
      <c r="L53" s="11"/>
      <c r="M53" s="11"/>
      <c r="N53" s="11"/>
      <c r="O53" s="45" t="s">
        <v>86</v>
      </c>
      <c r="P53" s="21" t="s">
        <v>85</v>
      </c>
      <c r="Q53" s="22"/>
      <c r="R53" s="23"/>
      <c r="S53" s="65">
        <f>K49*2</f>
        <v>0.1668</v>
      </c>
      <c r="T53" s="68"/>
      <c r="U53" s="70"/>
      <c r="V53" s="70"/>
      <c r="W53" s="70"/>
      <c r="X53" s="70"/>
      <c r="Y53" s="70"/>
      <c r="Z53" s="46"/>
      <c r="AA53" s="62"/>
      <c r="AB53" s="63"/>
      <c r="AC53" s="63"/>
    </row>
    <row r="54" spans="1:29" ht="23.4" customHeight="1" x14ac:dyDescent="0.25">
      <c r="A54" s="7"/>
      <c r="B54" s="52"/>
      <c r="C54" s="8"/>
      <c r="D54" s="7"/>
      <c r="E54" s="9"/>
      <c r="F54" s="10"/>
      <c r="G54" s="7"/>
      <c r="H54" s="56"/>
      <c r="I54" s="45"/>
      <c r="J54" s="11"/>
      <c r="K54" s="11"/>
      <c r="L54" s="11"/>
      <c r="M54" s="11"/>
      <c r="N54" s="11"/>
      <c r="O54" s="45" t="s">
        <v>80</v>
      </c>
      <c r="P54" s="21" t="s">
        <v>81</v>
      </c>
      <c r="Q54" s="22"/>
      <c r="R54" s="23"/>
      <c r="S54" s="30">
        <f>3*K49</f>
        <v>0.25019999999999998</v>
      </c>
      <c r="T54" s="68"/>
      <c r="U54" s="70"/>
      <c r="V54" s="70"/>
      <c r="W54" s="70"/>
      <c r="X54" s="70"/>
      <c r="Y54" s="70"/>
      <c r="Z54" s="46"/>
      <c r="AA54" s="62"/>
      <c r="AB54" s="63"/>
      <c r="AC54" s="63"/>
    </row>
    <row r="55" spans="1:29" ht="23.4" customHeight="1" x14ac:dyDescent="0.25">
      <c r="A55" s="7"/>
      <c r="B55" s="52"/>
      <c r="C55" s="8"/>
      <c r="D55" s="7"/>
      <c r="E55" s="9"/>
      <c r="F55" s="10"/>
      <c r="G55" s="7"/>
      <c r="H55" s="56"/>
      <c r="I55" s="45"/>
      <c r="J55" s="11"/>
      <c r="K55" s="11"/>
      <c r="L55" s="11"/>
      <c r="M55" s="11"/>
      <c r="N55" s="11"/>
      <c r="O55" s="45"/>
      <c r="P55" s="21"/>
      <c r="Q55" s="22"/>
      <c r="R55" s="23"/>
      <c r="S55" s="30"/>
      <c r="T55" s="68"/>
      <c r="U55" s="70"/>
      <c r="V55" s="70"/>
      <c r="W55" s="70"/>
      <c r="X55" s="70"/>
      <c r="Y55" s="70"/>
      <c r="Z55" s="46"/>
      <c r="AA55" s="62"/>
      <c r="AB55" s="63"/>
      <c r="AC55" s="63"/>
    </row>
    <row r="56" spans="1:29" s="1" customFormat="1" ht="23.4" customHeight="1" x14ac:dyDescent="0.25">
      <c r="A56" s="12"/>
      <c r="B56" s="57"/>
      <c r="C56" s="13"/>
      <c r="D56" s="12"/>
      <c r="E56" s="14"/>
      <c r="F56" s="15"/>
      <c r="G56" s="12"/>
      <c r="H56" s="58"/>
      <c r="I56" s="72" t="s">
        <v>76</v>
      </c>
      <c r="J56" s="73"/>
      <c r="K56" s="73"/>
      <c r="L56" s="73"/>
      <c r="M56" s="74"/>
      <c r="N56" s="25">
        <f>SUM(N49:N55)</f>
        <v>0.46792067999999998</v>
      </c>
      <c r="O56" s="25"/>
      <c r="P56" s="26"/>
      <c r="Q56" s="25"/>
      <c r="R56" s="55"/>
      <c r="S56" s="31">
        <f>SUM(S49:S55)</f>
        <v>0.76255555555555543</v>
      </c>
      <c r="T56" s="47">
        <f>(N56+S56)*T49</f>
        <v>1.2304762355555554E-2</v>
      </c>
      <c r="U56" s="25">
        <f>(N56+S56)*U49</f>
        <v>2.4609524711111108E-2</v>
      </c>
      <c r="V56" s="25">
        <f>(N56+S56)*V49</f>
        <v>1.2304762355555554E-2</v>
      </c>
      <c r="W56" s="25">
        <f>(N56+S56)*W49</f>
        <v>3.6914287066666662E-2</v>
      </c>
      <c r="X56" s="25">
        <f>(N56+S56)*X49</f>
        <v>6.152381177777777E-2</v>
      </c>
      <c r="Y56" s="40">
        <f>SUM(N56:X56)</f>
        <v>1.3781333838222221</v>
      </c>
      <c r="Z56" s="40"/>
      <c r="AA56" s="64"/>
      <c r="AB56" s="63"/>
      <c r="AC56" s="63"/>
    </row>
  </sheetData>
  <mergeCells count="126">
    <mergeCell ref="I30:M30"/>
    <mergeCell ref="T31:T34"/>
    <mergeCell ref="U31:U34"/>
    <mergeCell ref="V31:V34"/>
    <mergeCell ref="W31:W34"/>
    <mergeCell ref="AC31:AC34"/>
    <mergeCell ref="AD31:AD34"/>
    <mergeCell ref="AE31:AE34"/>
    <mergeCell ref="I35:M35"/>
    <mergeCell ref="X31:X34"/>
    <mergeCell ref="Y31:Y34"/>
    <mergeCell ref="Z31:Z34"/>
    <mergeCell ref="AA31:AA34"/>
    <mergeCell ref="AB31:AB34"/>
    <mergeCell ref="AD20:AD24"/>
    <mergeCell ref="AE20:AE24"/>
    <mergeCell ref="I25:M25"/>
    <mergeCell ref="T26:T29"/>
    <mergeCell ref="U26:U29"/>
    <mergeCell ref="V26:V29"/>
    <mergeCell ref="W26:W29"/>
    <mergeCell ref="X26:X29"/>
    <mergeCell ref="Y26:Y29"/>
    <mergeCell ref="Z26:Z29"/>
    <mergeCell ref="AA26:AA29"/>
    <mergeCell ref="AB26:AB29"/>
    <mergeCell ref="AC26:AC29"/>
    <mergeCell ref="AD26:AD29"/>
    <mergeCell ref="AE26:AE29"/>
    <mergeCell ref="Y20:Y24"/>
    <mergeCell ref="Z20:Z24"/>
    <mergeCell ref="AA20:AA24"/>
    <mergeCell ref="AB20:AB24"/>
    <mergeCell ref="AC20:AC24"/>
    <mergeCell ref="T20:T24"/>
    <mergeCell ref="U20:U24"/>
    <mergeCell ref="V20:V24"/>
    <mergeCell ref="W20:W24"/>
    <mergeCell ref="X20:X24"/>
    <mergeCell ref="A1:A2"/>
    <mergeCell ref="C1:C2"/>
    <mergeCell ref="D1:D2"/>
    <mergeCell ref="E1:E2"/>
    <mergeCell ref="F1:F2"/>
    <mergeCell ref="I19:M19"/>
    <mergeCell ref="AA1:AA2"/>
    <mergeCell ref="AA3:AA7"/>
    <mergeCell ref="AA9:AA14"/>
    <mergeCell ref="AA16:AA18"/>
    <mergeCell ref="V3:V7"/>
    <mergeCell ref="V9:V14"/>
    <mergeCell ref="V16:V18"/>
    <mergeCell ref="W3:W7"/>
    <mergeCell ref="W9:W14"/>
    <mergeCell ref="W16:W18"/>
    <mergeCell ref="X3:X7"/>
    <mergeCell ref="X9:X14"/>
    <mergeCell ref="X16:X18"/>
    <mergeCell ref="Y3:Y7"/>
    <mergeCell ref="Y9:Y14"/>
    <mergeCell ref="G1:G2"/>
    <mergeCell ref="T3:T7"/>
    <mergeCell ref="T9:T14"/>
    <mergeCell ref="T16:T18"/>
    <mergeCell ref="U3:U7"/>
    <mergeCell ref="U9:U14"/>
    <mergeCell ref="U16:U18"/>
    <mergeCell ref="J1:N1"/>
    <mergeCell ref="O1:S1"/>
    <mergeCell ref="I8:M8"/>
    <mergeCell ref="I15:M15"/>
    <mergeCell ref="Y16:Y18"/>
    <mergeCell ref="AI16:AI18"/>
    <mergeCell ref="Z1:Z2"/>
    <mergeCell ref="Z3:Z7"/>
    <mergeCell ref="Z9:Z14"/>
    <mergeCell ref="Z16:Z18"/>
    <mergeCell ref="AB1:AB2"/>
    <mergeCell ref="AB3:AB7"/>
    <mergeCell ref="AB9:AB14"/>
    <mergeCell ref="AB16:AB18"/>
    <mergeCell ref="AC1:AC2"/>
    <mergeCell ref="AC3:AC7"/>
    <mergeCell ref="AC9:AC14"/>
    <mergeCell ref="AC16:AC18"/>
    <mergeCell ref="AD1:AD2"/>
    <mergeCell ref="AD3:AD7"/>
    <mergeCell ref="AD16:AD18"/>
    <mergeCell ref="AE1:AE2"/>
    <mergeCell ref="AE3:AE7"/>
    <mergeCell ref="AE9:AE14"/>
    <mergeCell ref="AE16:AE18"/>
    <mergeCell ref="AD9:AD14"/>
    <mergeCell ref="AE36:AE39"/>
    <mergeCell ref="I40:M40"/>
    <mergeCell ref="T41:T47"/>
    <mergeCell ref="U41:U47"/>
    <mergeCell ref="V41:V47"/>
    <mergeCell ref="W41:W47"/>
    <mergeCell ref="X41:X47"/>
    <mergeCell ref="Y41:Y47"/>
    <mergeCell ref="Z41:Z47"/>
    <mergeCell ref="AA41:AA47"/>
    <mergeCell ref="AB41:AB47"/>
    <mergeCell ref="AC41:AC47"/>
    <mergeCell ref="AD41:AD47"/>
    <mergeCell ref="AE41:AE47"/>
    <mergeCell ref="Y36:Y39"/>
    <mergeCell ref="Z36:Z39"/>
    <mergeCell ref="AA36:AA39"/>
    <mergeCell ref="AB36:AB39"/>
    <mergeCell ref="AC36:AC39"/>
    <mergeCell ref="T36:T39"/>
    <mergeCell ref="U36:U39"/>
    <mergeCell ref="V36:V39"/>
    <mergeCell ref="W36:W39"/>
    <mergeCell ref="X36:X39"/>
    <mergeCell ref="T49:T55"/>
    <mergeCell ref="U49:U55"/>
    <mergeCell ref="V49:V55"/>
    <mergeCell ref="W49:W55"/>
    <mergeCell ref="X49:X55"/>
    <mergeCell ref="Y49:Y55"/>
    <mergeCell ref="I56:M56"/>
    <mergeCell ref="I48:M48"/>
    <mergeCell ref="AD36:AD39"/>
  </mergeCells>
  <phoneticPr fontId="11" type="noConversion"/>
  <pageMargins left="0.7" right="0.7" top="0.75" bottom="0.75" header="0.3" footer="0.3"/>
  <pageSetup paperSize="9" scale="32" orientation="portrait" r:id="rId1"/>
  <colBreaks count="1" manualBreakCount="1">
    <brk id="31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6" zoomScale="90" zoomScaleNormal="90" workbookViewId="0">
      <selection activeCell="A36" sqref="A36"/>
    </sheetView>
  </sheetViews>
  <sheetFormatPr defaultColWidth="9" defaultRowHeight="13.8" x14ac:dyDescent="0.25"/>
  <sheetData/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2015-06-05T18:19:00Z</dcterms:created>
  <dcterms:modified xsi:type="dcterms:W3CDTF">2024-07-29T02:03:50Z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0B2A88798EF6464EA11CB7890A0DE94A</vt:lpwstr>
  </property>
  <property fmtid="{D5CDD505-2E9C-101B-9397-08002B2CF9AE}" pid="3" name="KSOProductBuildVer">
    <vt:lpwstr>2052-11.1.0.11875</vt:lpwstr>
  </property>
</Properties>
</file>