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600" windowHeight="10296" tabRatio="810" activeTab="2"/>
  </bookViews>
  <sheets>
    <sheet name="假设条件" sheetId="34" r:id="rId1"/>
    <sheet name="现金" sheetId="36" state="hidden" r:id="rId2"/>
    <sheet name="损益表" sheetId="56" r:id="rId3"/>
    <sheet name="2024年" sheetId="62" r:id="rId4"/>
    <sheet name="2025年" sheetId="43" r:id="rId5"/>
    <sheet name="2026年" sheetId="57" r:id="rId6"/>
    <sheet name="项目投资" sheetId="51" r:id="rId7"/>
    <sheet name="销量" sheetId="55" r:id="rId8"/>
    <sheet name="材料成本" sheetId="53" r:id="rId9"/>
    <sheet name="其他" sheetId="54" r:id="rId10"/>
    <sheet name="标准成本" sheetId="50" r:id="rId11"/>
    <sheet name="包装运费" sheetId="63" r:id="rId12"/>
  </sheets>
  <externalReferences>
    <externalReference r:id="rId13"/>
    <externalReference r:id="rId14"/>
  </externalReferences>
  <definedNames>
    <definedName name="_xlnm.Print_Area" localSheetId="3">'2024年'!$A$1:$E$48</definedName>
    <definedName name="_xlnm.Print_Area" localSheetId="4">'2025年'!$A$1:$E$48</definedName>
    <definedName name="_xlnm.Print_Area" localSheetId="5">'2026年'!$A$1:$E$48</definedName>
    <definedName name="_xlnm.Print_Area" localSheetId="6">项目投资!$A$1:$C$35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50" l="1"/>
  <c r="E10" i="50"/>
  <c r="C38" i="57" s="1"/>
  <c r="C13" i="57" s="1"/>
  <c r="I15" i="50"/>
  <c r="E18" i="50" s="1"/>
  <c r="I3" i="50"/>
  <c r="E8" i="50" s="1"/>
  <c r="X6" i="63"/>
  <c r="W6" i="63"/>
  <c r="V6" i="63"/>
  <c r="P6" i="63"/>
  <c r="N6" i="63"/>
  <c r="E127" i="50"/>
  <c r="I126" i="50"/>
  <c r="E126" i="50"/>
  <c r="E125" i="50"/>
  <c r="H124" i="50"/>
  <c r="E124" i="50"/>
  <c r="I123" i="50"/>
  <c r="H123" i="50"/>
  <c r="E123" i="50"/>
  <c r="E122" i="50"/>
  <c r="E121" i="50"/>
  <c r="E120" i="50"/>
  <c r="E114" i="50"/>
  <c r="I113" i="50"/>
  <c r="E113" i="50"/>
  <c r="E112" i="50"/>
  <c r="H111" i="50"/>
  <c r="E111" i="50"/>
  <c r="I110" i="50"/>
  <c r="H110" i="50"/>
  <c r="E110" i="50"/>
  <c r="E109" i="50"/>
  <c r="E108" i="50"/>
  <c r="E107" i="50"/>
  <c r="E101" i="50"/>
  <c r="I100" i="50"/>
  <c r="E100" i="50"/>
  <c r="E99" i="50"/>
  <c r="H98" i="50"/>
  <c r="E98" i="50"/>
  <c r="I97" i="50"/>
  <c r="H97" i="50"/>
  <c r="E97" i="50"/>
  <c r="E96" i="50"/>
  <c r="E95" i="50"/>
  <c r="E94" i="50"/>
  <c r="E88" i="50"/>
  <c r="I87" i="50"/>
  <c r="E87" i="50"/>
  <c r="E86" i="50"/>
  <c r="H85" i="50"/>
  <c r="E85" i="50"/>
  <c r="I84" i="50"/>
  <c r="H84" i="50"/>
  <c r="E84" i="50"/>
  <c r="E83" i="50"/>
  <c r="E82" i="50"/>
  <c r="E81" i="50"/>
  <c r="E75" i="50"/>
  <c r="I74" i="50"/>
  <c r="E74" i="50"/>
  <c r="E73" i="50"/>
  <c r="H72" i="50"/>
  <c r="E72" i="50"/>
  <c r="I71" i="50"/>
  <c r="H71" i="50"/>
  <c r="E71" i="50"/>
  <c r="E70" i="50"/>
  <c r="E69" i="50"/>
  <c r="E68" i="50"/>
  <c r="E62" i="50"/>
  <c r="I61" i="50"/>
  <c r="E61" i="50"/>
  <c r="E60" i="50"/>
  <c r="H59" i="50"/>
  <c r="E59" i="50"/>
  <c r="I58" i="50"/>
  <c r="H58" i="50"/>
  <c r="E58" i="50"/>
  <c r="E57" i="50"/>
  <c r="E56" i="50"/>
  <c r="E55" i="50"/>
  <c r="E49" i="50"/>
  <c r="I48" i="50"/>
  <c r="E48" i="50"/>
  <c r="E47" i="50"/>
  <c r="H46" i="50"/>
  <c r="E46" i="50"/>
  <c r="I45" i="50"/>
  <c r="H45" i="50"/>
  <c r="E45" i="50"/>
  <c r="E44" i="50"/>
  <c r="E43" i="50"/>
  <c r="E42" i="50"/>
  <c r="E36" i="50"/>
  <c r="I35" i="50"/>
  <c r="E35" i="50"/>
  <c r="E34" i="50"/>
  <c r="H33" i="50"/>
  <c r="E33" i="50"/>
  <c r="I32" i="50"/>
  <c r="H32" i="50"/>
  <c r="E32" i="50"/>
  <c r="E31" i="50"/>
  <c r="E30" i="50"/>
  <c r="E29" i="50"/>
  <c r="I28" i="50"/>
  <c r="E23" i="50"/>
  <c r="D47" i="57" s="1"/>
  <c r="D22" i="57" s="1"/>
  <c r="H20" i="50"/>
  <c r="I19" i="50"/>
  <c r="H19" i="50"/>
  <c r="E19" i="50"/>
  <c r="E9" i="50"/>
  <c r="H8" i="50"/>
  <c r="I7" i="50"/>
  <c r="H7" i="50"/>
  <c r="E7" i="50"/>
  <c r="E6" i="50"/>
  <c r="E5" i="50"/>
  <c r="C43" i="57" s="1"/>
  <c r="C17" i="57" s="1"/>
  <c r="E4" i="50"/>
  <c r="C36" i="57" s="1"/>
  <c r="M28" i="53"/>
  <c r="L28" i="53"/>
  <c r="K28" i="53"/>
  <c r="J28" i="53"/>
  <c r="I28" i="53"/>
  <c r="H28" i="53"/>
  <c r="G28" i="53"/>
  <c r="F28" i="53"/>
  <c r="E28" i="53"/>
  <c r="D28" i="53"/>
  <c r="M27" i="53"/>
  <c r="L27" i="53"/>
  <c r="K27" i="53"/>
  <c r="J27" i="53"/>
  <c r="I27" i="53"/>
  <c r="H27" i="53"/>
  <c r="G27" i="53"/>
  <c r="F27" i="53"/>
  <c r="E27" i="53"/>
  <c r="D27" i="53"/>
  <c r="M24" i="53"/>
  <c r="L24" i="53"/>
  <c r="K24" i="53"/>
  <c r="J24" i="53"/>
  <c r="I24" i="53"/>
  <c r="H24" i="53"/>
  <c r="G24" i="53"/>
  <c r="F24" i="53"/>
  <c r="E24" i="53"/>
  <c r="D24" i="53"/>
  <c r="M20" i="55"/>
  <c r="L20" i="55"/>
  <c r="K20" i="55"/>
  <c r="J20" i="55"/>
  <c r="I20" i="55"/>
  <c r="H20" i="55"/>
  <c r="G20" i="55"/>
  <c r="F20" i="55"/>
  <c r="E20" i="55"/>
  <c r="D20" i="55"/>
  <c r="C20" i="55"/>
  <c r="T19" i="55"/>
  <c r="S19" i="55"/>
  <c r="R19" i="55"/>
  <c r="Q19" i="55"/>
  <c r="M19" i="55"/>
  <c r="L19" i="55"/>
  <c r="K19" i="55"/>
  <c r="J19" i="55"/>
  <c r="I19" i="55"/>
  <c r="H19" i="55"/>
  <c r="G19" i="55"/>
  <c r="F19" i="55"/>
  <c r="E19" i="55"/>
  <c r="D19" i="55"/>
  <c r="C19" i="55"/>
  <c r="T18" i="55"/>
  <c r="S18" i="55"/>
  <c r="R18" i="55"/>
  <c r="Q18" i="55"/>
  <c r="M18" i="55"/>
  <c r="L18" i="55"/>
  <c r="K18" i="55"/>
  <c r="J18" i="55"/>
  <c r="I18" i="55"/>
  <c r="H18" i="55"/>
  <c r="G18" i="55"/>
  <c r="F18" i="55"/>
  <c r="E18" i="55"/>
  <c r="D18" i="55"/>
  <c r="C18" i="55"/>
  <c r="T17" i="55"/>
  <c r="S17" i="55"/>
  <c r="R17" i="55"/>
  <c r="Q17" i="55"/>
  <c r="T16" i="55"/>
  <c r="S16" i="55"/>
  <c r="R16" i="55"/>
  <c r="Q16" i="55"/>
  <c r="M16" i="55"/>
  <c r="L16" i="55"/>
  <c r="K16" i="55"/>
  <c r="J16" i="55"/>
  <c r="I16" i="55"/>
  <c r="H16" i="55"/>
  <c r="G16" i="55"/>
  <c r="F16" i="55"/>
  <c r="E16" i="55"/>
  <c r="D16" i="55"/>
  <c r="C16" i="55"/>
  <c r="T15" i="55"/>
  <c r="S15" i="55"/>
  <c r="R15" i="55"/>
  <c r="Q15" i="55"/>
  <c r="M15" i="55"/>
  <c r="T14" i="55"/>
  <c r="S14" i="55"/>
  <c r="R14" i="55"/>
  <c r="Q14" i="55"/>
  <c r="M14" i="55"/>
  <c r="M13" i="55"/>
  <c r="S12" i="55"/>
  <c r="R12" i="55"/>
  <c r="Q12" i="55"/>
  <c r="P12" i="55"/>
  <c r="O12" i="55"/>
  <c r="M12" i="55"/>
  <c r="S11" i="55"/>
  <c r="R11" i="55"/>
  <c r="Q11" i="55"/>
  <c r="P11" i="55"/>
  <c r="O11" i="55"/>
  <c r="M11" i="55"/>
  <c r="S10" i="55"/>
  <c r="R10" i="55"/>
  <c r="Q10" i="55"/>
  <c r="P10" i="55"/>
  <c r="O10" i="55"/>
  <c r="M10" i="55"/>
  <c r="S9" i="55"/>
  <c r="R9" i="55"/>
  <c r="Q9" i="55"/>
  <c r="P9" i="55"/>
  <c r="O9" i="55"/>
  <c r="M9" i="55"/>
  <c r="S8" i="55"/>
  <c r="R8" i="55"/>
  <c r="Q8" i="55"/>
  <c r="P8" i="55"/>
  <c r="O8" i="55"/>
  <c r="M8" i="55"/>
  <c r="S7" i="55"/>
  <c r="R7" i="55"/>
  <c r="Q7" i="55"/>
  <c r="P7" i="55"/>
  <c r="O7" i="55"/>
  <c r="K28" i="51"/>
  <c r="J28" i="51"/>
  <c r="I28" i="51"/>
  <c r="H28" i="51"/>
  <c r="G28" i="51"/>
  <c r="F28" i="51"/>
  <c r="E28" i="51"/>
  <c r="D28" i="51"/>
  <c r="K27" i="51"/>
  <c r="J27" i="51"/>
  <c r="I27" i="51"/>
  <c r="H27" i="51"/>
  <c r="G27" i="51"/>
  <c r="F27" i="51"/>
  <c r="E27" i="51"/>
  <c r="D27" i="51"/>
  <c r="B27" i="51"/>
  <c r="L26" i="51"/>
  <c r="K26" i="51"/>
  <c r="F26" i="51"/>
  <c r="E26" i="51"/>
  <c r="D26" i="51"/>
  <c r="B26" i="51"/>
  <c r="G22" i="51"/>
  <c r="B10" i="51"/>
  <c r="B9" i="51"/>
  <c r="B8" i="51"/>
  <c r="B7" i="51"/>
  <c r="B5" i="51"/>
  <c r="D46" i="57"/>
  <c r="C46" i="57"/>
  <c r="C44" i="57"/>
  <c r="C37" i="57"/>
  <c r="C12" i="57" s="1"/>
  <c r="D34" i="57"/>
  <c r="C34" i="57"/>
  <c r="D33" i="57"/>
  <c r="C33" i="57"/>
  <c r="D32" i="57"/>
  <c r="C32" i="57"/>
  <c r="D31" i="57"/>
  <c r="C31" i="57"/>
  <c r="E21" i="57"/>
  <c r="D21" i="57"/>
  <c r="C21" i="57"/>
  <c r="C19" i="57"/>
  <c r="E18" i="57"/>
  <c r="D18" i="57"/>
  <c r="C18" i="57"/>
  <c r="E10" i="57"/>
  <c r="D10" i="57"/>
  <c r="C10" i="57"/>
  <c r="E9" i="57"/>
  <c r="D9" i="57"/>
  <c r="C9" i="57"/>
  <c r="E8" i="57"/>
  <c r="D8" i="57"/>
  <c r="C8" i="57"/>
  <c r="E7" i="57"/>
  <c r="D7" i="57"/>
  <c r="C7" i="57"/>
  <c r="E6" i="57"/>
  <c r="D6" i="57"/>
  <c r="C6" i="57"/>
  <c r="D46" i="43"/>
  <c r="C46" i="43"/>
  <c r="C44" i="43"/>
  <c r="C19" i="43" s="1"/>
  <c r="C43" i="43"/>
  <c r="C37" i="43"/>
  <c r="C12" i="43" s="1"/>
  <c r="C36" i="43"/>
  <c r="D34" i="43"/>
  <c r="C34" i="43"/>
  <c r="D33" i="43"/>
  <c r="C33" i="43"/>
  <c r="D32" i="43"/>
  <c r="C32" i="43"/>
  <c r="D31" i="43"/>
  <c r="C31" i="43"/>
  <c r="E21" i="43"/>
  <c r="D21" i="43"/>
  <c r="C21" i="43"/>
  <c r="E18" i="43"/>
  <c r="D18" i="43"/>
  <c r="C18" i="43"/>
  <c r="C17" i="43"/>
  <c r="E10" i="43"/>
  <c r="D10" i="43"/>
  <c r="C10" i="43"/>
  <c r="E9" i="43"/>
  <c r="D9" i="43"/>
  <c r="C9" i="43"/>
  <c r="E8" i="43"/>
  <c r="D8" i="43"/>
  <c r="C8" i="43"/>
  <c r="E7" i="43"/>
  <c r="D7" i="43"/>
  <c r="C7" i="43"/>
  <c r="E6" i="43"/>
  <c r="D6" i="43"/>
  <c r="C6" i="43"/>
  <c r="D46" i="62"/>
  <c r="C46" i="62"/>
  <c r="C44" i="62"/>
  <c r="C19" i="62" s="1"/>
  <c r="C43" i="62"/>
  <c r="C17" i="62" s="1"/>
  <c r="C37" i="62"/>
  <c r="C12" i="62" s="1"/>
  <c r="C36" i="62"/>
  <c r="D34" i="62"/>
  <c r="C34" i="62"/>
  <c r="D33" i="62"/>
  <c r="C33" i="62"/>
  <c r="D32" i="62"/>
  <c r="C32" i="62"/>
  <c r="D31" i="62"/>
  <c r="C31" i="62"/>
  <c r="E21" i="62"/>
  <c r="D21" i="62"/>
  <c r="C21" i="62"/>
  <c r="E18" i="62"/>
  <c r="D18" i="62"/>
  <c r="C18" i="62"/>
  <c r="E10" i="62"/>
  <c r="D10" i="62"/>
  <c r="C10" i="62"/>
  <c r="E9" i="62"/>
  <c r="D9" i="62"/>
  <c r="C9" i="62"/>
  <c r="E8" i="62"/>
  <c r="E7" i="62"/>
  <c r="D7" i="62"/>
  <c r="C7" i="62"/>
  <c r="E6" i="62"/>
  <c r="D6" i="62"/>
  <c r="C6" i="62"/>
  <c r="F60" i="56"/>
  <c r="D60" i="56"/>
  <c r="F50" i="56"/>
  <c r="E50" i="56"/>
  <c r="D50" i="56"/>
  <c r="C50" i="56"/>
  <c r="F44" i="56"/>
  <c r="E44" i="56"/>
  <c r="D44" i="56"/>
  <c r="C44" i="56"/>
  <c r="F32" i="56"/>
  <c r="E32" i="56"/>
  <c r="D32" i="56"/>
  <c r="C32" i="56"/>
  <c r="F31" i="56"/>
  <c r="E31" i="56"/>
  <c r="D31" i="56"/>
  <c r="C31" i="56"/>
  <c r="F30" i="56"/>
  <c r="E30" i="56"/>
  <c r="D30" i="56"/>
  <c r="C30" i="56"/>
  <c r="F29" i="56"/>
  <c r="E29" i="56"/>
  <c r="D29" i="56"/>
  <c r="C29" i="56"/>
  <c r="F18" i="56"/>
  <c r="E18" i="56"/>
  <c r="D18" i="56"/>
  <c r="F15" i="56"/>
  <c r="F7" i="56"/>
  <c r="E7" i="56"/>
  <c r="D7" i="56"/>
  <c r="C7" i="56"/>
  <c r="F6" i="56"/>
  <c r="E6" i="56"/>
  <c r="D6" i="56"/>
  <c r="C6" i="56"/>
  <c r="F5" i="56"/>
  <c r="E5" i="56"/>
  <c r="D5" i="56"/>
  <c r="C5" i="56"/>
  <c r="F4" i="56"/>
  <c r="E4" i="56"/>
  <c r="D4" i="56"/>
  <c r="C4" i="56"/>
  <c r="F3" i="56"/>
  <c r="E3" i="56"/>
  <c r="D3" i="56"/>
  <c r="C3" i="56"/>
  <c r="R23" i="36"/>
  <c r="M16" i="36"/>
  <c r="L15" i="36"/>
  <c r="K15" i="36"/>
  <c r="J15" i="36"/>
  <c r="I15" i="36"/>
  <c r="I10" i="36" s="1"/>
  <c r="H15" i="36"/>
  <c r="G15" i="36"/>
  <c r="F15" i="36"/>
  <c r="E15" i="36"/>
  <c r="D15" i="36"/>
  <c r="C15" i="36"/>
  <c r="M15" i="36" s="1"/>
  <c r="L14" i="36"/>
  <c r="L10" i="36" s="1"/>
  <c r="K14" i="36"/>
  <c r="J14" i="36"/>
  <c r="I14" i="36"/>
  <c r="H14" i="36"/>
  <c r="G14" i="36"/>
  <c r="F14" i="36"/>
  <c r="E14" i="36"/>
  <c r="D14" i="36"/>
  <c r="M14" i="36" s="1"/>
  <c r="C14" i="36"/>
  <c r="L13" i="36"/>
  <c r="K13" i="36"/>
  <c r="J13" i="36"/>
  <c r="I13" i="36"/>
  <c r="H13" i="36"/>
  <c r="G13" i="36"/>
  <c r="G10" i="36" s="1"/>
  <c r="F13" i="36"/>
  <c r="E13" i="36"/>
  <c r="D13" i="36"/>
  <c r="C13" i="36"/>
  <c r="M13" i="36" s="1"/>
  <c r="L12" i="36"/>
  <c r="K12" i="36"/>
  <c r="K10" i="36" s="1"/>
  <c r="J12" i="36"/>
  <c r="J10" i="36" s="1"/>
  <c r="I12" i="36"/>
  <c r="H12" i="36"/>
  <c r="G12" i="36"/>
  <c r="F12" i="36"/>
  <c r="E12" i="36"/>
  <c r="D12" i="36"/>
  <c r="C12" i="36"/>
  <c r="M12" i="36" s="1"/>
  <c r="L11" i="36"/>
  <c r="K11" i="36"/>
  <c r="J11" i="36"/>
  <c r="I11" i="36"/>
  <c r="H11" i="36"/>
  <c r="G11" i="36"/>
  <c r="F11" i="36"/>
  <c r="F10" i="36" s="1"/>
  <c r="F17" i="36" s="1"/>
  <c r="F19" i="36" s="1"/>
  <c r="E11" i="36"/>
  <c r="M11" i="36" s="1"/>
  <c r="D11" i="36"/>
  <c r="C11" i="36"/>
  <c r="H10" i="36"/>
  <c r="M9" i="36"/>
  <c r="M8" i="36"/>
  <c r="L7" i="36"/>
  <c r="K7" i="36"/>
  <c r="J7" i="36"/>
  <c r="I7" i="36"/>
  <c r="H7" i="36"/>
  <c r="G7" i="36"/>
  <c r="F7" i="36"/>
  <c r="E7" i="36"/>
  <c r="M7" i="36" s="1"/>
  <c r="M6" i="36"/>
  <c r="L6" i="36"/>
  <c r="K6" i="36"/>
  <c r="J6" i="36"/>
  <c r="I6" i="36"/>
  <c r="H6" i="36"/>
  <c r="G6" i="36"/>
  <c r="F6" i="36"/>
  <c r="E6" i="36"/>
  <c r="L5" i="36"/>
  <c r="L17" i="36" s="1"/>
  <c r="L19" i="36" s="1"/>
  <c r="K5" i="36"/>
  <c r="K17" i="36" s="1"/>
  <c r="K19" i="36" s="1"/>
  <c r="J5" i="36"/>
  <c r="J17" i="36" s="1"/>
  <c r="J19" i="36" s="1"/>
  <c r="I5" i="36"/>
  <c r="I17" i="36" s="1"/>
  <c r="I19" i="36" s="1"/>
  <c r="H5" i="36"/>
  <c r="H17" i="36" s="1"/>
  <c r="H19" i="36" s="1"/>
  <c r="G5" i="36"/>
  <c r="F5" i="36"/>
  <c r="E5" i="36"/>
  <c r="M5" i="36" s="1"/>
  <c r="D5" i="36"/>
  <c r="C5" i="36"/>
  <c r="L4" i="36"/>
  <c r="K4" i="36"/>
  <c r="J4" i="36"/>
  <c r="I4" i="36"/>
  <c r="H4" i="36"/>
  <c r="G4" i="36"/>
  <c r="F4" i="36"/>
  <c r="E4" i="36"/>
  <c r="D4" i="36"/>
  <c r="C38" i="62" l="1"/>
  <c r="C13" i="62" s="1"/>
  <c r="C40" i="62"/>
  <c r="C38" i="43"/>
  <c r="C13" i="43" s="1"/>
  <c r="G17" i="36"/>
  <c r="G19" i="36" s="1"/>
  <c r="C10" i="36"/>
  <c r="D10" i="36"/>
  <c r="D17" i="36" s="1"/>
  <c r="D19" i="36" s="1"/>
  <c r="E10" i="36"/>
  <c r="E17" i="36" s="1"/>
  <c r="E19" i="36" s="1"/>
  <c r="D37" i="43"/>
  <c r="D12" i="43" s="1"/>
  <c r="D37" i="57"/>
  <c r="D12" i="57" s="1"/>
  <c r="D37" i="62"/>
  <c r="D12" i="62" s="1"/>
  <c r="D47" i="43"/>
  <c r="D22" i="43" s="1"/>
  <c r="E12" i="57"/>
  <c r="E9" i="56" s="1"/>
  <c r="E35" i="56" s="1"/>
  <c r="D47" i="62"/>
  <c r="D22" i="62" s="1"/>
  <c r="E20" i="50"/>
  <c r="E12" i="43"/>
  <c r="D9" i="56" s="1"/>
  <c r="F9" i="56" s="1"/>
  <c r="F35" i="56" s="1"/>
  <c r="E16" i="50"/>
  <c r="E21" i="50"/>
  <c r="E17" i="50"/>
  <c r="E12" i="62"/>
  <c r="C9" i="56" s="1"/>
  <c r="C35" i="56" s="1"/>
  <c r="C40" i="57"/>
  <c r="C11" i="57"/>
  <c r="C45" i="62"/>
  <c r="C20" i="62" s="1"/>
  <c r="C45" i="57"/>
  <c r="C20" i="57" s="1"/>
  <c r="C45" i="43"/>
  <c r="C20" i="43" s="1"/>
  <c r="C11" i="62"/>
  <c r="E11" i="50"/>
  <c r="C11" i="43"/>
  <c r="C40" i="43" l="1"/>
  <c r="C17" i="36"/>
  <c r="M10" i="36"/>
  <c r="D44" i="62"/>
  <c r="D19" i="62" s="1"/>
  <c r="E19" i="62" s="1"/>
  <c r="C16" i="56" s="1"/>
  <c r="C42" i="56" s="1"/>
  <c r="D44" i="43"/>
  <c r="D19" i="43" s="1"/>
  <c r="E19" i="43" s="1"/>
  <c r="D16" i="56" s="1"/>
  <c r="D44" i="57"/>
  <c r="D19" i="57" s="1"/>
  <c r="E19" i="57" s="1"/>
  <c r="E16" i="56" s="1"/>
  <c r="E42" i="56" s="1"/>
  <c r="D35" i="56"/>
  <c r="E20" i="43"/>
  <c r="D17" i="56" s="1"/>
  <c r="D49" i="56" s="1"/>
  <c r="D36" i="62"/>
  <c r="D36" i="43"/>
  <c r="D36" i="57"/>
  <c r="E20" i="57"/>
  <c r="E17" i="56" s="1"/>
  <c r="E43" i="56" s="1"/>
  <c r="D38" i="57"/>
  <c r="D13" i="57" s="1"/>
  <c r="E13" i="57" s="1"/>
  <c r="E10" i="56" s="1"/>
  <c r="D38" i="62"/>
  <c r="D13" i="62" s="1"/>
  <c r="E13" i="62" s="1"/>
  <c r="C10" i="56" s="1"/>
  <c r="D38" i="43"/>
  <c r="D13" i="43" s="1"/>
  <c r="E13" i="43" s="1"/>
  <c r="D10" i="56" s="1"/>
  <c r="D43" i="57"/>
  <c r="D17" i="57" s="1"/>
  <c r="E17" i="57" s="1"/>
  <c r="E14" i="56" s="1"/>
  <c r="E41" i="56" s="1"/>
  <c r="D43" i="62"/>
  <c r="D17" i="62" s="1"/>
  <c r="E17" i="62" s="1"/>
  <c r="C14" i="56" s="1"/>
  <c r="C41" i="56" s="1"/>
  <c r="D43" i="43"/>
  <c r="D17" i="43" s="1"/>
  <c r="E17" i="43" s="1"/>
  <c r="D14" i="56" s="1"/>
  <c r="D45" i="43"/>
  <c r="D20" i="43" s="1"/>
  <c r="D23" i="43" s="1"/>
  <c r="D45" i="62"/>
  <c r="D20" i="62" s="1"/>
  <c r="D23" i="62" s="1"/>
  <c r="D45" i="57"/>
  <c r="D20" i="57" s="1"/>
  <c r="D23" i="57" s="1"/>
  <c r="C14" i="43"/>
  <c r="C14" i="57"/>
  <c r="C47" i="57"/>
  <c r="C22" i="57" s="1"/>
  <c r="C47" i="62"/>
  <c r="C47" i="43"/>
  <c r="C14" i="62"/>
  <c r="E49" i="56"/>
  <c r="C18" i="36" l="1"/>
  <c r="D18" i="36" s="1"/>
  <c r="E18" i="36" s="1"/>
  <c r="F18" i="36" s="1"/>
  <c r="G18" i="36" s="1"/>
  <c r="H18" i="36" s="1"/>
  <c r="M17" i="36"/>
  <c r="C19" i="36"/>
  <c r="E23" i="36"/>
  <c r="E22" i="36"/>
  <c r="D11" i="43"/>
  <c r="D40" i="43"/>
  <c r="D48" i="43" s="1"/>
  <c r="D11" i="62"/>
  <c r="D40" i="62"/>
  <c r="D48" i="62" s="1"/>
  <c r="D47" i="56"/>
  <c r="F10" i="56"/>
  <c r="D36" i="56"/>
  <c r="E20" i="62"/>
  <c r="C17" i="56" s="1"/>
  <c r="E47" i="56"/>
  <c r="E36" i="56"/>
  <c r="F17" i="56"/>
  <c r="D43" i="56"/>
  <c r="C36" i="56"/>
  <c r="C47" i="56"/>
  <c r="F14" i="56"/>
  <c r="F41" i="56" s="1"/>
  <c r="D41" i="56"/>
  <c r="D40" i="57"/>
  <c r="D48" i="57" s="1"/>
  <c r="D11" i="57"/>
  <c r="D42" i="56"/>
  <c r="F16" i="56"/>
  <c r="F42" i="56" s="1"/>
  <c r="C22" i="62"/>
  <c r="C48" i="62"/>
  <c r="E22" i="57"/>
  <c r="E19" i="56" s="1"/>
  <c r="C23" i="57"/>
  <c r="E23" i="57" s="1"/>
  <c r="C15" i="57"/>
  <c r="C15" i="62"/>
  <c r="C48" i="57"/>
  <c r="C22" i="43"/>
  <c r="C48" i="43"/>
  <c r="F43" i="56"/>
  <c r="F49" i="56"/>
  <c r="C15" i="43"/>
  <c r="C20" i="36" l="1"/>
  <c r="D20" i="36" s="1"/>
  <c r="E20" i="36" s="1"/>
  <c r="F20" i="36" s="1"/>
  <c r="G20" i="36" s="1"/>
  <c r="H20" i="36" s="1"/>
  <c r="M19" i="36"/>
  <c r="I23" i="36"/>
  <c r="I22" i="36"/>
  <c r="I18" i="36"/>
  <c r="J18" i="36" s="1"/>
  <c r="K18" i="36" s="1"/>
  <c r="L18" i="36" s="1"/>
  <c r="E24" i="36"/>
  <c r="D14" i="43"/>
  <c r="E11" i="43"/>
  <c r="D8" i="56" s="1"/>
  <c r="C49" i="56"/>
  <c r="C43" i="56"/>
  <c r="F36" i="56"/>
  <c r="F47" i="56"/>
  <c r="D14" i="62"/>
  <c r="E11" i="62"/>
  <c r="C8" i="56" s="1"/>
  <c r="D14" i="57"/>
  <c r="E11" i="57"/>
  <c r="E8" i="56" s="1"/>
  <c r="C16" i="62"/>
  <c r="C16" i="43"/>
  <c r="C23" i="43"/>
  <c r="E23" i="43" s="1"/>
  <c r="E22" i="43"/>
  <c r="D19" i="56" s="1"/>
  <c r="C24" i="57"/>
  <c r="C16" i="57"/>
  <c r="E51" i="56"/>
  <c r="E45" i="56"/>
  <c r="E20" i="56"/>
  <c r="E22" i="62"/>
  <c r="C19" i="56" s="1"/>
  <c r="C23" i="62"/>
  <c r="E23" i="62" s="1"/>
  <c r="I24" i="36" l="1"/>
  <c r="I20" i="36"/>
  <c r="J20" i="36" s="1"/>
  <c r="K20" i="36" s="1"/>
  <c r="L20" i="36" s="1"/>
  <c r="C34" i="56"/>
  <c r="C48" i="56"/>
  <c r="C11" i="56"/>
  <c r="D15" i="62"/>
  <c r="E14" i="62"/>
  <c r="D34" i="56"/>
  <c r="D48" i="56"/>
  <c r="D11" i="56"/>
  <c r="F8" i="56"/>
  <c r="E11" i="56"/>
  <c r="E34" i="56"/>
  <c r="E48" i="56"/>
  <c r="D15" i="57"/>
  <c r="E14" i="57"/>
  <c r="D15" i="43"/>
  <c r="E14" i="43"/>
  <c r="D51" i="56"/>
  <c r="D45" i="56"/>
  <c r="D20" i="56"/>
  <c r="F19" i="56"/>
  <c r="C24" i="43"/>
  <c r="C45" i="56"/>
  <c r="C20" i="56"/>
  <c r="C51" i="56"/>
  <c r="C25" i="57"/>
  <c r="C24" i="62"/>
  <c r="F11" i="56" l="1"/>
  <c r="F48" i="56"/>
  <c r="F34" i="56"/>
  <c r="D24" i="43"/>
  <c r="E24" i="43" s="1"/>
  <c r="D21" i="56" s="1"/>
  <c r="D16" i="43"/>
  <c r="E15" i="43"/>
  <c r="D16" i="62"/>
  <c r="D24" i="62"/>
  <c r="E24" i="62" s="1"/>
  <c r="C21" i="56" s="1"/>
  <c r="C53" i="56" s="1"/>
  <c r="E15" i="62"/>
  <c r="D16" i="57"/>
  <c r="D24" i="57"/>
  <c r="E15" i="57"/>
  <c r="C25" i="43"/>
  <c r="F45" i="56"/>
  <c r="F20" i="56"/>
  <c r="F51" i="56"/>
  <c r="C25" i="62"/>
  <c r="C26" i="62" s="1"/>
  <c r="C26" i="57"/>
  <c r="E16" i="57" l="1"/>
  <c r="E12" i="56"/>
  <c r="D12" i="56"/>
  <c r="E16" i="43"/>
  <c r="D25" i="57"/>
  <c r="E25" i="57" s="1"/>
  <c r="E22" i="56" s="1"/>
  <c r="E24" i="57"/>
  <c r="E21" i="56" s="1"/>
  <c r="E53" i="56" s="1"/>
  <c r="C12" i="56"/>
  <c r="E16" i="62"/>
  <c r="D25" i="43"/>
  <c r="E25" i="43" s="1"/>
  <c r="D22" i="56" s="1"/>
  <c r="D25" i="62"/>
  <c r="D26" i="62" s="1"/>
  <c r="C26" i="43"/>
  <c r="C27" i="62"/>
  <c r="D53" i="56"/>
  <c r="C27" i="57"/>
  <c r="D26" i="43" l="1"/>
  <c r="D27" i="43" s="1"/>
  <c r="E25" i="62"/>
  <c r="C22" i="56" s="1"/>
  <c r="D27" i="62"/>
  <c r="E26" i="62"/>
  <c r="D26" i="57"/>
  <c r="D13" i="56"/>
  <c r="F12" i="56"/>
  <c r="D38" i="56"/>
  <c r="D39" i="56" s="1"/>
  <c r="C13" i="56"/>
  <c r="C38" i="56"/>
  <c r="C39" i="56" s="1"/>
  <c r="F21" i="56"/>
  <c r="F53" i="56" s="1"/>
  <c r="F22" i="56"/>
  <c r="E13" i="56"/>
  <c r="E38" i="56"/>
  <c r="E39" i="56" s="1"/>
  <c r="C23" i="56"/>
  <c r="E27" i="62"/>
  <c r="C27" i="43"/>
  <c r="E26" i="43"/>
  <c r="F13" i="56" l="1"/>
  <c r="F38" i="56"/>
  <c r="F39" i="56" s="1"/>
  <c r="D27" i="57"/>
  <c r="E26" i="57"/>
  <c r="D23" i="56"/>
  <c r="E27" i="43"/>
  <c r="C59" i="56"/>
  <c r="C58" i="56" s="1"/>
  <c r="C52" i="56"/>
  <c r="C24" i="56"/>
  <c r="E23" i="56" l="1"/>
  <c r="F23" i="56" s="1"/>
  <c r="E27" i="57"/>
  <c r="D59" i="56"/>
  <c r="D58" i="56" s="1"/>
  <c r="D52" i="56"/>
  <c r="D24" i="56"/>
  <c r="E59" i="56" l="1"/>
  <c r="E58" i="56" s="1"/>
  <c r="E52" i="56"/>
  <c r="E24" i="56"/>
  <c r="F52" i="56"/>
  <c r="F24" i="56"/>
  <c r="F59" i="56"/>
  <c r="F58" i="56" s="1"/>
</calcChain>
</file>

<file path=xl/comments1.xml><?xml version="1.0" encoding="utf-8"?>
<comments xmlns="http://schemas.openxmlformats.org/spreadsheetml/2006/main">
  <authors>
    <author>作者</author>
  </authors>
  <commentList>
    <comment ref="N3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<sst xmlns="http://schemas.openxmlformats.org/spreadsheetml/2006/main" count="1231" uniqueCount="327">
  <si>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</si>
  <si>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</si>
  <si>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</si>
  <si>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</si>
  <si>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</si>
  <si>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</si>
  <si>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</si>
  <si>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</si>
  <si>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</si>
  <si>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变动费用</t>
  </si>
  <si>
    <t>固定费用</t>
  </si>
  <si>
    <t>预测工厂产能满足客户订单。</t>
  </si>
  <si>
    <t>研发费用按照产销量摊销。</t>
  </si>
  <si>
    <t>财务费用按集团综合。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</si>
  <si>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</si>
  <si>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</si>
  <si>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</si>
  <si>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</si>
  <si>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</si>
  <si>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</si>
  <si>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</si>
  <si>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</si>
  <si>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</si>
  <si>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</si>
  <si>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</si>
  <si>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</si>
  <si>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</si>
  <si>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</si>
  <si>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</si>
  <si>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</si>
  <si>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</si>
  <si>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</si>
  <si>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</si>
  <si>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</si>
  <si>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</si>
  <si>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</si>
  <si>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</si>
  <si>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</si>
  <si>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</si>
  <si>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</si>
  <si>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</si>
  <si>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</si>
  <si>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</si>
  <si>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</si>
  <si>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</si>
  <si>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</si>
  <si>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</si>
  <si>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</si>
  <si>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</si>
  <si>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济南重汽橡塑座椅靠背调角器项目可行性分析            单位：元</t>
  </si>
  <si>
    <t>面套、骨架、底支架自制</t>
  </si>
  <si>
    <r>
      <rPr>
        <b/>
        <sz val="10"/>
        <rFont val="CorpoS"/>
        <family val="1"/>
      </rPr>
      <t>2024</t>
    </r>
    <r>
      <rPr>
        <b/>
        <sz val="10"/>
        <rFont val="宋体"/>
        <family val="3"/>
        <charset val="134"/>
      </rPr>
      <t>年</t>
    </r>
  </si>
  <si>
    <r>
      <rPr>
        <b/>
        <sz val="10"/>
        <rFont val="CorpoS"/>
        <family val="1"/>
      </rPr>
      <t>2025</t>
    </r>
    <r>
      <rPr>
        <b/>
        <sz val="10"/>
        <rFont val="宋体"/>
        <family val="3"/>
        <charset val="134"/>
      </rPr>
      <t>年</t>
    </r>
  </si>
  <si>
    <t>2026年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</si>
  <si>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</si>
  <si>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</si>
  <si>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</si>
  <si>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</si>
  <si>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</si>
  <si>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</si>
  <si>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</si>
  <si>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</si>
  <si>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</si>
  <si>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</si>
  <si>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</si>
  <si>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</si>
  <si>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</si>
  <si>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</si>
  <si>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</si>
  <si>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</si>
  <si>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</si>
  <si>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</si>
  <si>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</si>
  <si>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</si>
  <si>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</si>
  <si>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</si>
  <si>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</si>
  <si>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</si>
  <si>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</si>
  <si>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</si>
  <si>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</si>
  <si>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</si>
  <si>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设备模具等折旧分摊</t>
  </si>
  <si>
    <t>假设包含在固定制造费用中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</si>
  <si>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</si>
  <si>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</si>
  <si>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</si>
  <si>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</si>
  <si>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</si>
  <si>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</si>
  <si>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</si>
  <si>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</si>
  <si>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</si>
  <si>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</si>
  <si>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</si>
  <si>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</si>
  <si>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</si>
  <si>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</si>
  <si>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</si>
  <si>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</si>
  <si>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</si>
  <si>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</si>
  <si>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2025年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</si>
  <si>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</si>
  <si>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</si>
  <si>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</si>
  <si>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</si>
  <si>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</si>
  <si>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</si>
  <si>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</si>
  <si>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</si>
  <si>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</si>
  <si>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</si>
  <si>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</si>
  <si>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</si>
  <si>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</si>
  <si>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</si>
  <si>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</si>
  <si>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</si>
  <si>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</si>
  <si>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</si>
  <si>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</si>
  <si>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</si>
  <si>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</si>
  <si>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</si>
  <si>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</si>
  <si>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</si>
  <si>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</si>
  <si>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</si>
  <si>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</si>
  <si>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</si>
  <si>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</si>
  <si>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</si>
  <si>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</si>
  <si>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</si>
  <si>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</si>
  <si>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</si>
  <si>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</si>
  <si>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</si>
  <si>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</si>
  <si>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</si>
  <si>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</si>
  <si>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</si>
  <si>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</si>
  <si>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</si>
  <si>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</si>
  <si>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</si>
  <si>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</si>
  <si>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</si>
  <si>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 xml:space="preserve">2024年  </t>
  </si>
  <si>
    <t>客户全称</t>
  </si>
  <si>
    <t>济南重汽橡塑座椅靠背调角器</t>
  </si>
  <si>
    <t>产品名称</t>
  </si>
  <si>
    <t>靠背调角器</t>
  </si>
  <si>
    <t>产品图号</t>
  </si>
  <si>
    <t>AZ160051000174</t>
  </si>
  <si>
    <t>AZ160051000119</t>
  </si>
  <si>
    <t>车型</t>
  </si>
  <si>
    <t>芯盘结构</t>
  </si>
  <si>
    <t>销量(件）</t>
  </si>
  <si>
    <t>所得税(税率25%）</t>
  </si>
  <si>
    <t>单位：元</t>
  </si>
  <si>
    <t>单件销售收入净额</t>
  </si>
  <si>
    <t xml:space="preserve">2025年  </t>
  </si>
  <si>
    <t xml:space="preserve">2026年  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</si>
  <si>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</si>
  <si>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 xml:space="preserve">济南重汽橡塑座椅靠背调角器项目研发费用预算表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</si>
  <si>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</si>
  <si>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</si>
  <si>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</si>
  <si>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</si>
  <si>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</si>
  <si>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</si>
  <si>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</si>
  <si>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</si>
  <si>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</si>
  <si>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</si>
  <si>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</si>
  <si>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</si>
  <si>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</si>
  <si>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</si>
  <si>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</si>
  <si>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</si>
  <si>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</si>
  <si>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</si>
  <si>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</si>
  <si>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</si>
  <si>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</si>
  <si>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</si>
  <si>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</si>
  <si>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</si>
  <si>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</si>
  <si>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</si>
  <si>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</si>
  <si>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</si>
  <si>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</si>
  <si>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</si>
  <si>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</si>
  <si>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</si>
  <si>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</si>
  <si>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2024年</t>
  </si>
  <si>
    <t>2027年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</si>
  <si>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</si>
  <si>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</si>
  <si>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</si>
  <si>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</si>
  <si>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</si>
  <si>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</si>
  <si>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</si>
  <si>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</si>
  <si>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</si>
  <si>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</si>
  <si>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销售单价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</si>
  <si>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</si>
  <si>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</si>
  <si>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</si>
  <si>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</si>
  <si>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</si>
  <si>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</si>
  <si>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供应商年降：       年 3%</t>
  </si>
  <si>
    <t>模块</t>
  </si>
  <si>
    <t>项目名称</t>
  </si>
  <si>
    <t>项目编号</t>
  </si>
  <si>
    <t xml:space="preserve">
ZY2418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</si>
  <si>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</si>
  <si>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</si>
  <si>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</si>
  <si>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</si>
  <si>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</si>
  <si>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</si>
  <si>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</si>
  <si>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</si>
  <si>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</si>
  <si>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</si>
  <si>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</si>
  <si>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</si>
  <si>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</si>
  <si>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</si>
  <si>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</si>
  <si>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</si>
  <si>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</si>
  <si>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</si>
  <si>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第一次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</si>
  <si>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</si>
  <si>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</si>
  <si>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</si>
  <si>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</si>
  <si>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</si>
  <si>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</si>
  <si>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</si>
  <si>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</si>
  <si>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</si>
  <si>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</si>
  <si>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</si>
  <si>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</si>
  <si>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</si>
  <si>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</si>
  <si>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</si>
  <si>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</si>
  <si>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</si>
  <si>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</si>
  <si>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</si>
  <si>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>涂红色处为必填项</t>
  </si>
  <si>
    <t>单位：元、%、未税</t>
  </si>
  <si>
    <t>科目</t>
  </si>
  <si>
    <t>河北工厂平均值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</si>
  <si>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</si>
  <si>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</si>
  <si>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</si>
  <si>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</si>
  <si>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</si>
  <si>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</si>
  <si>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</si>
  <si>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</si>
  <si>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</si>
  <si>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</si>
  <si>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</si>
  <si>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</si>
  <si>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</si>
  <si>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>零件信息</t>
  </si>
  <si>
    <t>正式包装（循环包装-工装车）</t>
  </si>
  <si>
    <t>包装成本</t>
  </si>
  <si>
    <t>运输成本</t>
  </si>
  <si>
    <t>包装运输费用</t>
  </si>
  <si>
    <t>零件号</t>
  </si>
  <si>
    <t>零件名称</t>
  </si>
  <si>
    <t>零件图片</t>
  </si>
  <si>
    <t>尺寸</t>
  </si>
  <si>
    <t>重量</t>
  </si>
  <si>
    <t>包装</t>
  </si>
  <si>
    <t>包装图片</t>
  </si>
  <si>
    <t>参考装载数量</t>
  </si>
  <si>
    <t>摆放方式</t>
  </si>
  <si>
    <t>包装尺寸</t>
  </si>
  <si>
    <t>单个包装成本</t>
  </si>
  <si>
    <t>投入工装数量</t>
  </si>
  <si>
    <t>投入费用</t>
  </si>
  <si>
    <t>摊销件数</t>
  </si>
  <si>
    <t>单件包装成本</t>
  </si>
  <si>
    <t>货车</t>
  </si>
  <si>
    <t>起止地</t>
  </si>
  <si>
    <t>运输距离/kg</t>
  </si>
  <si>
    <t>运输费用/未税/元</t>
  </si>
  <si>
    <t>装载车数</t>
  </si>
  <si>
    <t>装载件数</t>
  </si>
  <si>
    <t>单件运输成本</t>
  </si>
  <si>
    <t>重汽</t>
  </si>
  <si>
    <t>AZ160051000174/AZ160051000119</t>
  </si>
  <si>
    <t>靠背调角器总成</t>
  </si>
  <si>
    <t>760*375*385</t>
  </si>
  <si>
    <t>工装车</t>
  </si>
  <si>
    <t>每层6个，2层</t>
  </si>
  <si>
    <t>1600*1150*1150</t>
  </si>
  <si>
    <t>9.6米箱式货车</t>
  </si>
  <si>
    <t>河北光华荣昌-中国重汽济南橡塑有限公司</t>
  </si>
  <si>
    <t>按照最大日产量500台车，共计1000个调角器总成，每天要发4趟车，共计投入104个工装车，按照1.5倍的投入，需要投入150个台车，投入费用37.5万元。</t>
  </si>
  <si>
    <t>冲压件自制</t>
    <phoneticPr fontId="53" type="noConversion"/>
  </si>
  <si>
    <t>总成供货</t>
    <phoneticPr fontId="53" type="noConversion"/>
  </si>
  <si>
    <t>分摊</t>
    <phoneticPr fontId="53" type="noConversion"/>
  </si>
  <si>
    <t>河北工厂</t>
    <phoneticPr fontId="53" type="noConversion"/>
  </si>
  <si>
    <t>承兑</t>
    <phoneticPr fontId="53" type="noConversion"/>
  </si>
  <si>
    <t>济南市长清区，现场服务</t>
    <phoneticPr fontId="53" type="noConversion"/>
  </si>
  <si>
    <r>
      <t>年降，5</t>
    </r>
    <r>
      <rPr>
        <sz val="11"/>
        <color rgb="FF000000"/>
        <rFont val="宋体"/>
        <family val="3"/>
        <charset val="134"/>
      </rPr>
      <t>0%供货</t>
    </r>
    <phoneticPr fontId="53" type="noConversion"/>
  </si>
  <si>
    <t>仅第三方+预计现场0.50/件+包装运费</t>
    <phoneticPr fontId="53" type="noConversion"/>
  </si>
  <si>
    <t>单台材料成本为未税价格，冲压件自制。</t>
    <phoneticPr fontId="53" type="noConversion"/>
  </si>
  <si>
    <r>
      <t>变动费用参考河北工厂202</t>
    </r>
    <r>
      <rPr>
        <sz val="12"/>
        <rFont val="微软雅黑"/>
        <family val="2"/>
        <charset val="134"/>
      </rPr>
      <t>3</t>
    </r>
    <r>
      <rPr>
        <sz val="12"/>
        <rFont val="微软雅黑"/>
        <charset val="134"/>
      </rPr>
      <t>年实际及202</t>
    </r>
    <r>
      <rPr>
        <sz val="12"/>
        <rFont val="微软雅黑"/>
        <family val="2"/>
        <charset val="134"/>
      </rPr>
      <t>4</t>
    </r>
    <r>
      <rPr>
        <sz val="12"/>
        <rFont val="微软雅黑"/>
        <charset val="134"/>
      </rPr>
      <t>预算暂估。</t>
    </r>
    <phoneticPr fontId="53" type="noConversion"/>
  </si>
  <si>
    <t>直接材料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</si>
</sst>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78" formatCode="0.0000_);[Red]\(0.0000\)"/>
    <numFmt numFmtId="179" formatCode="0.000_);[Red]\(0.000\)"/>
    <numFmt numFmtId="180" formatCode="#,##0.00_ "/>
    <numFmt numFmtId="181" formatCode="_ * #,##0_ ;_ * \-#,##0_ ;_ * &quot;-&quot;??_ ;_ @_ "/>
    <numFmt numFmtId="182" formatCode="0.0%"/>
    <numFmt numFmtId="183" formatCode="#,##0_ "/>
    <numFmt numFmtId="184" formatCode="0_ "/>
    <numFmt numFmtId="185" formatCode="0.00_ "/>
    <numFmt numFmtId="186" formatCode="&quot;$&quot;#,##0.00_);[Red]\(&quot;$&quot;#,##0.00\)"/>
  </numFmts>
  <fonts count="5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宋体"/>
      <charset val="134"/>
    </font>
    <font>
      <sz val="9"/>
      <color theme="1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b/>
      <sz val="9"/>
      <name val="微软雅黑"/>
      <charset val="134"/>
    </font>
    <font>
      <sz val="11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b/>
      <sz val="12"/>
      <color rgb="FFFF0000"/>
      <name val="微软雅黑"/>
      <charset val="134"/>
    </font>
    <font>
      <b/>
      <sz val="16"/>
      <color indexed="8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8"/>
      <color theme="1"/>
      <name val="微软雅黑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b/>
      <sz val="12"/>
      <color rgb="FF000000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color theme="1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rgb="FFFF0000"/>
      <name val="微软雅黑"/>
      <family val="2"/>
      <charset val="134"/>
    </font>
    <font>
      <sz val="11"/>
      <color rgb="FF000000"/>
      <name val="宋体"/>
      <family val="3"/>
      <charset val="134"/>
    </font>
    <font>
      <sz val="12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>
      <alignment vertical="center"/>
    </xf>
    <xf numFmtId="43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/>
    <xf numFmtId="0" fontId="41" fillId="0" borderId="1" applyNumberFormat="0" applyFill="0" applyBorder="0" applyAlignment="0" applyProtection="0">
      <alignment vertical="center"/>
    </xf>
    <xf numFmtId="0" fontId="49" fillId="0" borderId="0">
      <alignment vertical="center"/>
    </xf>
    <xf numFmtId="0" fontId="42" fillId="0" borderId="0"/>
    <xf numFmtId="0" fontId="43" fillId="0" borderId="0"/>
    <xf numFmtId="1" fontId="44" fillId="0" borderId="1" applyBorder="0"/>
    <xf numFmtId="43" fontId="45" fillId="0" borderId="0" applyFont="0" applyFill="0" applyBorder="0" applyAlignment="0" applyProtection="0">
      <alignment vertical="center"/>
    </xf>
    <xf numFmtId="0" fontId="42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</cellStyleXfs>
  <cellXfs count="29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12" applyFont="1" applyBorder="1" applyAlignment="1">
      <alignment horizontal="center" vertical="center" wrapText="1"/>
    </xf>
    <xf numFmtId="0" fontId="1" fillId="0" borderId="1" xfId="3" applyNumberFormat="1" applyFont="1" applyFill="1" applyBorder="1" applyAlignment="1">
      <alignment horizontal="center" vertical="center" wrapText="1"/>
    </xf>
    <xf numFmtId="0" fontId="1" fillId="0" borderId="1" xfId="13" applyFont="1" applyBorder="1" applyAlignment="1">
      <alignment horizontal="center" vertical="center" wrapText="1"/>
    </xf>
    <xf numFmtId="178" fontId="1" fillId="0" borderId="1" xfId="14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>
      <alignment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43" fontId="4" fillId="0" borderId="1" xfId="1" applyFont="1" applyFill="1" applyBorder="1">
      <alignment vertical="center"/>
    </xf>
    <xf numFmtId="10" fontId="0" fillId="0" borderId="1" xfId="2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3" fillId="3" borderId="1" xfId="1" applyFont="1" applyFill="1" applyBorder="1" applyAlignment="1">
      <alignment horizontal="center" vertical="center" wrapText="1"/>
    </xf>
    <xf numFmtId="43" fontId="14" fillId="6" borderId="1" xfId="0" applyNumberFormat="1" applyFont="1" applyFill="1" applyBorder="1" applyAlignment="1">
      <alignment horizontal="center" vertical="center" wrapText="1"/>
    </xf>
    <xf numFmtId="43" fontId="8" fillId="6" borderId="0" xfId="1" applyFont="1" applyFill="1" applyAlignment="1">
      <alignment horizontal="center" vertical="center" wrapText="1"/>
    </xf>
    <xf numFmtId="43" fontId="8" fillId="6" borderId="1" xfId="1" applyFont="1" applyFill="1" applyBorder="1" applyAlignment="1">
      <alignment vertical="center" wrapText="1"/>
    </xf>
    <xf numFmtId="43" fontId="13" fillId="0" borderId="1" xfId="1" applyFont="1" applyBorder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3" fontId="6" fillId="0" borderId="0" xfId="0" applyNumberFormat="1" applyFont="1" applyBorder="1">
      <alignment vertical="center"/>
    </xf>
    <xf numFmtId="0" fontId="6" fillId="0" borderId="0" xfId="0" applyFont="1" applyFill="1">
      <alignment vertical="center"/>
    </xf>
    <xf numFmtId="180" fontId="6" fillId="0" borderId="0" xfId="0" applyNumberFormat="1" applyFont="1" applyFill="1">
      <alignment vertical="center"/>
    </xf>
    <xf numFmtId="0" fontId="15" fillId="0" borderId="0" xfId="0" applyFont="1" applyFill="1" applyAlignment="1">
      <alignment vertical="center" wrapText="1"/>
    </xf>
    <xf numFmtId="181" fontId="6" fillId="0" borderId="0" xfId="1" applyNumberFormat="1" applyFont="1" applyFill="1">
      <alignment vertical="center"/>
    </xf>
    <xf numFmtId="0" fontId="15" fillId="0" borderId="0" xfId="0" applyFont="1" applyFill="1" applyAlignment="1">
      <alignment vertical="center"/>
    </xf>
    <xf numFmtId="10" fontId="6" fillId="0" borderId="0" xfId="0" applyNumberFormat="1" applyFont="1" applyFill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43" fontId="17" fillId="0" borderId="1" xfId="0" applyNumberFormat="1" applyFont="1" applyFill="1" applyBorder="1" applyAlignment="1">
      <alignment horizontal="center" vertical="center" wrapText="1" readingOrder="1"/>
    </xf>
    <xf numFmtId="0" fontId="18" fillId="0" borderId="1" xfId="0" applyFont="1" applyFill="1" applyBorder="1" applyAlignment="1">
      <alignment horizontal="center" vertical="center" wrapText="1" readingOrder="1"/>
    </xf>
    <xf numFmtId="180" fontId="18" fillId="0" borderId="1" xfId="0" applyNumberFormat="1" applyFont="1" applyFill="1" applyBorder="1" applyAlignment="1">
      <alignment horizontal="center" vertical="center" wrapText="1" readingOrder="1"/>
    </xf>
    <xf numFmtId="180" fontId="19" fillId="0" borderId="1" xfId="0" applyNumberFormat="1" applyFont="1" applyFill="1" applyBorder="1" applyAlignment="1">
      <alignment horizontal="center" vertical="center" wrapText="1" readingOrder="1"/>
    </xf>
    <xf numFmtId="181" fontId="5" fillId="0" borderId="1" xfId="0" applyNumberFormat="1" applyFont="1" applyFill="1" applyBorder="1" applyAlignment="1">
      <alignment horizontal="center" wrapText="1" readingOrder="1"/>
    </xf>
    <xf numFmtId="43" fontId="6" fillId="0" borderId="0" xfId="1" applyFont="1" applyFill="1">
      <alignment vertical="center"/>
    </xf>
    <xf numFmtId="0" fontId="20" fillId="0" borderId="0" xfId="0" applyFont="1" applyBorder="1" applyAlignment="1">
      <alignment horizontal="center" vertical="center" wrapText="1"/>
    </xf>
    <xf numFmtId="43" fontId="6" fillId="0" borderId="0" xfId="0" applyNumberFormat="1" applyFont="1" applyFill="1">
      <alignment vertical="center"/>
    </xf>
    <xf numFmtId="182" fontId="6" fillId="0" borderId="0" xfId="2" applyNumberFormat="1" applyFont="1" applyFill="1">
      <alignment vertical="center"/>
    </xf>
    <xf numFmtId="182" fontId="6" fillId="6" borderId="0" xfId="2" applyNumberFormat="1" applyFont="1" applyFill="1">
      <alignment vertical="center"/>
    </xf>
    <xf numFmtId="181" fontId="18" fillId="0" borderId="1" xfId="1" applyNumberFormat="1" applyFont="1" applyFill="1" applyBorder="1" applyAlignment="1">
      <alignment horizontal="center" vertical="center" wrapText="1" readingOrder="1"/>
    </xf>
    <xf numFmtId="183" fontId="6" fillId="0" borderId="0" xfId="0" applyNumberFormat="1" applyFont="1" applyFill="1">
      <alignment vertical="center"/>
    </xf>
    <xf numFmtId="43" fontId="6" fillId="0" borderId="1" xfId="0" applyNumberFormat="1" applyFont="1" applyFill="1" applyBorder="1">
      <alignment vertical="center"/>
    </xf>
    <xf numFmtId="43" fontId="0" fillId="0" borderId="0" xfId="1" applyFont="1">
      <alignment vertical="center"/>
    </xf>
    <xf numFmtId="184" fontId="22" fillId="8" borderId="1" xfId="8" applyNumberFormat="1" applyFont="1" applyFill="1" applyBorder="1" applyAlignment="1">
      <alignment horizontal="center" vertical="center" wrapText="1"/>
    </xf>
    <xf numFmtId="43" fontId="22" fillId="8" borderId="1" xfId="1" applyFont="1" applyFill="1" applyBorder="1" applyAlignment="1">
      <alignment horizontal="center" vertical="center" wrapText="1"/>
    </xf>
    <xf numFmtId="0" fontId="22" fillId="8" borderId="1" xfId="4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184" fontId="23" fillId="0" borderId="1" xfId="8" applyNumberFormat="1" applyFont="1" applyFill="1" applyBorder="1" applyAlignment="1">
      <alignment horizontal="left" vertical="center"/>
    </xf>
    <xf numFmtId="43" fontId="23" fillId="3" borderId="1" xfId="1" applyFont="1" applyFill="1" applyBorder="1" applyAlignment="1">
      <alignment horizontal="center" vertical="center"/>
    </xf>
    <xf numFmtId="0" fontId="24" fillId="7" borderId="1" xfId="4" applyNumberFormat="1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43" fontId="7" fillId="5" borderId="1" xfId="1" applyFont="1" applyFill="1" applyBorder="1" applyAlignment="1" applyProtection="1">
      <alignment horizontal="center" vertical="center"/>
    </xf>
    <xf numFmtId="0" fontId="25" fillId="7" borderId="1" xfId="4" applyNumberFormat="1" applyFont="1" applyFill="1" applyBorder="1" applyAlignment="1" applyProtection="1">
      <alignment horizontal="center" vertical="center"/>
    </xf>
    <xf numFmtId="43" fontId="23" fillId="0" borderId="1" xfId="1" applyFont="1" applyFill="1" applyBorder="1" applyAlignment="1">
      <alignment horizontal="center" vertical="center"/>
    </xf>
    <xf numFmtId="0" fontId="0" fillId="9" borderId="1" xfId="0" applyFill="1" applyBorder="1">
      <alignment vertical="center"/>
    </xf>
    <xf numFmtId="184" fontId="23" fillId="0" borderId="2" xfId="8" applyNumberFormat="1" applyFont="1" applyFill="1" applyBorder="1" applyAlignment="1">
      <alignment horizontal="center" vertical="center"/>
    </xf>
    <xf numFmtId="184" fontId="23" fillId="0" borderId="2" xfId="8" applyNumberFormat="1" applyFont="1" applyFill="1" applyBorder="1" applyAlignment="1">
      <alignment horizontal="left" vertical="center" wrapText="1"/>
    </xf>
    <xf numFmtId="0" fontId="24" fillId="7" borderId="1" xfId="4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>
      <alignment vertical="center"/>
    </xf>
    <xf numFmtId="43" fontId="23" fillId="5" borderId="1" xfId="1" applyFont="1" applyFill="1" applyBorder="1" applyAlignment="1" applyProtection="1">
      <alignment horizontal="center"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center" readingOrder="1"/>
    </xf>
    <xf numFmtId="43" fontId="13" fillId="0" borderId="1" xfId="0" applyNumberFormat="1" applyFont="1" applyBorder="1">
      <alignment vertical="center"/>
    </xf>
    <xf numFmtId="43" fontId="13" fillId="0" borderId="1" xfId="1" applyNumberFormat="1" applyFont="1" applyBorder="1">
      <alignment vertical="center"/>
    </xf>
    <xf numFmtId="43" fontId="13" fillId="0" borderId="1" xfId="1" applyFont="1" applyBorder="1">
      <alignment vertical="center"/>
    </xf>
    <xf numFmtId="0" fontId="4" fillId="0" borderId="0" xfId="0" applyFont="1" applyAlignment="1">
      <alignment horizontal="center" vertical="center"/>
    </xf>
    <xf numFmtId="0" fontId="0" fillId="9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26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27" fillId="0" borderId="0" xfId="0" applyFont="1" applyFill="1">
      <alignment vertical="center"/>
    </xf>
    <xf numFmtId="43" fontId="27" fillId="0" borderId="0" xfId="1" applyFont="1" applyFill="1">
      <alignment vertical="center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>
      <alignment vertical="center"/>
    </xf>
    <xf numFmtId="0" fontId="31" fillId="0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 readingOrder="1"/>
    </xf>
    <xf numFmtId="43" fontId="27" fillId="0" borderId="1" xfId="1" applyFont="1" applyFill="1" applyBorder="1" applyAlignment="1">
      <alignment horizontal="center" vertical="center"/>
    </xf>
    <xf numFmtId="43" fontId="27" fillId="0" borderId="0" xfId="0" applyNumberFormat="1" applyFont="1" applyFill="1">
      <alignment vertical="center"/>
    </xf>
    <xf numFmtId="0" fontId="31" fillId="0" borderId="1" xfId="0" applyFont="1" applyFill="1" applyBorder="1">
      <alignment vertical="center"/>
    </xf>
    <xf numFmtId="10" fontId="27" fillId="0" borderId="1" xfId="2" applyNumberFormat="1" applyFont="1" applyFill="1" applyBorder="1" applyAlignment="1">
      <alignment horizontal="center" vertical="center"/>
    </xf>
    <xf numFmtId="0" fontId="26" fillId="0" borderId="1" xfId="0" applyFont="1" applyFill="1" applyBorder="1">
      <alignment vertical="center"/>
    </xf>
    <xf numFmtId="43" fontId="26" fillId="0" borderId="1" xfId="1" applyFont="1" applyFill="1" applyBorder="1">
      <alignment vertical="center"/>
    </xf>
    <xf numFmtId="0" fontId="32" fillId="0" borderId="0" xfId="0" applyFont="1" applyFill="1">
      <alignment vertical="center"/>
    </xf>
    <xf numFmtId="43" fontId="27" fillId="0" borderId="1" xfId="1" applyFont="1" applyFill="1" applyBorder="1">
      <alignment vertical="center"/>
    </xf>
    <xf numFmtId="0" fontId="14" fillId="0" borderId="1" xfId="0" applyFont="1" applyFill="1" applyBorder="1">
      <alignment vertical="center"/>
    </xf>
    <xf numFmtId="185" fontId="27" fillId="0" borderId="0" xfId="0" applyNumberFormat="1" applyFont="1" applyFill="1">
      <alignment vertical="center"/>
    </xf>
    <xf numFmtId="10" fontId="27" fillId="0" borderId="1" xfId="2" applyNumberFormat="1" applyFont="1" applyFill="1" applyBorder="1">
      <alignment vertical="center"/>
    </xf>
    <xf numFmtId="43" fontId="26" fillId="0" borderId="1" xfId="1" applyFont="1" applyFill="1" applyBorder="1" applyAlignment="1">
      <alignment horizontal="center" vertical="center"/>
    </xf>
    <xf numFmtId="43" fontId="27" fillId="0" borderId="1" xfId="0" applyNumberFormat="1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27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4" fillId="0" borderId="0" xfId="0" applyFont="1">
      <alignment vertical="center"/>
    </xf>
    <xf numFmtId="0" fontId="27" fillId="0" borderId="0" xfId="0" applyFont="1" applyBorder="1">
      <alignment vertical="center"/>
    </xf>
    <xf numFmtId="0" fontId="27" fillId="0" borderId="0" xfId="0" applyFont="1">
      <alignment vertical="center"/>
    </xf>
    <xf numFmtId="43" fontId="27" fillId="0" borderId="0" xfId="1" applyFont="1">
      <alignment vertical="center"/>
    </xf>
    <xf numFmtId="43" fontId="34" fillId="0" borderId="1" xfId="1" applyFont="1" applyFill="1" applyBorder="1" applyAlignment="1">
      <alignment horizontal="center" vertical="center" wrapText="1"/>
    </xf>
    <xf numFmtId="43" fontId="29" fillId="0" borderId="1" xfId="1" applyFont="1" applyFill="1" applyBorder="1" applyAlignment="1">
      <alignment horizontal="center" vertical="center" wrapText="1"/>
    </xf>
    <xf numFmtId="181" fontId="27" fillId="0" borderId="1" xfId="1" applyNumberFormat="1" applyFont="1" applyFill="1" applyBorder="1" applyAlignment="1">
      <alignment horizontal="center" vertical="center"/>
    </xf>
    <xf numFmtId="181" fontId="14" fillId="0" borderId="1" xfId="1" applyNumberFormat="1" applyFont="1" applyFill="1" applyBorder="1" applyAlignment="1">
      <alignment horizontal="center" vertical="center"/>
    </xf>
    <xf numFmtId="0" fontId="31" fillId="10" borderId="1" xfId="0" applyFont="1" applyFill="1" applyBorder="1">
      <alignment vertical="center"/>
    </xf>
    <xf numFmtId="181" fontId="14" fillId="10" borderId="1" xfId="1" applyNumberFormat="1" applyFont="1" applyFill="1" applyBorder="1" applyAlignment="1">
      <alignment horizontal="center" vertical="center"/>
    </xf>
    <xf numFmtId="0" fontId="35" fillId="0" borderId="1" xfId="0" applyFont="1" applyFill="1" applyBorder="1">
      <alignment vertical="center"/>
    </xf>
    <xf numFmtId="0" fontId="27" fillId="0" borderId="1" xfId="0" applyFont="1" applyBorder="1">
      <alignment vertical="center"/>
    </xf>
    <xf numFmtId="10" fontId="14" fillId="0" borderId="1" xfId="2" applyNumberFormat="1" applyFont="1" applyBorder="1" applyAlignment="1">
      <alignment vertical="center"/>
    </xf>
    <xf numFmtId="181" fontId="14" fillId="0" borderId="1" xfId="1" applyNumberFormat="1" applyFont="1" applyBorder="1" applyAlignment="1">
      <alignment horizontal="center" vertical="center"/>
    </xf>
    <xf numFmtId="181" fontId="27" fillId="0" borderId="1" xfId="1" applyNumberFormat="1" applyFont="1" applyFill="1" applyBorder="1">
      <alignment vertical="center"/>
    </xf>
    <xf numFmtId="0" fontId="35" fillId="10" borderId="1" xfId="0" applyFont="1" applyFill="1" applyBorder="1">
      <alignment vertical="center"/>
    </xf>
    <xf numFmtId="181" fontId="27" fillId="0" borderId="1" xfId="1" applyNumberFormat="1" applyFont="1" applyBorder="1" applyAlignment="1">
      <alignment horizontal="center" vertical="center"/>
    </xf>
    <xf numFmtId="43" fontId="26" fillId="0" borderId="0" xfId="0" applyNumberFormat="1" applyFont="1" applyFill="1">
      <alignment vertical="center"/>
    </xf>
    <xf numFmtId="10" fontId="27" fillId="0" borderId="1" xfId="2" applyNumberFormat="1" applyFont="1" applyBorder="1">
      <alignment vertical="center"/>
    </xf>
    <xf numFmtId="10" fontId="27" fillId="0" borderId="0" xfId="2" applyNumberFormat="1" applyFont="1" applyBorder="1">
      <alignment vertical="center"/>
    </xf>
    <xf numFmtId="43" fontId="27" fillId="0" borderId="0" xfId="0" applyNumberFormat="1" applyFont="1" applyFill="1" applyBorder="1">
      <alignment vertical="center"/>
    </xf>
    <xf numFmtId="43" fontId="27" fillId="0" borderId="0" xfId="1" applyFont="1" applyBorder="1">
      <alignment vertical="center"/>
    </xf>
    <xf numFmtId="0" fontId="27" fillId="0" borderId="1" xfId="0" applyFont="1" applyBorder="1" applyAlignment="1">
      <alignment horizontal="center" vertical="center"/>
    </xf>
    <xf numFmtId="0" fontId="31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43" fontId="27" fillId="0" borderId="1" xfId="1" applyFont="1" applyBorder="1">
      <alignment vertical="center"/>
    </xf>
    <xf numFmtId="181" fontId="27" fillId="0" borderId="1" xfId="1" applyNumberFormat="1" applyFont="1" applyBorder="1">
      <alignment vertical="center"/>
    </xf>
    <xf numFmtId="0" fontId="14" fillId="0" borderId="1" xfId="0" applyFont="1" applyBorder="1">
      <alignment vertical="center"/>
    </xf>
    <xf numFmtId="0" fontId="35" fillId="0" borderId="1" xfId="0" applyFont="1" applyBorder="1">
      <alignment vertical="center"/>
    </xf>
    <xf numFmtId="0" fontId="27" fillId="0" borderId="5" xfId="0" applyFont="1" applyBorder="1">
      <alignment vertical="center"/>
    </xf>
    <xf numFmtId="1" fontId="23" fillId="7" borderId="0" xfId="4" applyNumberFormat="1" applyFont="1" applyFill="1" applyProtection="1"/>
    <xf numFmtId="0" fontId="23" fillId="7" borderId="0" xfId="4" applyFont="1" applyFill="1" applyProtection="1"/>
    <xf numFmtId="0" fontId="36" fillId="7" borderId="0" xfId="4" applyFont="1" applyFill="1" applyAlignment="1" applyProtection="1">
      <alignment horizontal="centerContinuous"/>
    </xf>
    <xf numFmtId="0" fontId="23" fillId="7" borderId="0" xfId="4" applyFont="1" applyFill="1" applyAlignment="1">
      <alignment horizontal="centerContinuous"/>
    </xf>
    <xf numFmtId="0" fontId="23" fillId="7" borderId="0" xfId="4" applyFont="1" applyFill="1" applyAlignment="1" applyProtection="1">
      <alignment horizontal="centerContinuous"/>
    </xf>
    <xf numFmtId="9" fontId="23" fillId="7" borderId="0" xfId="4" applyNumberFormat="1" applyFont="1" applyFill="1" applyProtection="1"/>
    <xf numFmtId="0" fontId="23" fillId="7" borderId="5" xfId="4" applyFont="1" applyFill="1" applyBorder="1" applyAlignment="1" applyProtection="1">
      <alignment horizontal="center"/>
    </xf>
    <xf numFmtId="0" fontId="25" fillId="7" borderId="1" xfId="4" applyFont="1" applyFill="1" applyBorder="1" applyAlignment="1" applyProtection="1">
      <alignment horizontal="center"/>
    </xf>
    <xf numFmtId="0" fontId="25" fillId="7" borderId="3" xfId="4" applyFont="1" applyFill="1" applyBorder="1" applyAlignment="1" applyProtection="1">
      <alignment horizontal="center"/>
    </xf>
    <xf numFmtId="1" fontId="25" fillId="7" borderId="3" xfId="9" applyFont="1" applyFill="1" applyBorder="1"/>
    <xf numFmtId="1" fontId="23" fillId="7" borderId="3" xfId="9" applyFont="1" applyFill="1" applyBorder="1"/>
    <xf numFmtId="0" fontId="23" fillId="7" borderId="6" xfId="4" applyFont="1" applyFill="1" applyBorder="1" applyProtection="1"/>
    <xf numFmtId="0" fontId="23" fillId="7" borderId="1" xfId="4" applyFont="1" applyFill="1" applyBorder="1" applyAlignment="1" applyProtection="1">
      <alignment horizontal="center"/>
    </xf>
    <xf numFmtId="0" fontId="23" fillId="7" borderId="1" xfId="4" applyFont="1" applyFill="1" applyBorder="1" applyAlignment="1" applyProtection="1">
      <alignment horizontal="left"/>
    </xf>
    <xf numFmtId="0" fontId="23" fillId="10" borderId="1" xfId="4" applyFont="1" applyFill="1" applyBorder="1" applyProtection="1"/>
    <xf numFmtId="181" fontId="23" fillId="10" borderId="1" xfId="1" applyNumberFormat="1" applyFont="1" applyFill="1" applyBorder="1" applyAlignment="1" applyProtection="1"/>
    <xf numFmtId="0" fontId="23" fillId="7" borderId="1" xfId="4" applyFont="1" applyFill="1" applyBorder="1" applyProtection="1"/>
    <xf numFmtId="181" fontId="23" fillId="7" borderId="1" xfId="1" applyNumberFormat="1" applyFont="1" applyFill="1" applyBorder="1" applyAlignment="1" applyProtection="1"/>
    <xf numFmtId="0" fontId="23" fillId="7" borderId="1" xfId="4" applyNumberFormat="1" applyFont="1" applyFill="1" applyBorder="1" applyAlignment="1" applyProtection="1">
      <alignment horizontal="left"/>
    </xf>
    <xf numFmtId="1" fontId="23" fillId="7" borderId="1" xfId="4" applyNumberFormat="1" applyFont="1" applyFill="1" applyBorder="1" applyProtection="1"/>
    <xf numFmtId="1" fontId="23" fillId="7" borderId="1" xfId="4" applyNumberFormat="1" applyFont="1" applyFill="1" applyBorder="1" applyAlignment="1" applyProtection="1">
      <alignment horizontal="left"/>
    </xf>
    <xf numFmtId="0" fontId="23" fillId="7" borderId="9" xfId="4" applyFont="1" applyFill="1" applyBorder="1" applyProtection="1"/>
    <xf numFmtId="0" fontId="23" fillId="7" borderId="11" xfId="4" applyFont="1" applyFill="1" applyBorder="1" applyProtection="1"/>
    <xf numFmtId="0" fontId="23" fillId="7" borderId="12" xfId="4" applyFont="1" applyFill="1" applyBorder="1" applyProtection="1"/>
    <xf numFmtId="0" fontId="23" fillId="7" borderId="0" xfId="4" applyFont="1" applyFill="1" applyBorder="1" applyProtection="1"/>
    <xf numFmtId="186" fontId="23" fillId="7" borderId="0" xfId="4" applyNumberFormat="1" applyFont="1" applyFill="1" applyBorder="1" applyProtection="1"/>
    <xf numFmtId="10" fontId="23" fillId="7" borderId="0" xfId="4" applyNumberFormat="1" applyFont="1" applyFill="1" applyBorder="1" applyProtection="1"/>
    <xf numFmtId="1" fontId="23" fillId="7" borderId="0" xfId="4" applyNumberFormat="1" applyFont="1" applyFill="1" applyBorder="1" applyProtection="1"/>
    <xf numFmtId="0" fontId="23" fillId="7" borderId="13" xfId="4" applyFont="1" applyFill="1" applyBorder="1" applyProtection="1"/>
    <xf numFmtId="0" fontId="23" fillId="7" borderId="7" xfId="4" applyFont="1" applyFill="1" applyBorder="1" applyProtection="1"/>
    <xf numFmtId="2" fontId="23" fillId="7" borderId="7" xfId="4" applyNumberFormat="1" applyFont="1" applyFill="1" applyBorder="1" applyProtection="1"/>
    <xf numFmtId="0" fontId="23" fillId="7" borderId="4" xfId="4" applyFont="1" applyFill="1" applyBorder="1"/>
    <xf numFmtId="1" fontId="23" fillId="7" borderId="6" xfId="9" applyFont="1" applyFill="1" applyBorder="1" applyAlignment="1">
      <alignment horizontal="center"/>
    </xf>
    <xf numFmtId="0" fontId="23" fillId="7" borderId="8" xfId="4" applyFont="1" applyFill="1" applyBorder="1" applyProtection="1"/>
    <xf numFmtId="0" fontId="23" fillId="7" borderId="14" xfId="4" applyFont="1" applyFill="1" applyBorder="1" applyProtection="1"/>
    <xf numFmtId="0" fontId="23" fillId="7" borderId="15" xfId="4" applyFont="1" applyFill="1" applyBorder="1" applyProtection="1"/>
    <xf numFmtId="0" fontId="1" fillId="0" borderId="0" xfId="0" applyFont="1">
      <alignment vertical="center"/>
    </xf>
    <xf numFmtId="0" fontId="37" fillId="0" borderId="1" xfId="0" applyFont="1" applyBorder="1" applyAlignment="1">
      <alignment horizontal="center" vertical="center" wrapText="1" readingOrder="1"/>
    </xf>
    <xf numFmtId="0" fontId="1" fillId="0" borderId="0" xfId="0" applyFont="1" applyFill="1">
      <alignment vertical="center"/>
    </xf>
    <xf numFmtId="0" fontId="18" fillId="0" borderId="1" xfId="0" applyFont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left" vertical="center" wrapText="1" readingOrder="1"/>
    </xf>
    <xf numFmtId="0" fontId="17" fillId="0" borderId="1" xfId="0" applyFont="1" applyFill="1" applyBorder="1" applyAlignment="1">
      <alignment horizontal="left" vertical="center" wrapText="1" readingOrder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Fill="1" applyBorder="1" applyAlignment="1">
      <alignment horizontal="left" vertical="center" wrapText="1" readingOrder="1"/>
    </xf>
    <xf numFmtId="0" fontId="18" fillId="0" borderId="5" xfId="0" applyFont="1" applyBorder="1" applyAlignment="1">
      <alignment horizontal="center" vertical="center" wrapText="1" readingOrder="1"/>
    </xf>
    <xf numFmtId="0" fontId="18" fillId="0" borderId="10" xfId="0" applyFont="1" applyBorder="1" applyAlignment="1">
      <alignment horizontal="center" vertical="center" wrapText="1" readingOrder="1"/>
    </xf>
    <xf numFmtId="0" fontId="25" fillId="7" borderId="1" xfId="4" applyFont="1" applyFill="1" applyBorder="1" applyAlignment="1" applyProtection="1">
      <alignment horizontal="center"/>
    </xf>
    <xf numFmtId="0" fontId="33" fillId="0" borderId="7" xfId="0" applyFont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43" fontId="27" fillId="0" borderId="2" xfId="1" applyFont="1" applyFill="1" applyBorder="1" applyAlignment="1">
      <alignment horizontal="center" vertical="center"/>
    </xf>
    <xf numFmtId="43" fontId="27" fillId="0" borderId="3" xfId="1" applyFont="1" applyFill="1" applyBorder="1" applyAlignment="1">
      <alignment horizontal="center" vertical="center"/>
    </xf>
    <xf numFmtId="43" fontId="27" fillId="0" borderId="4" xfId="1" applyFont="1" applyFill="1" applyBorder="1" applyAlignment="1">
      <alignment horizontal="center" vertical="center"/>
    </xf>
    <xf numFmtId="43" fontId="27" fillId="3" borderId="1" xfId="1" applyFont="1" applyFill="1" applyBorder="1" applyAlignment="1">
      <alignment horizontal="center" vertical="center"/>
    </xf>
    <xf numFmtId="43" fontId="29" fillId="0" borderId="5" xfId="1" applyFont="1" applyFill="1" applyBorder="1" applyAlignment="1">
      <alignment horizontal="center" vertical="center" wrapText="1"/>
    </xf>
    <xf numFmtId="43" fontId="29" fillId="0" borderId="10" xfId="1" applyFont="1" applyFill="1" applyBorder="1" applyAlignment="1">
      <alignment horizontal="center" vertical="center" wrapText="1"/>
    </xf>
    <xf numFmtId="43" fontId="29" fillId="0" borderId="6" xfId="1" applyFont="1" applyFill="1" applyBorder="1" applyAlignment="1">
      <alignment horizontal="center" vertical="center" wrapText="1"/>
    </xf>
    <xf numFmtId="0" fontId="21" fillId="7" borderId="7" xfId="4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 readingOrder="1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 readingOrder="1"/>
    </xf>
    <xf numFmtId="0" fontId="18" fillId="0" borderId="10" xfId="0" applyFont="1" applyFill="1" applyBorder="1" applyAlignment="1">
      <alignment horizontal="center" vertical="center" wrapText="1" readingOrder="1"/>
    </xf>
    <xf numFmtId="0" fontId="18" fillId="0" borderId="6" xfId="0" applyFont="1" applyFill="1" applyBorder="1" applyAlignment="1">
      <alignment horizontal="center" vertical="center" wrapText="1" readingOrder="1"/>
    </xf>
    <xf numFmtId="0" fontId="6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3" fontId="8" fillId="0" borderId="5" xfId="0" applyNumberFormat="1" applyFont="1" applyBorder="1" applyAlignment="1">
      <alignment horizontal="center" vertical="center" wrapText="1"/>
    </xf>
    <xf numFmtId="43" fontId="8" fillId="0" borderId="10" xfId="0" applyNumberFormat="1" applyFont="1" applyBorder="1" applyAlignment="1">
      <alignment horizontal="center" vertical="center" wrapText="1"/>
    </xf>
    <xf numFmtId="43" fontId="8" fillId="0" borderId="6" xfId="0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9" fontId="0" fillId="0" borderId="4" xfId="0" applyNumberForma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79" fontId="0" fillId="0" borderId="5" xfId="0" applyNumberFormat="1" applyBorder="1" applyAlignment="1">
      <alignment horizontal="center" vertical="center" wrapText="1"/>
    </xf>
    <xf numFmtId="179" fontId="0" fillId="0" borderId="6" xfId="0" applyNumberForma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55" fillId="3" borderId="1" xfId="0" applyFont="1" applyFill="1" applyBorder="1" applyAlignment="1">
      <alignment horizontal="center" vertical="center"/>
    </xf>
    <xf numFmtId="0" fontId="55" fillId="5" borderId="1" xfId="0" applyFont="1" applyFill="1" applyBorder="1" applyAlignment="1">
      <alignment horizontal="center" vertical="center"/>
    </xf>
    <xf numFmtId="0" fontId="55" fillId="5" borderId="1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/>
    </xf>
    <xf numFmtId="0" fontId="39" fillId="0" borderId="0" xfId="0" applyFont="1" applyFill="1">
      <alignment vertical="center"/>
    </xf>
    <xf numFmtId="0" fontId="56" fillId="0" borderId="1" xfId="0" applyFont="1" applyBorder="1" applyAlignment="1">
      <alignment horizontal="left" vertical="center" wrapText="1" readingOrder="1"/>
    </xf>
    <xf numFmtId="0" fontId="51" fillId="0" borderId="1" xfId="0" applyFont="1" applyFill="1" applyBorder="1">
      <alignment vertical="center"/>
    </xf>
  </cellXfs>
  <cellStyles count="15">
    <cellStyle name="_x000a_mouse.drv=lm" xfId="4"/>
    <cellStyle name="BOM_Level_Below3" xfId="5"/>
    <cellStyle name="百分比" xfId="2" builtinId="5"/>
    <cellStyle name="常规" xfId="0" builtinId="0"/>
    <cellStyle name="常规 11 2" xfId="6"/>
    <cellStyle name="常规 2" xfId="7"/>
    <cellStyle name="常规 41" xfId="12"/>
    <cellStyle name="常规 43" xfId="14"/>
    <cellStyle name="常规 44" xfId="13"/>
    <cellStyle name="常规_20061221C2项目损益分析（概念稿）" xfId="8"/>
    <cellStyle name="超链接" xfId="3" builtinId="8"/>
    <cellStyle name="普通_销售收入.XLS" xfId="9"/>
    <cellStyle name="千位分隔" xfId="1" builtinId="3"/>
    <cellStyle name="千位分隔 2 25" xfId="10"/>
    <cellStyle name="样式 1" xfId="11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50800</xdr:colOff>
      <xdr:row>5</xdr:row>
      <xdr:rowOff>177800</xdr:rowOff>
    </xdr:from>
    <xdr:to>
      <xdr:col>3</xdr:col>
      <xdr:colOff>591820</xdr:colOff>
      <xdr:row>5</xdr:row>
      <xdr:rowOff>702310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9600" y="1244600"/>
          <a:ext cx="54102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8" sqref="C8"/>
    </sheetView>
  </sheetViews>
  <sheetFormatPr defaultColWidth="9" defaultRowHeight="14.4"/>
  <cols>
    <col min="1" max="1" width="8.88671875" customWidth="1"/>
    <col min="2" max="2" width="16.33203125" customWidth="1"/>
    <col min="3" max="3" width="89.77734375" customWidth="1"/>
  </cols>
  <sheetData>
    <row r="2" spans="1:4" s="210" customFormat="1" ht="35.25" customHeight="1">
      <c r="A2" s="211" t="s">
        <v>0</v>
      </c>
      <c r="B2" s="211" t="s">
        <v>1</v>
      </c>
      <c r="C2" s="211" t="s">
        <v>2</v>
      </c>
      <c r="D2" s="212"/>
    </row>
    <row r="3" spans="1:4" s="210" customFormat="1" ht="33.75" customHeight="1">
      <c r="A3" s="213">
        <v>1</v>
      </c>
      <c r="B3" s="213" t="s">
        <v>3</v>
      </c>
      <c r="C3" s="214" t="s">
        <v>4</v>
      </c>
      <c r="D3" s="212"/>
    </row>
    <row r="4" spans="1:4" s="210" customFormat="1" ht="33.75" customHeight="1">
      <c r="A4" s="213">
        <v>2</v>
      </c>
      <c r="B4" s="213" t="s">
        <v>5</v>
      </c>
      <c r="C4" s="214" t="s">
        <v>6</v>
      </c>
    </row>
    <row r="5" spans="1:4" s="210" customFormat="1" ht="33.75" customHeight="1">
      <c r="A5" s="213">
        <v>3</v>
      </c>
      <c r="B5" s="218" t="s">
        <v>7</v>
      </c>
      <c r="C5" s="215" t="s">
        <v>8</v>
      </c>
    </row>
    <row r="6" spans="1:4" s="210" customFormat="1" ht="33.75" customHeight="1">
      <c r="A6" s="213">
        <v>4</v>
      </c>
      <c r="B6" s="219"/>
      <c r="C6" s="295" t="s">
        <v>324</v>
      </c>
    </row>
    <row r="7" spans="1:4" s="210" customFormat="1" ht="33.75" customHeight="1">
      <c r="A7" s="213">
        <v>5</v>
      </c>
      <c r="B7" s="216" t="s">
        <v>9</v>
      </c>
      <c r="C7" s="295" t="s">
        <v>325</v>
      </c>
    </row>
    <row r="8" spans="1:4" s="210" customFormat="1" ht="33.75" customHeight="1">
      <c r="A8" s="213">
        <v>6</v>
      </c>
      <c r="B8" s="218" t="s">
        <v>10</v>
      </c>
      <c r="C8" s="214" t="s">
        <v>11</v>
      </c>
    </row>
    <row r="9" spans="1:4" s="210" customFormat="1" ht="33.75" customHeight="1">
      <c r="A9" s="213">
        <v>7</v>
      </c>
      <c r="B9" s="219"/>
      <c r="C9" s="214" t="s">
        <v>12</v>
      </c>
    </row>
    <row r="10" spans="1:4" s="210" customFormat="1" ht="33.75" customHeight="1">
      <c r="A10" s="213">
        <v>8</v>
      </c>
      <c r="B10" s="219"/>
      <c r="C10" s="215" t="s">
        <v>13</v>
      </c>
    </row>
    <row r="11" spans="1:4" s="210" customFormat="1" ht="33.75" customHeight="1">
      <c r="A11" s="213">
        <v>9</v>
      </c>
      <c r="B11" s="219"/>
      <c r="C11" s="214" t="s">
        <v>14</v>
      </c>
    </row>
    <row r="12" spans="1:4" s="210" customFormat="1" ht="33.75" customHeight="1">
      <c r="A12" s="213">
        <v>10</v>
      </c>
      <c r="B12" s="216" t="s">
        <v>15</v>
      </c>
      <c r="C12" s="214" t="s">
        <v>16</v>
      </c>
    </row>
    <row r="13" spans="1:4" ht="33.75" customHeight="1"/>
    <row r="14" spans="1:4" ht="33.75" customHeight="1"/>
    <row r="15" spans="1:4" ht="33.75" customHeight="1">
      <c r="C15" s="217"/>
    </row>
  </sheetData>
  <mergeCells count="2">
    <mergeCell ref="B5:B6"/>
    <mergeCell ref="B8:B11"/>
  </mergeCells>
  <phoneticPr fontId="53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4.4"/>
  <cols>
    <col min="1" max="1" width="9" style="29"/>
    <col min="2" max="2" width="29.6640625" style="29" customWidth="1"/>
    <col min="3" max="3" width="25.44140625" style="29" customWidth="1"/>
    <col min="4" max="4" width="22" style="29" customWidth="1"/>
    <col min="5" max="16384" width="9" style="29"/>
  </cols>
  <sheetData>
    <row r="1" spans="1:4" ht="27" customHeight="1">
      <c r="A1" s="30" t="s">
        <v>19</v>
      </c>
      <c r="B1" s="30" t="s">
        <v>243</v>
      </c>
      <c r="C1" s="30" t="s">
        <v>244</v>
      </c>
      <c r="D1" s="30" t="s">
        <v>245</v>
      </c>
    </row>
    <row r="2" spans="1:4" ht="19.5" customHeight="1">
      <c r="A2" s="30">
        <v>1</v>
      </c>
      <c r="B2" s="31" t="s">
        <v>246</v>
      </c>
      <c r="C2" s="291" t="s">
        <v>319</v>
      </c>
      <c r="D2" s="30"/>
    </row>
    <row r="3" spans="1:4" ht="21" customHeight="1">
      <c r="A3" s="30">
        <v>2</v>
      </c>
      <c r="B3" s="31" t="s">
        <v>247</v>
      </c>
      <c r="C3" s="292" t="s">
        <v>321</v>
      </c>
      <c r="D3" s="30" t="s">
        <v>248</v>
      </c>
    </row>
    <row r="4" spans="1:4" ht="21" customHeight="1">
      <c r="A4" s="30">
        <v>3</v>
      </c>
      <c r="B4" s="31" t="s">
        <v>249</v>
      </c>
      <c r="C4" s="291" t="s">
        <v>320</v>
      </c>
      <c r="D4" s="30"/>
    </row>
    <row r="5" spans="1:4" ht="21" customHeight="1">
      <c r="A5" s="30">
        <v>4</v>
      </c>
      <c r="B5" s="31" t="s">
        <v>250</v>
      </c>
      <c r="C5" s="32"/>
      <c r="D5" s="30"/>
    </row>
    <row r="6" spans="1:4" ht="21" customHeight="1">
      <c r="A6" s="30">
        <v>5</v>
      </c>
      <c r="B6" s="31" t="s">
        <v>251</v>
      </c>
      <c r="C6" s="32"/>
      <c r="D6" s="30"/>
    </row>
    <row r="7" spans="1:4" ht="21" customHeight="1">
      <c r="A7" s="30">
        <v>6</v>
      </c>
      <c r="B7" s="30" t="s">
        <v>252</v>
      </c>
      <c r="C7" s="33"/>
      <c r="D7" s="30"/>
    </row>
    <row r="8" spans="1:4" ht="21" customHeight="1">
      <c r="A8" s="30">
        <v>7</v>
      </c>
      <c r="B8" s="31" t="s">
        <v>253</v>
      </c>
      <c r="C8" s="290" t="s">
        <v>317</v>
      </c>
      <c r="D8" s="30"/>
    </row>
    <row r="9" spans="1:4" ht="21" customHeight="1">
      <c r="A9" s="30">
        <v>8</v>
      </c>
      <c r="B9" s="30" t="s">
        <v>254</v>
      </c>
      <c r="C9" s="35">
        <v>1.2E-2</v>
      </c>
      <c r="D9" s="30"/>
    </row>
    <row r="10" spans="1:4" ht="21" customHeight="1">
      <c r="A10" s="30">
        <v>9</v>
      </c>
      <c r="B10" s="30" t="s">
        <v>255</v>
      </c>
      <c r="C10" s="34"/>
      <c r="D10" s="30"/>
    </row>
    <row r="11" spans="1:4" ht="21" customHeight="1">
      <c r="A11" s="30">
        <v>10</v>
      </c>
      <c r="B11" s="30" t="s">
        <v>256</v>
      </c>
      <c r="C11" s="34"/>
      <c r="D11" s="30" t="s">
        <v>257</v>
      </c>
    </row>
    <row r="12" spans="1:4" ht="21" customHeight="1">
      <c r="A12" s="30">
        <v>11</v>
      </c>
      <c r="B12" s="30" t="s">
        <v>258</v>
      </c>
      <c r="C12" s="34"/>
      <c r="D12" s="30"/>
    </row>
    <row r="13" spans="1:4" ht="24" customHeight="1">
      <c r="A13" s="30">
        <v>12</v>
      </c>
      <c r="B13" s="31" t="s">
        <v>259</v>
      </c>
      <c r="C13" s="290" t="s">
        <v>318</v>
      </c>
      <c r="D13" s="30"/>
    </row>
    <row r="14" spans="1:4" ht="24" customHeight="1">
      <c r="A14" s="30">
        <v>13</v>
      </c>
      <c r="B14" s="31" t="s">
        <v>260</v>
      </c>
      <c r="C14" s="34"/>
      <c r="D14" s="30"/>
    </row>
    <row r="15" spans="1:4" ht="24" customHeight="1">
      <c r="A15" s="30">
        <v>14</v>
      </c>
      <c r="B15" s="31" t="s">
        <v>261</v>
      </c>
      <c r="C15" s="34"/>
      <c r="D15" s="30"/>
    </row>
    <row r="16" spans="1:4" ht="24" customHeight="1">
      <c r="A16" s="30">
        <v>15</v>
      </c>
      <c r="B16" s="30" t="s">
        <v>37</v>
      </c>
      <c r="C16" s="293" t="s">
        <v>322</v>
      </c>
      <c r="D16" s="30"/>
    </row>
    <row r="17" spans="2:2" ht="15.6">
      <c r="B17" s="36" t="s">
        <v>262</v>
      </c>
    </row>
  </sheetData>
  <phoneticPr fontId="5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27"/>
  <sheetViews>
    <sheetView zoomScale="85" zoomScaleNormal="85" workbookViewId="0">
      <selection activeCell="C7" sqref="C7"/>
    </sheetView>
  </sheetViews>
  <sheetFormatPr defaultColWidth="9" defaultRowHeight="14.4"/>
  <cols>
    <col min="1" max="2" width="9" style="14"/>
    <col min="3" max="5" width="15.77734375" style="14" customWidth="1"/>
    <col min="6" max="8" width="11.109375" style="14" customWidth="1"/>
    <col min="9" max="9" width="18.44140625" style="15" customWidth="1"/>
    <col min="10" max="16384" width="9" style="14"/>
  </cols>
  <sheetData>
    <row r="1" spans="1:10" s="13" customFormat="1" ht="18.75" customHeight="1">
      <c r="G1" s="273" t="s">
        <v>263</v>
      </c>
      <c r="H1" s="273"/>
      <c r="I1" s="26"/>
    </row>
    <row r="2" spans="1:10" ht="39" customHeight="1">
      <c r="A2" s="280" t="s">
        <v>264</v>
      </c>
      <c r="B2" s="280"/>
      <c r="C2" s="274" t="s">
        <v>265</v>
      </c>
      <c r="D2" s="275"/>
      <c r="E2" s="275"/>
      <c r="F2" s="275"/>
      <c r="G2" s="275"/>
      <c r="H2" s="276"/>
      <c r="I2" s="15" t="s">
        <v>266</v>
      </c>
    </row>
    <row r="3" spans="1:10" ht="34.5" customHeight="1">
      <c r="A3" s="280"/>
      <c r="B3" s="280"/>
      <c r="C3" s="16" t="s">
        <v>267</v>
      </c>
      <c r="D3" s="16" t="s">
        <v>268</v>
      </c>
      <c r="E3" s="16" t="s">
        <v>269</v>
      </c>
      <c r="F3" s="17" t="s">
        <v>270</v>
      </c>
      <c r="G3" s="17" t="s">
        <v>271</v>
      </c>
      <c r="H3" s="17" t="s">
        <v>272</v>
      </c>
      <c r="I3" s="27">
        <f>销量!C8</f>
        <v>105</v>
      </c>
    </row>
    <row r="4" spans="1:10" ht="24" customHeight="1">
      <c r="A4" s="277" t="s">
        <v>273</v>
      </c>
      <c r="B4" s="277"/>
      <c r="C4" s="19"/>
      <c r="D4" s="20"/>
      <c r="E4" s="21">
        <f>I3*I4</f>
        <v>4.5255000000000001</v>
      </c>
      <c r="F4" s="21"/>
      <c r="G4" s="21"/>
      <c r="H4" s="22">
        <v>4.48E-2</v>
      </c>
      <c r="I4" s="15">
        <v>4.3099999999999999E-2</v>
      </c>
    </row>
    <row r="5" spans="1:10" ht="24" customHeight="1">
      <c r="A5" s="277" t="s">
        <v>274</v>
      </c>
      <c r="B5" s="18" t="s">
        <v>275</v>
      </c>
      <c r="C5" s="19"/>
      <c r="D5" s="20"/>
      <c r="E5" s="21">
        <f>$I$3*I5</f>
        <v>4.3050000000000006</v>
      </c>
      <c r="F5" s="21"/>
      <c r="G5" s="21"/>
      <c r="H5" s="22">
        <v>4.0399999999999998E-2</v>
      </c>
      <c r="I5" s="15">
        <v>4.1000000000000002E-2</v>
      </c>
    </row>
    <row r="6" spans="1:10" ht="24" customHeight="1">
      <c r="A6" s="277"/>
      <c r="B6" s="18" t="s">
        <v>276</v>
      </c>
      <c r="C6" s="19"/>
      <c r="D6" s="20"/>
      <c r="E6" s="21">
        <f>$I$3*I6</f>
        <v>2.2785000000000002</v>
      </c>
      <c r="F6" s="21"/>
      <c r="G6" s="21"/>
      <c r="H6" s="22">
        <v>1.66E-2</v>
      </c>
      <c r="I6" s="15">
        <v>2.1700000000000001E-2</v>
      </c>
    </row>
    <row r="7" spans="1:10" ht="24" customHeight="1">
      <c r="A7" s="274" t="s">
        <v>277</v>
      </c>
      <c r="B7" s="276"/>
      <c r="C7" s="23"/>
      <c r="D7" s="24"/>
      <c r="E7" s="21">
        <f t="shared" ref="E7:E11" si="0">$I$3*I7</f>
        <v>11.109</v>
      </c>
      <c r="F7" s="21"/>
      <c r="G7" s="21"/>
      <c r="H7" s="25">
        <f>SUM(H4:H6)</f>
        <v>0.1018</v>
      </c>
      <c r="I7" s="15">
        <f>SUM(I4:I6)</f>
        <v>0.10580000000000001</v>
      </c>
    </row>
    <row r="8" spans="1:10" ht="24" customHeight="1">
      <c r="A8" s="277" t="s">
        <v>86</v>
      </c>
      <c r="B8" s="277"/>
      <c r="C8" s="19"/>
      <c r="D8" s="20"/>
      <c r="E8" s="21">
        <f t="shared" si="0"/>
        <v>3.5700000000000003</v>
      </c>
      <c r="F8" s="21"/>
      <c r="G8" s="21"/>
      <c r="H8" s="22">
        <f>1.97%+0.75%</f>
        <v>2.7199999999999998E-2</v>
      </c>
      <c r="I8" s="15">
        <v>3.4000000000000002E-2</v>
      </c>
    </row>
    <row r="9" spans="1:10" ht="24" customHeight="1">
      <c r="A9" s="278" t="s">
        <v>278</v>
      </c>
      <c r="B9" s="18" t="s">
        <v>275</v>
      </c>
      <c r="C9" s="19"/>
      <c r="D9" s="20"/>
      <c r="E9" s="21">
        <f t="shared" si="0"/>
        <v>0.73499999999999999</v>
      </c>
      <c r="F9" s="21"/>
      <c r="G9" s="21"/>
      <c r="H9" s="22">
        <v>5.3E-3</v>
      </c>
      <c r="I9" s="15">
        <v>7.0000000000000001E-3</v>
      </c>
    </row>
    <row r="10" spans="1:10" ht="24" customHeight="1">
      <c r="A10" s="279"/>
      <c r="B10" s="18" t="s">
        <v>276</v>
      </c>
      <c r="C10" s="19"/>
      <c r="D10" s="20"/>
      <c r="E10" s="21">
        <f>$I$3*I10+包装运费!X6+0.5</f>
        <v>14.484358974358999</v>
      </c>
      <c r="F10" s="21"/>
      <c r="G10" s="21"/>
      <c r="H10" s="22">
        <v>3.4099999999999998E-2</v>
      </c>
      <c r="I10" s="15">
        <v>1.2E-2</v>
      </c>
      <c r="J10" s="294" t="s">
        <v>323</v>
      </c>
    </row>
    <row r="11" spans="1:10" ht="24" customHeight="1">
      <c r="A11" s="277" t="s">
        <v>89</v>
      </c>
      <c r="B11" s="277"/>
      <c r="C11" s="19"/>
      <c r="D11" s="20"/>
      <c r="E11" s="21">
        <f t="shared" si="0"/>
        <v>3.15</v>
      </c>
      <c r="F11" s="21"/>
      <c r="G11" s="21"/>
      <c r="H11" s="22">
        <v>1.0999999999999999E-2</v>
      </c>
      <c r="I11" s="15">
        <v>0.03</v>
      </c>
    </row>
    <row r="13" spans="1:10" s="13" customFormat="1" ht="18.75" customHeight="1">
      <c r="G13" s="273" t="s">
        <v>263</v>
      </c>
      <c r="H13" s="273"/>
    </row>
    <row r="14" spans="1:10" ht="39" customHeight="1">
      <c r="A14" s="280" t="s">
        <v>264</v>
      </c>
      <c r="B14" s="280"/>
      <c r="C14" s="274" t="s">
        <v>265</v>
      </c>
      <c r="D14" s="275"/>
      <c r="E14" s="275"/>
      <c r="F14" s="275"/>
      <c r="G14" s="275"/>
      <c r="H14" s="276"/>
      <c r="I14" s="15" t="s">
        <v>266</v>
      </c>
    </row>
    <row r="15" spans="1:10" ht="34.5" customHeight="1">
      <c r="A15" s="280"/>
      <c r="B15" s="280"/>
      <c r="C15" s="16" t="s">
        <v>267</v>
      </c>
      <c r="D15" s="16" t="s">
        <v>268</v>
      </c>
      <c r="E15" s="16" t="s">
        <v>269</v>
      </c>
      <c r="F15" s="17" t="s">
        <v>270</v>
      </c>
      <c r="G15" s="17" t="s">
        <v>271</v>
      </c>
      <c r="H15" s="17" t="s">
        <v>272</v>
      </c>
      <c r="I15" s="27">
        <f>销量!D8</f>
        <v>105</v>
      </c>
    </row>
    <row r="16" spans="1:10" ht="24" customHeight="1">
      <c r="A16" s="277" t="s">
        <v>273</v>
      </c>
      <c r="B16" s="277"/>
      <c r="C16" s="19"/>
      <c r="D16" s="20"/>
      <c r="E16" s="21">
        <f>I15*I16</f>
        <v>4.5255000000000001</v>
      </c>
      <c r="F16" s="21"/>
      <c r="G16" s="21"/>
      <c r="H16" s="22">
        <v>4.48E-2</v>
      </c>
      <c r="I16" s="15">
        <v>4.3099999999999999E-2</v>
      </c>
    </row>
    <row r="17" spans="1:10" ht="24" customHeight="1">
      <c r="A17" s="277" t="s">
        <v>274</v>
      </c>
      <c r="B17" s="18" t="s">
        <v>275</v>
      </c>
      <c r="C17" s="19"/>
      <c r="D17" s="20"/>
      <c r="E17" s="21">
        <f>$I$15*I17</f>
        <v>4.3050000000000006</v>
      </c>
      <c r="F17" s="21"/>
      <c r="G17" s="21"/>
      <c r="H17" s="22">
        <v>4.0399999999999998E-2</v>
      </c>
      <c r="I17" s="15">
        <v>4.1000000000000002E-2</v>
      </c>
    </row>
    <row r="18" spans="1:10" ht="24" customHeight="1">
      <c r="A18" s="277"/>
      <c r="B18" s="18" t="s">
        <v>276</v>
      </c>
      <c r="C18" s="19"/>
      <c r="D18" s="20"/>
      <c r="E18" s="21">
        <f t="shared" ref="E18:E23" si="1">$I$15*I18</f>
        <v>2.2785000000000002</v>
      </c>
      <c r="F18" s="21"/>
      <c r="G18" s="21"/>
      <c r="H18" s="22">
        <v>1.66E-2</v>
      </c>
      <c r="I18" s="15">
        <v>2.1700000000000001E-2</v>
      </c>
    </row>
    <row r="19" spans="1:10" ht="24" customHeight="1">
      <c r="A19" s="274" t="s">
        <v>277</v>
      </c>
      <c r="B19" s="276"/>
      <c r="C19" s="23"/>
      <c r="D19" s="24"/>
      <c r="E19" s="21">
        <f t="shared" si="1"/>
        <v>11.109</v>
      </c>
      <c r="F19" s="21"/>
      <c r="G19" s="21"/>
      <c r="H19" s="25">
        <f>SUM(H16:H18)</f>
        <v>0.1018</v>
      </c>
      <c r="I19" s="15">
        <f>SUM(I16:I18)</f>
        <v>0.10580000000000001</v>
      </c>
    </row>
    <row r="20" spans="1:10" ht="24" customHeight="1">
      <c r="A20" s="277" t="s">
        <v>86</v>
      </c>
      <c r="B20" s="277"/>
      <c r="C20" s="19"/>
      <c r="D20" s="20"/>
      <c r="E20" s="21">
        <f t="shared" si="1"/>
        <v>3.5700000000000003</v>
      </c>
      <c r="F20" s="21"/>
      <c r="G20" s="21"/>
      <c r="H20" s="22">
        <f>1.97%+0.75%</f>
        <v>2.7199999999999998E-2</v>
      </c>
      <c r="I20" s="15">
        <v>3.4000000000000002E-2</v>
      </c>
    </row>
    <row r="21" spans="1:10" ht="24" customHeight="1">
      <c r="A21" s="278" t="s">
        <v>278</v>
      </c>
      <c r="B21" s="18" t="s">
        <v>275</v>
      </c>
      <c r="C21" s="19"/>
      <c r="D21" s="20"/>
      <c r="E21" s="21">
        <f t="shared" si="1"/>
        <v>0.73499999999999999</v>
      </c>
      <c r="F21" s="21"/>
      <c r="G21" s="21"/>
      <c r="H21" s="22">
        <v>5.3E-3</v>
      </c>
      <c r="I21" s="15">
        <v>7.0000000000000001E-3</v>
      </c>
    </row>
    <row r="22" spans="1:10" ht="24" customHeight="1">
      <c r="A22" s="279"/>
      <c r="B22" s="18" t="s">
        <v>276</v>
      </c>
      <c r="C22" s="19"/>
      <c r="D22" s="20"/>
      <c r="E22" s="21">
        <f>$I$15*I22+包装运费!X6+0.5</f>
        <v>14.484358974358999</v>
      </c>
      <c r="F22" s="21"/>
      <c r="G22" s="21"/>
      <c r="H22" s="22">
        <v>3.4099999999999998E-2</v>
      </c>
      <c r="I22" s="15">
        <v>1.2E-2</v>
      </c>
      <c r="J22" s="294" t="s">
        <v>323</v>
      </c>
    </row>
    <row r="23" spans="1:10" ht="24" customHeight="1">
      <c r="A23" s="277" t="s">
        <v>89</v>
      </c>
      <c r="B23" s="277"/>
      <c r="C23" s="19"/>
      <c r="D23" s="20"/>
      <c r="E23" s="21">
        <f t="shared" si="1"/>
        <v>3.15</v>
      </c>
      <c r="F23" s="21"/>
      <c r="G23" s="21"/>
      <c r="H23" s="22">
        <v>1.0999999999999999E-2</v>
      </c>
      <c r="I23" s="15">
        <v>0.03</v>
      </c>
    </row>
    <row r="26" spans="1:10" s="13" customFormat="1" ht="18.75" customHeight="1">
      <c r="G26" s="273" t="s">
        <v>263</v>
      </c>
      <c r="H26" s="273"/>
    </row>
    <row r="27" spans="1:10" ht="39" customHeight="1">
      <c r="A27" s="280" t="s">
        <v>264</v>
      </c>
      <c r="B27" s="280"/>
      <c r="C27" s="274" t="s">
        <v>265</v>
      </c>
      <c r="D27" s="275"/>
      <c r="E27" s="275"/>
      <c r="F27" s="275"/>
      <c r="G27" s="275"/>
      <c r="H27" s="276"/>
      <c r="I27" s="15" t="s">
        <v>266</v>
      </c>
    </row>
    <row r="28" spans="1:10" ht="34.5" customHeight="1">
      <c r="A28" s="280"/>
      <c r="B28" s="280"/>
      <c r="C28" s="16" t="s">
        <v>267</v>
      </c>
      <c r="D28" s="16" t="s">
        <v>268</v>
      </c>
      <c r="E28" s="16" t="s">
        <v>269</v>
      </c>
      <c r="F28" s="17" t="s">
        <v>270</v>
      </c>
      <c r="G28" s="17" t="s">
        <v>271</v>
      </c>
      <c r="H28" s="17" t="s">
        <v>272</v>
      </c>
      <c r="I28" s="27">
        <f>材料成本!F23</f>
        <v>0</v>
      </c>
    </row>
    <row r="29" spans="1:10" ht="24" customHeight="1">
      <c r="A29" s="277" t="s">
        <v>273</v>
      </c>
      <c r="B29" s="277"/>
      <c r="C29" s="19"/>
      <c r="D29" s="20"/>
      <c r="E29" s="21">
        <f>I28*I29</f>
        <v>0</v>
      </c>
      <c r="F29" s="21"/>
      <c r="G29" s="21"/>
      <c r="H29" s="22">
        <v>4.48E-2</v>
      </c>
      <c r="I29" s="15">
        <v>4.3099999999999999E-2</v>
      </c>
    </row>
    <row r="30" spans="1:10" ht="24" customHeight="1">
      <c r="A30" s="277" t="s">
        <v>274</v>
      </c>
      <c r="B30" s="18" t="s">
        <v>275</v>
      </c>
      <c r="C30" s="19"/>
      <c r="D30" s="20"/>
      <c r="E30" s="21">
        <f t="shared" ref="E30:E36" si="2">$I$28*I30</f>
        <v>0</v>
      </c>
      <c r="F30" s="21"/>
      <c r="G30" s="21"/>
      <c r="H30" s="22">
        <v>4.0399999999999998E-2</v>
      </c>
      <c r="I30" s="15">
        <v>4.1000000000000002E-2</v>
      </c>
    </row>
    <row r="31" spans="1:10" ht="24" customHeight="1">
      <c r="A31" s="277"/>
      <c r="B31" s="18" t="s">
        <v>276</v>
      </c>
      <c r="C31" s="19"/>
      <c r="D31" s="20"/>
      <c r="E31" s="21">
        <f t="shared" si="2"/>
        <v>0</v>
      </c>
      <c r="F31" s="21"/>
      <c r="G31" s="21"/>
      <c r="H31" s="22">
        <v>1.66E-2</v>
      </c>
      <c r="I31" s="15">
        <v>2.1700000000000001E-2</v>
      </c>
    </row>
    <row r="32" spans="1:10" ht="24" customHeight="1">
      <c r="A32" s="274" t="s">
        <v>277</v>
      </c>
      <c r="B32" s="276"/>
      <c r="C32" s="23"/>
      <c r="D32" s="24"/>
      <c r="E32" s="21">
        <f t="shared" si="2"/>
        <v>0</v>
      </c>
      <c r="F32" s="21"/>
      <c r="G32" s="21"/>
      <c r="H32" s="25">
        <f>SUM(H29:H31)</f>
        <v>0.1018</v>
      </c>
      <c r="I32" s="15">
        <f>SUM(I29:I31)</f>
        <v>0.10580000000000001</v>
      </c>
    </row>
    <row r="33" spans="1:9" ht="24" customHeight="1">
      <c r="A33" s="277" t="s">
        <v>86</v>
      </c>
      <c r="B33" s="277"/>
      <c r="C33" s="19"/>
      <c r="D33" s="20"/>
      <c r="E33" s="21">
        <f t="shared" si="2"/>
        <v>0</v>
      </c>
      <c r="F33" s="21"/>
      <c r="G33" s="21"/>
      <c r="H33" s="22">
        <f>1.97%+0.75%</f>
        <v>2.7199999999999998E-2</v>
      </c>
      <c r="I33" s="15">
        <v>3.4000000000000002E-2</v>
      </c>
    </row>
    <row r="34" spans="1:9" ht="24" customHeight="1">
      <c r="A34" s="278" t="s">
        <v>278</v>
      </c>
      <c r="B34" s="18" t="s">
        <v>275</v>
      </c>
      <c r="C34" s="19"/>
      <c r="D34" s="20"/>
      <c r="E34" s="21">
        <f t="shared" si="2"/>
        <v>0</v>
      </c>
      <c r="F34" s="21"/>
      <c r="G34" s="21"/>
      <c r="H34" s="22">
        <v>5.3E-3</v>
      </c>
      <c r="I34" s="15">
        <v>7.0000000000000001E-3</v>
      </c>
    </row>
    <row r="35" spans="1:9" ht="24" customHeight="1">
      <c r="A35" s="279"/>
      <c r="B35" s="18" t="s">
        <v>276</v>
      </c>
      <c r="C35" s="19"/>
      <c r="D35" s="20"/>
      <c r="E35" s="21">
        <f t="shared" si="2"/>
        <v>0</v>
      </c>
      <c r="F35" s="21"/>
      <c r="G35" s="21"/>
      <c r="H35" s="22">
        <v>3.4099999999999998E-2</v>
      </c>
      <c r="I35" s="15">
        <f>2.8%+1.6%</f>
        <v>4.3999999999999997E-2</v>
      </c>
    </row>
    <row r="36" spans="1:9" ht="24" customHeight="1">
      <c r="A36" s="277" t="s">
        <v>89</v>
      </c>
      <c r="B36" s="277"/>
      <c r="C36" s="19"/>
      <c r="D36" s="20"/>
      <c r="E36" s="21">
        <f t="shared" si="2"/>
        <v>0</v>
      </c>
      <c r="F36" s="21"/>
      <c r="G36" s="21"/>
      <c r="H36" s="22">
        <v>1.0999999999999999E-2</v>
      </c>
      <c r="I36" s="15">
        <v>0.03</v>
      </c>
    </row>
    <row r="39" spans="1:9" s="13" customFormat="1" ht="18.75" customHeight="1">
      <c r="G39" s="273" t="s">
        <v>263</v>
      </c>
      <c r="H39" s="273"/>
      <c r="I39" s="28"/>
    </row>
    <row r="40" spans="1:9" ht="39" customHeight="1">
      <c r="A40" s="280" t="s">
        <v>264</v>
      </c>
      <c r="B40" s="280"/>
      <c r="C40" s="274" t="s">
        <v>265</v>
      </c>
      <c r="D40" s="275"/>
      <c r="E40" s="275"/>
      <c r="F40" s="275"/>
      <c r="G40" s="275"/>
      <c r="H40" s="276"/>
      <c r="I40" s="15" t="s">
        <v>266</v>
      </c>
    </row>
    <row r="41" spans="1:9" ht="34.5" customHeight="1">
      <c r="A41" s="280"/>
      <c r="B41" s="280"/>
      <c r="C41" s="16" t="s">
        <v>267</v>
      </c>
      <c r="D41" s="16" t="s">
        <v>268</v>
      </c>
      <c r="E41" s="16" t="s">
        <v>269</v>
      </c>
      <c r="F41" s="17" t="s">
        <v>270</v>
      </c>
      <c r="G41" s="17" t="s">
        <v>271</v>
      </c>
      <c r="H41" s="17" t="s">
        <v>272</v>
      </c>
      <c r="I41" s="27"/>
    </row>
    <row r="42" spans="1:9" ht="24" customHeight="1">
      <c r="A42" s="277" t="s">
        <v>273</v>
      </c>
      <c r="B42" s="277"/>
      <c r="C42" s="19"/>
      <c r="D42" s="20"/>
      <c r="E42" s="21">
        <f>I41*I42</f>
        <v>0</v>
      </c>
      <c r="F42" s="21"/>
      <c r="G42" s="21"/>
      <c r="H42" s="22">
        <v>4.48E-2</v>
      </c>
      <c r="I42" s="15">
        <v>4.3099999999999999E-2</v>
      </c>
    </row>
    <row r="43" spans="1:9" ht="24" customHeight="1">
      <c r="A43" s="277" t="s">
        <v>274</v>
      </c>
      <c r="B43" s="18" t="s">
        <v>275</v>
      </c>
      <c r="C43" s="19"/>
      <c r="D43" s="20"/>
      <c r="E43" s="21">
        <f>$I$28*I43</f>
        <v>0</v>
      </c>
      <c r="F43" s="21"/>
      <c r="G43" s="21"/>
      <c r="H43" s="22">
        <v>4.0399999999999998E-2</v>
      </c>
      <c r="I43" s="15">
        <v>4.1000000000000002E-2</v>
      </c>
    </row>
    <row r="44" spans="1:9" ht="24" customHeight="1">
      <c r="A44" s="277"/>
      <c r="B44" s="18" t="s">
        <v>276</v>
      </c>
      <c r="C44" s="19"/>
      <c r="D44" s="20"/>
      <c r="E44" s="21">
        <f t="shared" ref="E44:E49" si="3">$I$28*I44</f>
        <v>0</v>
      </c>
      <c r="F44" s="21"/>
      <c r="G44" s="21"/>
      <c r="H44" s="22">
        <v>1.66E-2</v>
      </c>
      <c r="I44" s="15">
        <v>2.1700000000000001E-2</v>
      </c>
    </row>
    <row r="45" spans="1:9" ht="24" customHeight="1">
      <c r="A45" s="274" t="s">
        <v>277</v>
      </c>
      <c r="B45" s="276"/>
      <c r="C45" s="23"/>
      <c r="D45" s="24"/>
      <c r="E45" s="21">
        <f t="shared" si="3"/>
        <v>0</v>
      </c>
      <c r="F45" s="21"/>
      <c r="G45" s="21"/>
      <c r="H45" s="25">
        <f>SUM(H42:H44)</f>
        <v>0.1018</v>
      </c>
      <c r="I45" s="15">
        <f>SUM(I42:I44)</f>
        <v>0.10580000000000001</v>
      </c>
    </row>
    <row r="46" spans="1:9" ht="24" customHeight="1">
      <c r="A46" s="277" t="s">
        <v>86</v>
      </c>
      <c r="B46" s="277"/>
      <c r="C46" s="19"/>
      <c r="D46" s="20"/>
      <c r="E46" s="21">
        <f t="shared" si="3"/>
        <v>0</v>
      </c>
      <c r="F46" s="21"/>
      <c r="G46" s="21"/>
      <c r="H46" s="22">
        <f>1.97%+0.75%</f>
        <v>2.7199999999999998E-2</v>
      </c>
      <c r="I46" s="15">
        <v>3.4000000000000002E-2</v>
      </c>
    </row>
    <row r="47" spans="1:9" ht="24" customHeight="1">
      <c r="A47" s="278" t="s">
        <v>278</v>
      </c>
      <c r="B47" s="18" t="s">
        <v>275</v>
      </c>
      <c r="C47" s="19"/>
      <c r="D47" s="20"/>
      <c r="E47" s="21">
        <f t="shared" si="3"/>
        <v>0</v>
      </c>
      <c r="F47" s="21"/>
      <c r="G47" s="21"/>
      <c r="H47" s="22">
        <v>5.3E-3</v>
      </c>
      <c r="I47" s="15">
        <v>7.0000000000000001E-3</v>
      </c>
    </row>
    <row r="48" spans="1:9" ht="24" customHeight="1">
      <c r="A48" s="279"/>
      <c r="B48" s="18" t="s">
        <v>276</v>
      </c>
      <c r="C48" s="19"/>
      <c r="D48" s="20"/>
      <c r="E48" s="21">
        <f t="shared" si="3"/>
        <v>0</v>
      </c>
      <c r="F48" s="21"/>
      <c r="G48" s="21"/>
      <c r="H48" s="22">
        <v>3.4099999999999998E-2</v>
      </c>
      <c r="I48" s="15">
        <f>2.8%+1.6%</f>
        <v>4.3999999999999997E-2</v>
      </c>
    </row>
    <row r="49" spans="1:9" ht="24" customHeight="1">
      <c r="A49" s="277" t="s">
        <v>89</v>
      </c>
      <c r="B49" s="277"/>
      <c r="C49" s="19"/>
      <c r="D49" s="20"/>
      <c r="E49" s="21">
        <f t="shared" si="3"/>
        <v>0</v>
      </c>
      <c r="F49" s="21"/>
      <c r="G49" s="21"/>
      <c r="H49" s="22">
        <v>1.0999999999999999E-2</v>
      </c>
      <c r="I49" s="15">
        <v>0.03</v>
      </c>
    </row>
    <row r="52" spans="1:9" s="13" customFormat="1" ht="18.75" customHeight="1">
      <c r="G52" s="273" t="s">
        <v>263</v>
      </c>
      <c r="H52" s="273"/>
      <c r="I52" s="28"/>
    </row>
    <row r="53" spans="1:9" ht="39" customHeight="1">
      <c r="A53" s="280" t="s">
        <v>264</v>
      </c>
      <c r="B53" s="280"/>
      <c r="C53" s="274" t="s">
        <v>265</v>
      </c>
      <c r="D53" s="275"/>
      <c r="E53" s="275"/>
      <c r="F53" s="275"/>
      <c r="G53" s="275"/>
      <c r="H53" s="276"/>
      <c r="I53" s="15" t="s">
        <v>266</v>
      </c>
    </row>
    <row r="54" spans="1:9" ht="34.5" customHeight="1">
      <c r="A54" s="280"/>
      <c r="B54" s="280"/>
      <c r="C54" s="16" t="s">
        <v>267</v>
      </c>
      <c r="D54" s="16" t="s">
        <v>268</v>
      </c>
      <c r="E54" s="16" t="s">
        <v>269</v>
      </c>
      <c r="F54" s="17" t="s">
        <v>270</v>
      </c>
      <c r="G54" s="17" t="s">
        <v>271</v>
      </c>
      <c r="H54" s="17" t="s">
        <v>272</v>
      </c>
      <c r="I54" s="27"/>
    </row>
    <row r="55" spans="1:9" ht="24" customHeight="1">
      <c r="A55" s="277" t="s">
        <v>273</v>
      </c>
      <c r="B55" s="277"/>
      <c r="C55" s="19"/>
      <c r="D55" s="20"/>
      <c r="E55" s="21">
        <f>I54*I55</f>
        <v>0</v>
      </c>
      <c r="F55" s="21"/>
      <c r="G55" s="21"/>
      <c r="H55" s="22">
        <v>4.48E-2</v>
      </c>
      <c r="I55" s="15">
        <v>4.3099999999999999E-2</v>
      </c>
    </row>
    <row r="56" spans="1:9" ht="24" customHeight="1">
      <c r="A56" s="277" t="s">
        <v>274</v>
      </c>
      <c r="B56" s="18" t="s">
        <v>275</v>
      </c>
      <c r="C56" s="19"/>
      <c r="D56" s="20"/>
      <c r="E56" s="21">
        <f>$I$54*I56</f>
        <v>0</v>
      </c>
      <c r="F56" s="21"/>
      <c r="G56" s="21"/>
      <c r="H56" s="22">
        <v>4.0399999999999998E-2</v>
      </c>
      <c r="I56" s="15">
        <v>4.1000000000000002E-2</v>
      </c>
    </row>
    <row r="57" spans="1:9" ht="24" customHeight="1">
      <c r="A57" s="277"/>
      <c r="B57" s="18" t="s">
        <v>276</v>
      </c>
      <c r="C57" s="19"/>
      <c r="D57" s="20"/>
      <c r="E57" s="21">
        <f t="shared" ref="E57:E62" si="4">$I$54*I57</f>
        <v>0</v>
      </c>
      <c r="F57" s="21"/>
      <c r="G57" s="21"/>
      <c r="H57" s="22">
        <v>1.66E-2</v>
      </c>
      <c r="I57" s="15">
        <v>2.1700000000000001E-2</v>
      </c>
    </row>
    <row r="58" spans="1:9" ht="24" customHeight="1">
      <c r="A58" s="274" t="s">
        <v>277</v>
      </c>
      <c r="B58" s="276"/>
      <c r="C58" s="23"/>
      <c r="D58" s="24"/>
      <c r="E58" s="21">
        <f t="shared" si="4"/>
        <v>0</v>
      </c>
      <c r="F58" s="21"/>
      <c r="G58" s="21"/>
      <c r="H58" s="25">
        <f>SUM(H55:H57)</f>
        <v>0.1018</v>
      </c>
      <c r="I58" s="15">
        <f>SUM(I55:I57)</f>
        <v>0.10580000000000001</v>
      </c>
    </row>
    <row r="59" spans="1:9" ht="24" customHeight="1">
      <c r="A59" s="277" t="s">
        <v>86</v>
      </c>
      <c r="B59" s="277"/>
      <c r="C59" s="19"/>
      <c r="D59" s="20"/>
      <c r="E59" s="21">
        <f t="shared" si="4"/>
        <v>0</v>
      </c>
      <c r="F59" s="21"/>
      <c r="G59" s="21"/>
      <c r="H59" s="22">
        <f>1.97%+0.75%</f>
        <v>2.7199999999999998E-2</v>
      </c>
      <c r="I59" s="15">
        <v>3.4000000000000002E-2</v>
      </c>
    </row>
    <row r="60" spans="1:9" ht="24" customHeight="1">
      <c r="A60" s="278" t="s">
        <v>278</v>
      </c>
      <c r="B60" s="18" t="s">
        <v>275</v>
      </c>
      <c r="C60" s="19"/>
      <c r="D60" s="20"/>
      <c r="E60" s="21">
        <f t="shared" si="4"/>
        <v>0</v>
      </c>
      <c r="F60" s="21"/>
      <c r="G60" s="21"/>
      <c r="H60" s="22">
        <v>5.3E-3</v>
      </c>
      <c r="I60" s="15">
        <v>7.0000000000000001E-3</v>
      </c>
    </row>
    <row r="61" spans="1:9" ht="24" customHeight="1">
      <c r="A61" s="279"/>
      <c r="B61" s="18" t="s">
        <v>276</v>
      </c>
      <c r="C61" s="19"/>
      <c r="D61" s="20"/>
      <c r="E61" s="21">
        <f t="shared" si="4"/>
        <v>0</v>
      </c>
      <c r="F61" s="21"/>
      <c r="G61" s="21"/>
      <c r="H61" s="22">
        <v>3.4099999999999998E-2</v>
      </c>
      <c r="I61" s="15">
        <f>2.8%+1.6%</f>
        <v>4.3999999999999997E-2</v>
      </c>
    </row>
    <row r="62" spans="1:9" ht="24" customHeight="1">
      <c r="A62" s="277" t="s">
        <v>89</v>
      </c>
      <c r="B62" s="277"/>
      <c r="C62" s="19"/>
      <c r="D62" s="20"/>
      <c r="E62" s="21">
        <f t="shared" si="4"/>
        <v>0</v>
      </c>
      <c r="F62" s="21"/>
      <c r="G62" s="21"/>
      <c r="H62" s="22">
        <v>1.0999999999999999E-2</v>
      </c>
      <c r="I62" s="15">
        <v>0.03</v>
      </c>
    </row>
    <row r="65" spans="1:9" s="13" customFormat="1" ht="18.75" customHeight="1">
      <c r="G65" s="273" t="s">
        <v>263</v>
      </c>
      <c r="H65" s="273"/>
      <c r="I65" s="28"/>
    </row>
    <row r="66" spans="1:9" ht="39" customHeight="1">
      <c r="A66" s="280" t="s">
        <v>264</v>
      </c>
      <c r="B66" s="280"/>
      <c r="C66" s="274" t="s">
        <v>265</v>
      </c>
      <c r="D66" s="275"/>
      <c r="E66" s="275"/>
      <c r="F66" s="275"/>
      <c r="G66" s="275"/>
      <c r="H66" s="276"/>
      <c r="I66" s="15" t="s">
        <v>266</v>
      </c>
    </row>
    <row r="67" spans="1:9" ht="34.5" customHeight="1">
      <c r="A67" s="280"/>
      <c r="B67" s="280"/>
      <c r="C67" s="16" t="s">
        <v>267</v>
      </c>
      <c r="D67" s="16" t="s">
        <v>268</v>
      </c>
      <c r="E67" s="16" t="s">
        <v>269</v>
      </c>
      <c r="F67" s="17" t="s">
        <v>270</v>
      </c>
      <c r="G67" s="17" t="s">
        <v>271</v>
      </c>
      <c r="H67" s="17" t="s">
        <v>272</v>
      </c>
      <c r="I67" s="27"/>
    </row>
    <row r="68" spans="1:9" ht="24" customHeight="1">
      <c r="A68" s="277" t="s">
        <v>273</v>
      </c>
      <c r="B68" s="277"/>
      <c r="C68" s="19"/>
      <c r="D68" s="20"/>
      <c r="E68" s="21">
        <f>I67*I68</f>
        <v>0</v>
      </c>
      <c r="F68" s="21"/>
      <c r="G68" s="21"/>
      <c r="H68" s="22">
        <v>4.48E-2</v>
      </c>
      <c r="I68" s="15">
        <v>4.3099999999999999E-2</v>
      </c>
    </row>
    <row r="69" spans="1:9" ht="24" customHeight="1">
      <c r="A69" s="277" t="s">
        <v>274</v>
      </c>
      <c r="B69" s="18" t="s">
        <v>275</v>
      </c>
      <c r="C69" s="19"/>
      <c r="D69" s="20"/>
      <c r="E69" s="21">
        <f t="shared" ref="E69:E75" si="5">$I$67*I69</f>
        <v>0</v>
      </c>
      <c r="F69" s="21"/>
      <c r="G69" s="21"/>
      <c r="H69" s="22">
        <v>4.0399999999999998E-2</v>
      </c>
      <c r="I69" s="15">
        <v>4.1000000000000002E-2</v>
      </c>
    </row>
    <row r="70" spans="1:9" ht="24" customHeight="1">
      <c r="A70" s="277"/>
      <c r="B70" s="18" t="s">
        <v>276</v>
      </c>
      <c r="C70" s="19"/>
      <c r="D70" s="20"/>
      <c r="E70" s="21">
        <f t="shared" si="5"/>
        <v>0</v>
      </c>
      <c r="F70" s="21"/>
      <c r="G70" s="21"/>
      <c r="H70" s="22">
        <v>1.66E-2</v>
      </c>
      <c r="I70" s="15">
        <v>2.1700000000000001E-2</v>
      </c>
    </row>
    <row r="71" spans="1:9" ht="24" customHeight="1">
      <c r="A71" s="274" t="s">
        <v>277</v>
      </c>
      <c r="B71" s="276"/>
      <c r="C71" s="23"/>
      <c r="D71" s="24"/>
      <c r="E71" s="21">
        <f t="shared" si="5"/>
        <v>0</v>
      </c>
      <c r="F71" s="21"/>
      <c r="G71" s="21"/>
      <c r="H71" s="25">
        <f>SUM(H68:H70)</f>
        <v>0.1018</v>
      </c>
      <c r="I71" s="15">
        <f>SUM(I68:I70)</f>
        <v>0.10580000000000001</v>
      </c>
    </row>
    <row r="72" spans="1:9" ht="24" customHeight="1">
      <c r="A72" s="277" t="s">
        <v>86</v>
      </c>
      <c r="B72" s="277"/>
      <c r="C72" s="19"/>
      <c r="D72" s="20"/>
      <c r="E72" s="21">
        <f t="shared" si="5"/>
        <v>0</v>
      </c>
      <c r="F72" s="21"/>
      <c r="G72" s="21"/>
      <c r="H72" s="22">
        <f>1.97%+0.75%</f>
        <v>2.7199999999999998E-2</v>
      </c>
      <c r="I72" s="15">
        <v>3.4000000000000002E-2</v>
      </c>
    </row>
    <row r="73" spans="1:9" ht="24" customHeight="1">
      <c r="A73" s="278" t="s">
        <v>278</v>
      </c>
      <c r="B73" s="18" t="s">
        <v>275</v>
      </c>
      <c r="C73" s="19"/>
      <c r="D73" s="20"/>
      <c r="E73" s="21">
        <f t="shared" si="5"/>
        <v>0</v>
      </c>
      <c r="F73" s="21"/>
      <c r="G73" s="21"/>
      <c r="H73" s="22">
        <v>5.3E-3</v>
      </c>
      <c r="I73" s="15">
        <v>7.0000000000000001E-3</v>
      </c>
    </row>
    <row r="74" spans="1:9" ht="24" customHeight="1">
      <c r="A74" s="279"/>
      <c r="B74" s="18" t="s">
        <v>276</v>
      </c>
      <c r="C74" s="19"/>
      <c r="D74" s="20"/>
      <c r="E74" s="21">
        <f t="shared" si="5"/>
        <v>0</v>
      </c>
      <c r="F74" s="21"/>
      <c r="G74" s="21"/>
      <c r="H74" s="22">
        <v>3.4099999999999998E-2</v>
      </c>
      <c r="I74" s="15">
        <f>2.8%+1.6%</f>
        <v>4.3999999999999997E-2</v>
      </c>
    </row>
    <row r="75" spans="1:9" ht="24" customHeight="1">
      <c r="A75" s="277" t="s">
        <v>89</v>
      </c>
      <c r="B75" s="277"/>
      <c r="C75" s="19"/>
      <c r="D75" s="20"/>
      <c r="E75" s="21">
        <f t="shared" si="5"/>
        <v>0</v>
      </c>
      <c r="F75" s="21"/>
      <c r="G75" s="21"/>
      <c r="H75" s="22">
        <v>1.0999999999999999E-2</v>
      </c>
      <c r="I75" s="15">
        <v>0.03</v>
      </c>
    </row>
    <row r="78" spans="1:9" s="13" customFormat="1" ht="18.75" customHeight="1">
      <c r="G78" s="273" t="s">
        <v>263</v>
      </c>
      <c r="H78" s="273"/>
      <c r="I78" s="28"/>
    </row>
    <row r="79" spans="1:9" ht="39" customHeight="1">
      <c r="A79" s="280" t="s">
        <v>264</v>
      </c>
      <c r="B79" s="280"/>
      <c r="C79" s="274" t="s">
        <v>265</v>
      </c>
      <c r="D79" s="275"/>
      <c r="E79" s="275"/>
      <c r="F79" s="275"/>
      <c r="G79" s="275"/>
      <c r="H79" s="276"/>
      <c r="I79" s="15" t="s">
        <v>266</v>
      </c>
    </row>
    <row r="80" spans="1:9" ht="34.5" customHeight="1">
      <c r="A80" s="280"/>
      <c r="B80" s="280"/>
      <c r="C80" s="16" t="s">
        <v>267</v>
      </c>
      <c r="D80" s="16" t="s">
        <v>268</v>
      </c>
      <c r="E80" s="16" t="s">
        <v>269</v>
      </c>
      <c r="F80" s="17" t="s">
        <v>270</v>
      </c>
      <c r="G80" s="17" t="s">
        <v>271</v>
      </c>
      <c r="H80" s="17" t="s">
        <v>272</v>
      </c>
      <c r="I80" s="27"/>
    </row>
    <row r="81" spans="1:9" ht="24" customHeight="1">
      <c r="A81" s="277" t="s">
        <v>273</v>
      </c>
      <c r="B81" s="277"/>
      <c r="C81" s="19"/>
      <c r="D81" s="20"/>
      <c r="E81" s="21">
        <f>I80*I81</f>
        <v>0</v>
      </c>
      <c r="F81" s="21"/>
      <c r="G81" s="21"/>
      <c r="H81" s="22">
        <v>4.48E-2</v>
      </c>
      <c r="I81" s="15">
        <v>4.3099999999999999E-2</v>
      </c>
    </row>
    <row r="82" spans="1:9" ht="24" customHeight="1">
      <c r="A82" s="277" t="s">
        <v>274</v>
      </c>
      <c r="B82" s="18" t="s">
        <v>275</v>
      </c>
      <c r="C82" s="19"/>
      <c r="D82" s="20"/>
      <c r="E82" s="21">
        <f t="shared" ref="E82:E88" si="6">$I$80*I82</f>
        <v>0</v>
      </c>
      <c r="F82" s="21"/>
      <c r="G82" s="21"/>
      <c r="H82" s="22">
        <v>4.0399999999999998E-2</v>
      </c>
      <c r="I82" s="15">
        <v>4.1000000000000002E-2</v>
      </c>
    </row>
    <row r="83" spans="1:9" ht="24" customHeight="1">
      <c r="A83" s="277"/>
      <c r="B83" s="18" t="s">
        <v>276</v>
      </c>
      <c r="C83" s="19"/>
      <c r="D83" s="20"/>
      <c r="E83" s="21">
        <f t="shared" si="6"/>
        <v>0</v>
      </c>
      <c r="F83" s="21"/>
      <c r="G83" s="21"/>
      <c r="H83" s="22">
        <v>1.66E-2</v>
      </c>
      <c r="I83" s="15">
        <v>2.1700000000000001E-2</v>
      </c>
    </row>
    <row r="84" spans="1:9" ht="24" customHeight="1">
      <c r="A84" s="274" t="s">
        <v>277</v>
      </c>
      <c r="B84" s="276"/>
      <c r="C84" s="23"/>
      <c r="D84" s="24"/>
      <c r="E84" s="21">
        <f t="shared" si="6"/>
        <v>0</v>
      </c>
      <c r="F84" s="21"/>
      <c r="G84" s="21"/>
      <c r="H84" s="25">
        <f>SUM(H81:H83)</f>
        <v>0.1018</v>
      </c>
      <c r="I84" s="15">
        <f>SUM(I81:I83)</f>
        <v>0.10580000000000001</v>
      </c>
    </row>
    <row r="85" spans="1:9" ht="24" customHeight="1">
      <c r="A85" s="277" t="s">
        <v>86</v>
      </c>
      <c r="B85" s="277"/>
      <c r="C85" s="19"/>
      <c r="D85" s="20"/>
      <c r="E85" s="21">
        <f t="shared" si="6"/>
        <v>0</v>
      </c>
      <c r="F85" s="21"/>
      <c r="G85" s="21"/>
      <c r="H85" s="22">
        <f>1.97%+0.75%</f>
        <v>2.7199999999999998E-2</v>
      </c>
      <c r="I85" s="15">
        <v>3.4000000000000002E-2</v>
      </c>
    </row>
    <row r="86" spans="1:9" ht="24" customHeight="1">
      <c r="A86" s="278" t="s">
        <v>278</v>
      </c>
      <c r="B86" s="18" t="s">
        <v>275</v>
      </c>
      <c r="C86" s="19"/>
      <c r="D86" s="20"/>
      <c r="E86" s="21">
        <f t="shared" si="6"/>
        <v>0</v>
      </c>
      <c r="F86" s="21"/>
      <c r="G86" s="21"/>
      <c r="H86" s="22">
        <v>5.3E-3</v>
      </c>
      <c r="I86" s="15">
        <v>7.0000000000000001E-3</v>
      </c>
    </row>
    <row r="87" spans="1:9" ht="24" customHeight="1">
      <c r="A87" s="279"/>
      <c r="B87" s="18" t="s">
        <v>276</v>
      </c>
      <c r="C87" s="19"/>
      <c r="D87" s="20"/>
      <c r="E87" s="21">
        <f t="shared" si="6"/>
        <v>0</v>
      </c>
      <c r="F87" s="21"/>
      <c r="G87" s="21"/>
      <c r="H87" s="22">
        <v>3.4099999999999998E-2</v>
      </c>
      <c r="I87" s="15">
        <f>2.8%+1.6%</f>
        <v>4.3999999999999997E-2</v>
      </c>
    </row>
    <row r="88" spans="1:9" ht="24" customHeight="1">
      <c r="A88" s="277" t="s">
        <v>89</v>
      </c>
      <c r="B88" s="277"/>
      <c r="C88" s="19"/>
      <c r="D88" s="20"/>
      <c r="E88" s="21">
        <f t="shared" si="6"/>
        <v>0</v>
      </c>
      <c r="F88" s="21"/>
      <c r="G88" s="21"/>
      <c r="H88" s="22">
        <v>1.0999999999999999E-2</v>
      </c>
      <c r="I88" s="15">
        <v>0.03</v>
      </c>
    </row>
    <row r="91" spans="1:9" s="13" customFormat="1" ht="18.75" customHeight="1">
      <c r="G91" s="273" t="s">
        <v>263</v>
      </c>
      <c r="H91" s="273"/>
      <c r="I91" s="28"/>
    </row>
    <row r="92" spans="1:9" ht="39" customHeight="1">
      <c r="A92" s="280" t="s">
        <v>264</v>
      </c>
      <c r="B92" s="280"/>
      <c r="C92" s="274" t="s">
        <v>265</v>
      </c>
      <c r="D92" s="275"/>
      <c r="E92" s="275"/>
      <c r="F92" s="275"/>
      <c r="G92" s="275"/>
      <c r="H92" s="276"/>
      <c r="I92" s="15" t="s">
        <v>266</v>
      </c>
    </row>
    <row r="93" spans="1:9" ht="34.5" customHeight="1">
      <c r="A93" s="280"/>
      <c r="B93" s="280"/>
      <c r="C93" s="16" t="s">
        <v>267</v>
      </c>
      <c r="D93" s="16" t="s">
        <v>268</v>
      </c>
      <c r="E93" s="16" t="s">
        <v>269</v>
      </c>
      <c r="F93" s="17" t="s">
        <v>270</v>
      </c>
      <c r="G93" s="17" t="s">
        <v>271</v>
      </c>
      <c r="H93" s="17" t="s">
        <v>272</v>
      </c>
      <c r="I93" s="27"/>
    </row>
    <row r="94" spans="1:9" ht="24" customHeight="1">
      <c r="A94" s="277" t="s">
        <v>273</v>
      </c>
      <c r="B94" s="277"/>
      <c r="C94" s="19"/>
      <c r="D94" s="20"/>
      <c r="E94" s="21">
        <f>I93*I94</f>
        <v>0</v>
      </c>
      <c r="F94" s="21"/>
      <c r="G94" s="21"/>
      <c r="H94" s="22">
        <v>4.48E-2</v>
      </c>
      <c r="I94" s="15">
        <v>4.3099999999999999E-2</v>
      </c>
    </row>
    <row r="95" spans="1:9" ht="24" customHeight="1">
      <c r="A95" s="277" t="s">
        <v>274</v>
      </c>
      <c r="B95" s="18" t="s">
        <v>275</v>
      </c>
      <c r="C95" s="19"/>
      <c r="D95" s="20"/>
      <c r="E95" s="21">
        <f>$I$93*I95</f>
        <v>0</v>
      </c>
      <c r="F95" s="21"/>
      <c r="G95" s="21"/>
      <c r="H95" s="22">
        <v>4.0399999999999998E-2</v>
      </c>
      <c r="I95" s="15">
        <v>4.1000000000000002E-2</v>
      </c>
    </row>
    <row r="96" spans="1:9" ht="24" customHeight="1">
      <c r="A96" s="277"/>
      <c r="B96" s="18" t="s">
        <v>276</v>
      </c>
      <c r="C96" s="19"/>
      <c r="D96" s="20"/>
      <c r="E96" s="21">
        <f t="shared" ref="E96:E101" si="7">$I$93*I96</f>
        <v>0</v>
      </c>
      <c r="F96" s="21"/>
      <c r="G96" s="21"/>
      <c r="H96" s="22">
        <v>1.66E-2</v>
      </c>
      <c r="I96" s="15">
        <v>2.1700000000000001E-2</v>
      </c>
    </row>
    <row r="97" spans="1:9" ht="24" customHeight="1">
      <c r="A97" s="274" t="s">
        <v>277</v>
      </c>
      <c r="B97" s="276"/>
      <c r="C97" s="23"/>
      <c r="D97" s="24"/>
      <c r="E97" s="21">
        <f t="shared" si="7"/>
        <v>0</v>
      </c>
      <c r="F97" s="21"/>
      <c r="G97" s="21"/>
      <c r="H97" s="25">
        <f>SUM(H94:H96)</f>
        <v>0.1018</v>
      </c>
      <c r="I97" s="15">
        <f>SUM(I94:I96)</f>
        <v>0.10580000000000001</v>
      </c>
    </row>
    <row r="98" spans="1:9" ht="24" customHeight="1">
      <c r="A98" s="277" t="s">
        <v>86</v>
      </c>
      <c r="B98" s="277"/>
      <c r="C98" s="19"/>
      <c r="D98" s="20"/>
      <c r="E98" s="21">
        <f t="shared" si="7"/>
        <v>0</v>
      </c>
      <c r="F98" s="21"/>
      <c r="G98" s="21"/>
      <c r="H98" s="22">
        <f>1.97%+0.75%</f>
        <v>2.7199999999999998E-2</v>
      </c>
      <c r="I98" s="15">
        <v>3.4000000000000002E-2</v>
      </c>
    </row>
    <row r="99" spans="1:9" ht="24" customHeight="1">
      <c r="A99" s="278" t="s">
        <v>278</v>
      </c>
      <c r="B99" s="18" t="s">
        <v>275</v>
      </c>
      <c r="C99" s="19"/>
      <c r="D99" s="20"/>
      <c r="E99" s="21">
        <f t="shared" si="7"/>
        <v>0</v>
      </c>
      <c r="F99" s="21"/>
      <c r="G99" s="21"/>
      <c r="H99" s="22">
        <v>5.3E-3</v>
      </c>
      <c r="I99" s="15">
        <v>7.0000000000000001E-3</v>
      </c>
    </row>
    <row r="100" spans="1:9" ht="24" customHeight="1">
      <c r="A100" s="279"/>
      <c r="B100" s="18" t="s">
        <v>276</v>
      </c>
      <c r="C100" s="19"/>
      <c r="D100" s="20"/>
      <c r="E100" s="21">
        <f t="shared" si="7"/>
        <v>0</v>
      </c>
      <c r="F100" s="21"/>
      <c r="G100" s="21"/>
      <c r="H100" s="22">
        <v>3.4099999999999998E-2</v>
      </c>
      <c r="I100" s="15">
        <f>2.8%+1.6%</f>
        <v>4.3999999999999997E-2</v>
      </c>
    </row>
    <row r="101" spans="1:9" ht="24" customHeight="1">
      <c r="A101" s="277" t="s">
        <v>89</v>
      </c>
      <c r="B101" s="277"/>
      <c r="C101" s="19"/>
      <c r="D101" s="20"/>
      <c r="E101" s="21">
        <f t="shared" si="7"/>
        <v>0</v>
      </c>
      <c r="F101" s="21"/>
      <c r="G101" s="21"/>
      <c r="H101" s="22">
        <v>1.0999999999999999E-2</v>
      </c>
      <c r="I101" s="15">
        <v>0.03</v>
      </c>
    </row>
    <row r="104" spans="1:9" s="13" customFormat="1" ht="18.75" customHeight="1">
      <c r="G104" s="273" t="s">
        <v>263</v>
      </c>
      <c r="H104" s="273"/>
      <c r="I104" s="28"/>
    </row>
    <row r="105" spans="1:9" ht="39" customHeight="1">
      <c r="A105" s="280" t="s">
        <v>264</v>
      </c>
      <c r="B105" s="280"/>
      <c r="C105" s="274" t="s">
        <v>265</v>
      </c>
      <c r="D105" s="275"/>
      <c r="E105" s="275"/>
      <c r="F105" s="275"/>
      <c r="G105" s="275"/>
      <c r="H105" s="276"/>
      <c r="I105" s="15" t="s">
        <v>266</v>
      </c>
    </row>
    <row r="106" spans="1:9" ht="34.5" customHeight="1">
      <c r="A106" s="280"/>
      <c r="B106" s="280"/>
      <c r="C106" s="16" t="s">
        <v>267</v>
      </c>
      <c r="D106" s="16" t="s">
        <v>268</v>
      </c>
      <c r="E106" s="16" t="s">
        <v>269</v>
      </c>
      <c r="F106" s="17" t="s">
        <v>270</v>
      </c>
      <c r="G106" s="17" t="s">
        <v>271</v>
      </c>
      <c r="H106" s="17" t="s">
        <v>272</v>
      </c>
      <c r="I106" s="27"/>
    </row>
    <row r="107" spans="1:9" ht="24" customHeight="1">
      <c r="A107" s="277" t="s">
        <v>273</v>
      </c>
      <c r="B107" s="277"/>
      <c r="C107" s="19"/>
      <c r="D107" s="20"/>
      <c r="E107" s="21">
        <f>I106*I107</f>
        <v>0</v>
      </c>
      <c r="F107" s="21"/>
      <c r="G107" s="21"/>
      <c r="H107" s="22">
        <v>4.48E-2</v>
      </c>
      <c r="I107" s="15">
        <v>4.3099999999999999E-2</v>
      </c>
    </row>
    <row r="108" spans="1:9" ht="24" customHeight="1">
      <c r="A108" s="277" t="s">
        <v>274</v>
      </c>
      <c r="B108" s="18" t="s">
        <v>275</v>
      </c>
      <c r="C108" s="19"/>
      <c r="D108" s="20"/>
      <c r="E108" s="21">
        <f>$I$106*I108</f>
        <v>0</v>
      </c>
      <c r="F108" s="21"/>
      <c r="G108" s="21"/>
      <c r="H108" s="22">
        <v>4.0399999999999998E-2</v>
      </c>
      <c r="I108" s="15">
        <v>4.1000000000000002E-2</v>
      </c>
    </row>
    <row r="109" spans="1:9" ht="24" customHeight="1">
      <c r="A109" s="277"/>
      <c r="B109" s="18" t="s">
        <v>276</v>
      </c>
      <c r="C109" s="19"/>
      <c r="D109" s="20"/>
      <c r="E109" s="21">
        <f t="shared" ref="E109:E114" si="8">$I$106*I109</f>
        <v>0</v>
      </c>
      <c r="F109" s="21"/>
      <c r="G109" s="21"/>
      <c r="H109" s="22">
        <v>1.66E-2</v>
      </c>
      <c r="I109" s="15">
        <v>2.1700000000000001E-2</v>
      </c>
    </row>
    <row r="110" spans="1:9" ht="24" customHeight="1">
      <c r="A110" s="274" t="s">
        <v>277</v>
      </c>
      <c r="B110" s="276"/>
      <c r="C110" s="23"/>
      <c r="D110" s="24"/>
      <c r="E110" s="21">
        <f t="shared" si="8"/>
        <v>0</v>
      </c>
      <c r="F110" s="21"/>
      <c r="G110" s="21"/>
      <c r="H110" s="25">
        <f>SUM(H107:H109)</f>
        <v>0.1018</v>
      </c>
      <c r="I110" s="15">
        <f>SUM(I107:I109)</f>
        <v>0.10580000000000001</v>
      </c>
    </row>
    <row r="111" spans="1:9" ht="24" customHeight="1">
      <c r="A111" s="277" t="s">
        <v>86</v>
      </c>
      <c r="B111" s="277"/>
      <c r="C111" s="19"/>
      <c r="D111" s="20"/>
      <c r="E111" s="21">
        <f t="shared" si="8"/>
        <v>0</v>
      </c>
      <c r="F111" s="21"/>
      <c r="G111" s="21"/>
      <c r="H111" s="22">
        <f>1.97%+0.75%</f>
        <v>2.7199999999999998E-2</v>
      </c>
      <c r="I111" s="15">
        <v>3.4000000000000002E-2</v>
      </c>
    </row>
    <row r="112" spans="1:9" ht="24" customHeight="1">
      <c r="A112" s="278" t="s">
        <v>278</v>
      </c>
      <c r="B112" s="18" t="s">
        <v>275</v>
      </c>
      <c r="C112" s="19"/>
      <c r="D112" s="20"/>
      <c r="E112" s="21">
        <f t="shared" si="8"/>
        <v>0</v>
      </c>
      <c r="F112" s="21"/>
      <c r="G112" s="21"/>
      <c r="H112" s="22">
        <v>5.3E-3</v>
      </c>
      <c r="I112" s="15">
        <v>7.0000000000000001E-3</v>
      </c>
    </row>
    <row r="113" spans="1:9" ht="24" customHeight="1">
      <c r="A113" s="279"/>
      <c r="B113" s="18" t="s">
        <v>276</v>
      </c>
      <c r="C113" s="19"/>
      <c r="D113" s="20"/>
      <c r="E113" s="21">
        <f t="shared" si="8"/>
        <v>0</v>
      </c>
      <c r="F113" s="21"/>
      <c r="G113" s="21"/>
      <c r="H113" s="22">
        <v>3.4099999999999998E-2</v>
      </c>
      <c r="I113" s="15">
        <f>2.8%+1.6%</f>
        <v>4.3999999999999997E-2</v>
      </c>
    </row>
    <row r="114" spans="1:9" ht="24" customHeight="1">
      <c r="A114" s="277" t="s">
        <v>89</v>
      </c>
      <c r="B114" s="277"/>
      <c r="C114" s="19"/>
      <c r="D114" s="20"/>
      <c r="E114" s="21">
        <f t="shared" si="8"/>
        <v>0</v>
      </c>
      <c r="F114" s="21"/>
      <c r="G114" s="21"/>
      <c r="H114" s="22">
        <v>1.0999999999999999E-2</v>
      </c>
      <c r="I114" s="15">
        <v>0.03</v>
      </c>
    </row>
    <row r="117" spans="1:9" s="13" customFormat="1" ht="18.75" customHeight="1">
      <c r="G117" s="273" t="s">
        <v>263</v>
      </c>
      <c r="H117" s="273"/>
      <c r="I117" s="28"/>
    </row>
    <row r="118" spans="1:9" ht="39" customHeight="1">
      <c r="A118" s="280" t="s">
        <v>264</v>
      </c>
      <c r="B118" s="280"/>
      <c r="C118" s="274" t="s">
        <v>265</v>
      </c>
      <c r="D118" s="275"/>
      <c r="E118" s="275"/>
      <c r="F118" s="275"/>
      <c r="G118" s="275"/>
      <c r="H118" s="276"/>
      <c r="I118" s="15" t="s">
        <v>266</v>
      </c>
    </row>
    <row r="119" spans="1:9" ht="34.5" customHeight="1">
      <c r="A119" s="280"/>
      <c r="B119" s="280"/>
      <c r="C119" s="16" t="s">
        <v>267</v>
      </c>
      <c r="D119" s="16" t="s">
        <v>268</v>
      </c>
      <c r="E119" s="16" t="s">
        <v>269</v>
      </c>
      <c r="F119" s="17" t="s">
        <v>270</v>
      </c>
      <c r="G119" s="17" t="s">
        <v>271</v>
      </c>
      <c r="H119" s="17" t="s">
        <v>272</v>
      </c>
      <c r="I119" s="27"/>
    </row>
    <row r="120" spans="1:9" ht="24" customHeight="1">
      <c r="A120" s="277" t="s">
        <v>273</v>
      </c>
      <c r="B120" s="277"/>
      <c r="C120" s="19"/>
      <c r="D120" s="20"/>
      <c r="E120" s="21">
        <f>I119*I120</f>
        <v>0</v>
      </c>
      <c r="F120" s="21"/>
      <c r="G120" s="21"/>
      <c r="H120" s="22">
        <v>4.48E-2</v>
      </c>
      <c r="I120" s="15">
        <v>4.3099999999999999E-2</v>
      </c>
    </row>
    <row r="121" spans="1:9" ht="24" customHeight="1">
      <c r="A121" s="277" t="s">
        <v>274</v>
      </c>
      <c r="B121" s="18" t="s">
        <v>275</v>
      </c>
      <c r="C121" s="19"/>
      <c r="D121" s="20"/>
      <c r="E121" s="21">
        <f>$I$119*I121</f>
        <v>0</v>
      </c>
      <c r="F121" s="21"/>
      <c r="G121" s="21"/>
      <c r="H121" s="22">
        <v>4.0399999999999998E-2</v>
      </c>
      <c r="I121" s="15">
        <v>4.1000000000000002E-2</v>
      </c>
    </row>
    <row r="122" spans="1:9" ht="24" customHeight="1">
      <c r="A122" s="277"/>
      <c r="B122" s="18" t="s">
        <v>276</v>
      </c>
      <c r="C122" s="19"/>
      <c r="D122" s="20"/>
      <c r="E122" s="21">
        <f t="shared" ref="E122:E127" si="9">$I$119*I122</f>
        <v>0</v>
      </c>
      <c r="F122" s="21"/>
      <c r="G122" s="21"/>
      <c r="H122" s="22">
        <v>1.66E-2</v>
      </c>
      <c r="I122" s="15">
        <v>2.1700000000000001E-2</v>
      </c>
    </row>
    <row r="123" spans="1:9" ht="24" customHeight="1">
      <c r="A123" s="274" t="s">
        <v>277</v>
      </c>
      <c r="B123" s="276"/>
      <c r="C123" s="23"/>
      <c r="D123" s="24"/>
      <c r="E123" s="21">
        <f t="shared" si="9"/>
        <v>0</v>
      </c>
      <c r="F123" s="21"/>
      <c r="G123" s="21"/>
      <c r="H123" s="25">
        <f>SUM(H120:H122)</f>
        <v>0.1018</v>
      </c>
      <c r="I123" s="15">
        <f>SUM(I120:I122)</f>
        <v>0.10580000000000001</v>
      </c>
    </row>
    <row r="124" spans="1:9" ht="24" customHeight="1">
      <c r="A124" s="277" t="s">
        <v>86</v>
      </c>
      <c r="B124" s="277"/>
      <c r="C124" s="19"/>
      <c r="D124" s="20"/>
      <c r="E124" s="21">
        <f t="shared" si="9"/>
        <v>0</v>
      </c>
      <c r="F124" s="21"/>
      <c r="G124" s="21"/>
      <c r="H124" s="22">
        <f>1.97%+0.75%</f>
        <v>2.7199999999999998E-2</v>
      </c>
      <c r="I124" s="15">
        <v>3.4000000000000002E-2</v>
      </c>
    </row>
    <row r="125" spans="1:9" ht="24" customHeight="1">
      <c r="A125" s="278" t="s">
        <v>278</v>
      </c>
      <c r="B125" s="18" t="s">
        <v>275</v>
      </c>
      <c r="C125" s="19"/>
      <c r="D125" s="20"/>
      <c r="E125" s="21">
        <f t="shared" si="9"/>
        <v>0</v>
      </c>
      <c r="F125" s="21"/>
      <c r="G125" s="21"/>
      <c r="H125" s="22">
        <v>5.3E-3</v>
      </c>
      <c r="I125" s="15">
        <v>7.0000000000000001E-3</v>
      </c>
    </row>
    <row r="126" spans="1:9" ht="24" customHeight="1">
      <c r="A126" s="279"/>
      <c r="B126" s="18" t="s">
        <v>276</v>
      </c>
      <c r="C126" s="19"/>
      <c r="D126" s="20"/>
      <c r="E126" s="21">
        <f t="shared" si="9"/>
        <v>0</v>
      </c>
      <c r="F126" s="21"/>
      <c r="G126" s="21"/>
      <c r="H126" s="22">
        <v>3.4099999999999998E-2</v>
      </c>
      <c r="I126" s="15">
        <f>2.8%+1.6%</f>
        <v>4.3999999999999997E-2</v>
      </c>
    </row>
    <row r="127" spans="1:9" ht="24" customHeight="1">
      <c r="A127" s="277" t="s">
        <v>89</v>
      </c>
      <c r="B127" s="277"/>
      <c r="C127" s="19"/>
      <c r="D127" s="20"/>
      <c r="E127" s="21">
        <f t="shared" si="9"/>
        <v>0</v>
      </c>
      <c r="F127" s="21"/>
      <c r="G127" s="21"/>
      <c r="H127" s="22">
        <v>1.0999999999999999E-2</v>
      </c>
      <c r="I127" s="15">
        <v>0.03</v>
      </c>
    </row>
  </sheetData>
  <mergeCells count="90">
    <mergeCell ref="A73:A74"/>
    <mergeCell ref="A82:A83"/>
    <mergeCell ref="A86:A87"/>
    <mergeCell ref="A95:A96"/>
    <mergeCell ref="A99:A100"/>
    <mergeCell ref="A79:B80"/>
    <mergeCell ref="A92:B93"/>
    <mergeCell ref="A9:A10"/>
    <mergeCell ref="A17:A18"/>
    <mergeCell ref="A21:A22"/>
    <mergeCell ref="A30:A31"/>
    <mergeCell ref="A34:A35"/>
    <mergeCell ref="A14:B15"/>
    <mergeCell ref="A27:B28"/>
    <mergeCell ref="C118:H118"/>
    <mergeCell ref="A120:B120"/>
    <mergeCell ref="A123:B123"/>
    <mergeCell ref="A124:B124"/>
    <mergeCell ref="A127:B127"/>
    <mergeCell ref="A121:A122"/>
    <mergeCell ref="A125:A126"/>
    <mergeCell ref="A118:B119"/>
    <mergeCell ref="A107:B107"/>
    <mergeCell ref="A110:B110"/>
    <mergeCell ref="A111:B111"/>
    <mergeCell ref="A114:B114"/>
    <mergeCell ref="G117:H117"/>
    <mergeCell ref="A108:A109"/>
    <mergeCell ref="A112:A113"/>
    <mergeCell ref="A97:B97"/>
    <mergeCell ref="A98:B98"/>
    <mergeCell ref="A101:B101"/>
    <mergeCell ref="G104:H104"/>
    <mergeCell ref="C105:H105"/>
    <mergeCell ref="A105:B106"/>
    <mergeCell ref="A85:B85"/>
    <mergeCell ref="A88:B88"/>
    <mergeCell ref="G91:H91"/>
    <mergeCell ref="C92:H92"/>
    <mergeCell ref="A94:B94"/>
    <mergeCell ref="A75:B75"/>
    <mergeCell ref="G78:H78"/>
    <mergeCell ref="C79:H79"/>
    <mergeCell ref="A81:B81"/>
    <mergeCell ref="A84:B84"/>
    <mergeCell ref="G65:H65"/>
    <mergeCell ref="C66:H66"/>
    <mergeCell ref="A68:B68"/>
    <mergeCell ref="A71:B71"/>
    <mergeCell ref="A72:B72"/>
    <mergeCell ref="A69:A70"/>
    <mergeCell ref="A66:B67"/>
    <mergeCell ref="C53:H53"/>
    <mergeCell ref="A55:B55"/>
    <mergeCell ref="A58:B58"/>
    <mergeCell ref="A59:B59"/>
    <mergeCell ref="A62:B62"/>
    <mergeCell ref="A56:A57"/>
    <mergeCell ref="A60:A61"/>
    <mergeCell ref="A53:B54"/>
    <mergeCell ref="A42:B42"/>
    <mergeCell ref="A45:B45"/>
    <mergeCell ref="A46:B46"/>
    <mergeCell ref="A49:B49"/>
    <mergeCell ref="G52:H52"/>
    <mergeCell ref="A43:A44"/>
    <mergeCell ref="A47:A48"/>
    <mergeCell ref="A32:B32"/>
    <mergeCell ref="A33:B33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11:B11"/>
    <mergeCell ref="G13:H13"/>
    <mergeCell ref="C14:H14"/>
    <mergeCell ref="A16:B16"/>
    <mergeCell ref="A19:B19"/>
    <mergeCell ref="G1:H1"/>
    <mergeCell ref="C2:H2"/>
    <mergeCell ref="A4:B4"/>
    <mergeCell ref="A7:B7"/>
    <mergeCell ref="A8:B8"/>
    <mergeCell ref="A5:A6"/>
    <mergeCell ref="A2:B3"/>
  </mergeCells>
  <phoneticPr fontId="53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workbookViewId="0">
      <selection activeCell="J5" sqref="J5"/>
    </sheetView>
  </sheetViews>
  <sheetFormatPr defaultColWidth="8.77734375" defaultRowHeight="14.4"/>
  <sheetData>
    <row r="1" spans="1:24">
      <c r="K1" s="8"/>
      <c r="L1" s="8"/>
      <c r="M1" s="8"/>
      <c r="N1" s="8"/>
      <c r="O1" s="8"/>
      <c r="P1" s="9"/>
      <c r="Q1" s="8"/>
      <c r="R1" s="8"/>
      <c r="S1" s="8"/>
      <c r="T1" s="8"/>
      <c r="U1" s="8"/>
      <c r="V1" s="8"/>
      <c r="W1" s="9"/>
      <c r="X1" s="9"/>
    </row>
    <row r="2" spans="1:24">
      <c r="K2" s="8"/>
      <c r="L2" s="8"/>
      <c r="M2" s="8"/>
      <c r="N2" s="8"/>
      <c r="O2" s="8"/>
      <c r="P2" s="9"/>
      <c r="Q2" s="8"/>
      <c r="R2" s="8"/>
      <c r="S2" s="8"/>
      <c r="T2" s="8"/>
      <c r="U2" s="8"/>
      <c r="V2" s="8"/>
      <c r="W2" s="9"/>
      <c r="X2" s="9"/>
    </row>
    <row r="3" spans="1:2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0"/>
      <c r="Q3" s="1"/>
      <c r="R3" s="1"/>
      <c r="S3" s="1"/>
      <c r="T3" s="1"/>
      <c r="U3" s="1"/>
      <c r="V3" s="1"/>
      <c r="W3" s="10"/>
      <c r="X3" s="10"/>
    </row>
    <row r="4" spans="1:24">
      <c r="A4" s="281" t="s">
        <v>279</v>
      </c>
      <c r="B4" s="281"/>
      <c r="C4" s="281"/>
      <c r="D4" s="281"/>
      <c r="E4" s="281"/>
      <c r="F4" s="281"/>
      <c r="G4" s="282" t="s">
        <v>280</v>
      </c>
      <c r="H4" s="282"/>
      <c r="I4" s="282"/>
      <c r="J4" s="282"/>
      <c r="K4" s="283" t="s">
        <v>281</v>
      </c>
      <c r="L4" s="284"/>
      <c r="M4" s="284"/>
      <c r="N4" s="284"/>
      <c r="O4" s="284"/>
      <c r="P4" s="285"/>
      <c r="Q4" s="283" t="s">
        <v>282</v>
      </c>
      <c r="R4" s="284"/>
      <c r="S4" s="284"/>
      <c r="T4" s="284"/>
      <c r="U4" s="284"/>
      <c r="V4" s="284"/>
      <c r="W4" s="285"/>
      <c r="X4" s="287" t="s">
        <v>283</v>
      </c>
    </row>
    <row r="5" spans="1:24" ht="28.8">
      <c r="A5" s="2" t="s">
        <v>1</v>
      </c>
      <c r="B5" s="2" t="s">
        <v>284</v>
      </c>
      <c r="C5" s="2" t="s">
        <v>285</v>
      </c>
      <c r="D5" s="2" t="s">
        <v>286</v>
      </c>
      <c r="E5" s="2" t="s">
        <v>287</v>
      </c>
      <c r="F5" s="2" t="s">
        <v>288</v>
      </c>
      <c r="G5" s="2" t="s">
        <v>289</v>
      </c>
      <c r="H5" s="2" t="s">
        <v>290</v>
      </c>
      <c r="I5" s="2" t="s">
        <v>291</v>
      </c>
      <c r="J5" s="2" t="s">
        <v>292</v>
      </c>
      <c r="K5" s="2" t="s">
        <v>293</v>
      </c>
      <c r="L5" s="2" t="s">
        <v>294</v>
      </c>
      <c r="M5" s="2" t="s">
        <v>295</v>
      </c>
      <c r="N5" s="2" t="s">
        <v>296</v>
      </c>
      <c r="O5" s="2" t="s">
        <v>297</v>
      </c>
      <c r="P5" s="11" t="s">
        <v>298</v>
      </c>
      <c r="Q5" s="2" t="s">
        <v>299</v>
      </c>
      <c r="R5" s="2" t="s">
        <v>300</v>
      </c>
      <c r="S5" s="2" t="s">
        <v>301</v>
      </c>
      <c r="T5" s="2" t="s">
        <v>302</v>
      </c>
      <c r="U5" s="2" t="s">
        <v>303</v>
      </c>
      <c r="V5" s="2" t="s">
        <v>304</v>
      </c>
      <c r="W5" s="11" t="s">
        <v>305</v>
      </c>
      <c r="X5" s="288"/>
    </row>
    <row r="6" spans="1:24" ht="78">
      <c r="A6" s="3" t="s">
        <v>306</v>
      </c>
      <c r="B6" s="4" t="s">
        <v>307</v>
      </c>
      <c r="C6" s="5" t="s">
        <v>308</v>
      </c>
      <c r="D6" s="5"/>
      <c r="E6" s="6" t="s">
        <v>309</v>
      </c>
      <c r="F6" s="7">
        <v>1.4954000000000001</v>
      </c>
      <c r="G6" s="2" t="s">
        <v>310</v>
      </c>
      <c r="H6" s="2"/>
      <c r="I6" s="12">
        <v>12</v>
      </c>
      <c r="J6" s="12" t="s">
        <v>311</v>
      </c>
      <c r="K6" s="2" t="s">
        <v>312</v>
      </c>
      <c r="L6" s="2">
        <v>2500</v>
      </c>
      <c r="M6" s="2">
        <v>150</v>
      </c>
      <c r="N6" s="2">
        <f>M6*L6</f>
        <v>375000</v>
      </c>
      <c r="O6" s="2">
        <v>100000</v>
      </c>
      <c r="P6" s="11">
        <f>N6/O6</f>
        <v>3.75</v>
      </c>
      <c r="Q6" s="2" t="s">
        <v>313</v>
      </c>
      <c r="R6" s="2" t="s">
        <v>314</v>
      </c>
      <c r="S6" s="2">
        <v>260</v>
      </c>
      <c r="T6" s="2">
        <v>2800</v>
      </c>
      <c r="U6" s="2">
        <v>26</v>
      </c>
      <c r="V6" s="2">
        <f>U6*I6</f>
        <v>312</v>
      </c>
      <c r="W6" s="11">
        <f>T6/V6</f>
        <v>8.9743589743589691</v>
      </c>
      <c r="X6" s="11">
        <f>W6+P6</f>
        <v>12.724358974358999</v>
      </c>
    </row>
    <row r="7" spans="1:24" ht="17.399999999999999">
      <c r="A7" s="286" t="s">
        <v>315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  <c r="U7" s="286"/>
      <c r="V7" s="286"/>
      <c r="W7" s="286"/>
      <c r="X7" s="286"/>
    </row>
  </sheetData>
  <mergeCells count="6">
    <mergeCell ref="A4:F4"/>
    <mergeCell ref="G4:J4"/>
    <mergeCell ref="K4:P4"/>
    <mergeCell ref="Q4:W4"/>
    <mergeCell ref="A7:X7"/>
    <mergeCell ref="X4:X5"/>
  </mergeCells>
  <phoneticPr fontId="53" type="noConversion"/>
  <conditionalFormatting sqref="B3">
    <cfRule type="duplicateValues" dxfId="6" priority="7"/>
    <cfRule type="duplicateValues" dxfId="5" priority="6"/>
  </conditionalFormatting>
  <conditionalFormatting sqref="B5">
    <cfRule type="duplicateValues" dxfId="4" priority="5"/>
    <cfRule type="duplicateValues" dxfId="3" priority="4"/>
  </conditionalFormatting>
  <conditionalFormatting sqref="B6">
    <cfRule type="duplicateValues" dxfId="2" priority="3"/>
    <cfRule type="duplicateValues" dxfId="1" priority="2"/>
    <cfRule type="duplicateValues" dxfId="0" priority="1"/>
  </conditionalFormatting>
  <pageMargins left="0.75" right="0.75" top="1" bottom="1" header="0.5" footer="0.5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09375" defaultRowHeight="19.95" customHeight="1"/>
  <cols>
    <col min="1" max="1" width="8" style="175" customWidth="1"/>
    <col min="2" max="2" width="28.44140625" style="175" customWidth="1"/>
    <col min="3" max="4" width="9.109375" style="175"/>
    <col min="5" max="5" width="13.88671875" style="175" customWidth="1"/>
    <col min="6" max="12" width="16.109375" style="175" customWidth="1"/>
    <col min="13" max="13" width="10.6640625" style="175" customWidth="1"/>
    <col min="14" max="254" width="9.109375" style="175"/>
    <col min="255" max="255" width="8" style="175" customWidth="1"/>
    <col min="256" max="256" width="28.44140625" style="175" customWidth="1"/>
    <col min="257" max="268" width="9.109375" style="175"/>
    <col min="269" max="269" width="10.6640625" style="175" customWidth="1"/>
    <col min="270" max="510" width="9.109375" style="175"/>
    <col min="511" max="511" width="8" style="175" customWidth="1"/>
    <col min="512" max="512" width="28.44140625" style="175" customWidth="1"/>
    <col min="513" max="524" width="9.109375" style="175"/>
    <col min="525" max="525" width="10.6640625" style="175" customWidth="1"/>
    <col min="526" max="766" width="9.109375" style="175"/>
    <col min="767" max="767" width="8" style="175" customWidth="1"/>
    <col min="768" max="768" width="28.44140625" style="175" customWidth="1"/>
    <col min="769" max="780" width="9.109375" style="175"/>
    <col min="781" max="781" width="10.6640625" style="175" customWidth="1"/>
    <col min="782" max="1022" width="9.109375" style="175"/>
    <col min="1023" max="1023" width="8" style="175" customWidth="1"/>
    <col min="1024" max="1024" width="28.44140625" style="175" customWidth="1"/>
    <col min="1025" max="1036" width="9.109375" style="175"/>
    <col min="1037" max="1037" width="10.6640625" style="175" customWidth="1"/>
    <col min="1038" max="1278" width="9.109375" style="175"/>
    <col min="1279" max="1279" width="8" style="175" customWidth="1"/>
    <col min="1280" max="1280" width="28.44140625" style="175" customWidth="1"/>
    <col min="1281" max="1292" width="9.109375" style="175"/>
    <col min="1293" max="1293" width="10.6640625" style="175" customWidth="1"/>
    <col min="1294" max="1534" width="9.109375" style="175"/>
    <col min="1535" max="1535" width="8" style="175" customWidth="1"/>
    <col min="1536" max="1536" width="28.44140625" style="175" customWidth="1"/>
    <col min="1537" max="1548" width="9.109375" style="175"/>
    <col min="1549" max="1549" width="10.6640625" style="175" customWidth="1"/>
    <col min="1550" max="1790" width="9.109375" style="175"/>
    <col min="1791" max="1791" width="8" style="175" customWidth="1"/>
    <col min="1792" max="1792" width="28.44140625" style="175" customWidth="1"/>
    <col min="1793" max="1804" width="9.109375" style="175"/>
    <col min="1805" max="1805" width="10.6640625" style="175" customWidth="1"/>
    <col min="1806" max="2046" width="9.109375" style="175"/>
    <col min="2047" max="2047" width="8" style="175" customWidth="1"/>
    <col min="2048" max="2048" width="28.44140625" style="175" customWidth="1"/>
    <col min="2049" max="2060" width="9.109375" style="175"/>
    <col min="2061" max="2061" width="10.6640625" style="175" customWidth="1"/>
    <col min="2062" max="2302" width="9.109375" style="175"/>
    <col min="2303" max="2303" width="8" style="175" customWidth="1"/>
    <col min="2304" max="2304" width="28.44140625" style="175" customWidth="1"/>
    <col min="2305" max="2316" width="9.109375" style="175"/>
    <col min="2317" max="2317" width="10.6640625" style="175" customWidth="1"/>
    <col min="2318" max="2558" width="9.109375" style="175"/>
    <col min="2559" max="2559" width="8" style="175" customWidth="1"/>
    <col min="2560" max="2560" width="28.44140625" style="175" customWidth="1"/>
    <col min="2561" max="2572" width="9.109375" style="175"/>
    <col min="2573" max="2573" width="10.6640625" style="175" customWidth="1"/>
    <col min="2574" max="2814" width="9.109375" style="175"/>
    <col min="2815" max="2815" width="8" style="175" customWidth="1"/>
    <col min="2816" max="2816" width="28.44140625" style="175" customWidth="1"/>
    <col min="2817" max="2828" width="9.109375" style="175"/>
    <col min="2829" max="2829" width="10.6640625" style="175" customWidth="1"/>
    <col min="2830" max="3070" width="9.109375" style="175"/>
    <col min="3071" max="3071" width="8" style="175" customWidth="1"/>
    <col min="3072" max="3072" width="28.44140625" style="175" customWidth="1"/>
    <col min="3073" max="3084" width="9.109375" style="175"/>
    <col min="3085" max="3085" width="10.6640625" style="175" customWidth="1"/>
    <col min="3086" max="3326" width="9.109375" style="175"/>
    <col min="3327" max="3327" width="8" style="175" customWidth="1"/>
    <col min="3328" max="3328" width="28.44140625" style="175" customWidth="1"/>
    <col min="3329" max="3340" width="9.109375" style="175"/>
    <col min="3341" max="3341" width="10.6640625" style="175" customWidth="1"/>
    <col min="3342" max="3582" width="9.109375" style="175"/>
    <col min="3583" max="3583" width="8" style="175" customWidth="1"/>
    <col min="3584" max="3584" width="28.44140625" style="175" customWidth="1"/>
    <col min="3585" max="3596" width="9.109375" style="175"/>
    <col min="3597" max="3597" width="10.6640625" style="175" customWidth="1"/>
    <col min="3598" max="3838" width="9.109375" style="175"/>
    <col min="3839" max="3839" width="8" style="175" customWidth="1"/>
    <col min="3840" max="3840" width="28.44140625" style="175" customWidth="1"/>
    <col min="3841" max="3852" width="9.109375" style="175"/>
    <col min="3853" max="3853" width="10.6640625" style="175" customWidth="1"/>
    <col min="3854" max="4094" width="9.109375" style="175"/>
    <col min="4095" max="4095" width="8" style="175" customWidth="1"/>
    <col min="4096" max="4096" width="28.44140625" style="175" customWidth="1"/>
    <col min="4097" max="4108" width="9.109375" style="175"/>
    <col min="4109" max="4109" width="10.6640625" style="175" customWidth="1"/>
    <col min="4110" max="4350" width="9.109375" style="175"/>
    <col min="4351" max="4351" width="8" style="175" customWidth="1"/>
    <col min="4352" max="4352" width="28.44140625" style="175" customWidth="1"/>
    <col min="4353" max="4364" width="9.109375" style="175"/>
    <col min="4365" max="4365" width="10.6640625" style="175" customWidth="1"/>
    <col min="4366" max="4606" width="9.109375" style="175"/>
    <col min="4607" max="4607" width="8" style="175" customWidth="1"/>
    <col min="4608" max="4608" width="28.44140625" style="175" customWidth="1"/>
    <col min="4609" max="4620" width="9.109375" style="175"/>
    <col min="4621" max="4621" width="10.6640625" style="175" customWidth="1"/>
    <col min="4622" max="4862" width="9.109375" style="175"/>
    <col min="4863" max="4863" width="8" style="175" customWidth="1"/>
    <col min="4864" max="4864" width="28.44140625" style="175" customWidth="1"/>
    <col min="4865" max="4876" width="9.109375" style="175"/>
    <col min="4877" max="4877" width="10.6640625" style="175" customWidth="1"/>
    <col min="4878" max="5118" width="9.109375" style="175"/>
    <col min="5119" max="5119" width="8" style="175" customWidth="1"/>
    <col min="5120" max="5120" width="28.44140625" style="175" customWidth="1"/>
    <col min="5121" max="5132" width="9.109375" style="175"/>
    <col min="5133" max="5133" width="10.6640625" style="175" customWidth="1"/>
    <col min="5134" max="5374" width="9.109375" style="175"/>
    <col min="5375" max="5375" width="8" style="175" customWidth="1"/>
    <col min="5376" max="5376" width="28.44140625" style="175" customWidth="1"/>
    <col min="5377" max="5388" width="9.109375" style="175"/>
    <col min="5389" max="5389" width="10.6640625" style="175" customWidth="1"/>
    <col min="5390" max="5630" width="9.109375" style="175"/>
    <col min="5631" max="5631" width="8" style="175" customWidth="1"/>
    <col min="5632" max="5632" width="28.44140625" style="175" customWidth="1"/>
    <col min="5633" max="5644" width="9.109375" style="175"/>
    <col min="5645" max="5645" width="10.6640625" style="175" customWidth="1"/>
    <col min="5646" max="5886" width="9.109375" style="175"/>
    <col min="5887" max="5887" width="8" style="175" customWidth="1"/>
    <col min="5888" max="5888" width="28.44140625" style="175" customWidth="1"/>
    <col min="5889" max="5900" width="9.109375" style="175"/>
    <col min="5901" max="5901" width="10.6640625" style="175" customWidth="1"/>
    <col min="5902" max="6142" width="9.109375" style="175"/>
    <col min="6143" max="6143" width="8" style="175" customWidth="1"/>
    <col min="6144" max="6144" width="28.44140625" style="175" customWidth="1"/>
    <col min="6145" max="6156" width="9.109375" style="175"/>
    <col min="6157" max="6157" width="10.6640625" style="175" customWidth="1"/>
    <col min="6158" max="6398" width="9.109375" style="175"/>
    <col min="6399" max="6399" width="8" style="175" customWidth="1"/>
    <col min="6400" max="6400" width="28.44140625" style="175" customWidth="1"/>
    <col min="6401" max="6412" width="9.109375" style="175"/>
    <col min="6413" max="6413" width="10.6640625" style="175" customWidth="1"/>
    <col min="6414" max="6654" width="9.109375" style="175"/>
    <col min="6655" max="6655" width="8" style="175" customWidth="1"/>
    <col min="6656" max="6656" width="28.44140625" style="175" customWidth="1"/>
    <col min="6657" max="6668" width="9.109375" style="175"/>
    <col min="6669" max="6669" width="10.6640625" style="175" customWidth="1"/>
    <col min="6670" max="6910" width="9.109375" style="175"/>
    <col min="6911" max="6911" width="8" style="175" customWidth="1"/>
    <col min="6912" max="6912" width="28.44140625" style="175" customWidth="1"/>
    <col min="6913" max="6924" width="9.109375" style="175"/>
    <col min="6925" max="6925" width="10.6640625" style="175" customWidth="1"/>
    <col min="6926" max="7166" width="9.109375" style="175"/>
    <col min="7167" max="7167" width="8" style="175" customWidth="1"/>
    <col min="7168" max="7168" width="28.44140625" style="175" customWidth="1"/>
    <col min="7169" max="7180" width="9.109375" style="175"/>
    <col min="7181" max="7181" width="10.6640625" style="175" customWidth="1"/>
    <col min="7182" max="7422" width="9.109375" style="175"/>
    <col min="7423" max="7423" width="8" style="175" customWidth="1"/>
    <col min="7424" max="7424" width="28.44140625" style="175" customWidth="1"/>
    <col min="7425" max="7436" width="9.109375" style="175"/>
    <col min="7437" max="7437" width="10.6640625" style="175" customWidth="1"/>
    <col min="7438" max="7678" width="9.109375" style="175"/>
    <col min="7679" max="7679" width="8" style="175" customWidth="1"/>
    <col min="7680" max="7680" width="28.44140625" style="175" customWidth="1"/>
    <col min="7681" max="7692" width="9.109375" style="175"/>
    <col min="7693" max="7693" width="10.6640625" style="175" customWidth="1"/>
    <col min="7694" max="7934" width="9.109375" style="175"/>
    <col min="7935" max="7935" width="8" style="175" customWidth="1"/>
    <col min="7936" max="7936" width="28.44140625" style="175" customWidth="1"/>
    <col min="7937" max="7948" width="9.109375" style="175"/>
    <col min="7949" max="7949" width="10.6640625" style="175" customWidth="1"/>
    <col min="7950" max="8190" width="9.109375" style="175"/>
    <col min="8191" max="8191" width="8" style="175" customWidth="1"/>
    <col min="8192" max="8192" width="28.44140625" style="175" customWidth="1"/>
    <col min="8193" max="8204" width="9.109375" style="175"/>
    <col min="8205" max="8205" width="10.6640625" style="175" customWidth="1"/>
    <col min="8206" max="8446" width="9.109375" style="175"/>
    <col min="8447" max="8447" width="8" style="175" customWidth="1"/>
    <col min="8448" max="8448" width="28.44140625" style="175" customWidth="1"/>
    <col min="8449" max="8460" width="9.109375" style="175"/>
    <col min="8461" max="8461" width="10.6640625" style="175" customWidth="1"/>
    <col min="8462" max="8702" width="9.109375" style="175"/>
    <col min="8703" max="8703" width="8" style="175" customWidth="1"/>
    <col min="8704" max="8704" width="28.44140625" style="175" customWidth="1"/>
    <col min="8705" max="8716" width="9.109375" style="175"/>
    <col min="8717" max="8717" width="10.6640625" style="175" customWidth="1"/>
    <col min="8718" max="8958" width="9.109375" style="175"/>
    <col min="8959" max="8959" width="8" style="175" customWidth="1"/>
    <col min="8960" max="8960" width="28.44140625" style="175" customWidth="1"/>
    <col min="8961" max="8972" width="9.109375" style="175"/>
    <col min="8973" max="8973" width="10.6640625" style="175" customWidth="1"/>
    <col min="8974" max="9214" width="9.109375" style="175"/>
    <col min="9215" max="9215" width="8" style="175" customWidth="1"/>
    <col min="9216" max="9216" width="28.44140625" style="175" customWidth="1"/>
    <col min="9217" max="9228" width="9.109375" style="175"/>
    <col min="9229" max="9229" width="10.6640625" style="175" customWidth="1"/>
    <col min="9230" max="9470" width="9.109375" style="175"/>
    <col min="9471" max="9471" width="8" style="175" customWidth="1"/>
    <col min="9472" max="9472" width="28.44140625" style="175" customWidth="1"/>
    <col min="9473" max="9484" width="9.109375" style="175"/>
    <col min="9485" max="9485" width="10.6640625" style="175" customWidth="1"/>
    <col min="9486" max="9726" width="9.109375" style="175"/>
    <col min="9727" max="9727" width="8" style="175" customWidth="1"/>
    <col min="9728" max="9728" width="28.44140625" style="175" customWidth="1"/>
    <col min="9729" max="9740" width="9.109375" style="175"/>
    <col min="9741" max="9741" width="10.6640625" style="175" customWidth="1"/>
    <col min="9742" max="9982" width="9.109375" style="175"/>
    <col min="9983" max="9983" width="8" style="175" customWidth="1"/>
    <col min="9984" max="9984" width="28.44140625" style="175" customWidth="1"/>
    <col min="9985" max="9996" width="9.109375" style="175"/>
    <col min="9997" max="9997" width="10.6640625" style="175" customWidth="1"/>
    <col min="9998" max="10238" width="9.109375" style="175"/>
    <col min="10239" max="10239" width="8" style="175" customWidth="1"/>
    <col min="10240" max="10240" width="28.44140625" style="175" customWidth="1"/>
    <col min="10241" max="10252" width="9.109375" style="175"/>
    <col min="10253" max="10253" width="10.6640625" style="175" customWidth="1"/>
    <col min="10254" max="10494" width="9.109375" style="175"/>
    <col min="10495" max="10495" width="8" style="175" customWidth="1"/>
    <col min="10496" max="10496" width="28.44140625" style="175" customWidth="1"/>
    <col min="10497" max="10508" width="9.109375" style="175"/>
    <col min="10509" max="10509" width="10.6640625" style="175" customWidth="1"/>
    <col min="10510" max="10750" width="9.109375" style="175"/>
    <col min="10751" max="10751" width="8" style="175" customWidth="1"/>
    <col min="10752" max="10752" width="28.44140625" style="175" customWidth="1"/>
    <col min="10753" max="10764" width="9.109375" style="175"/>
    <col min="10765" max="10765" width="10.6640625" style="175" customWidth="1"/>
    <col min="10766" max="11006" width="9.109375" style="175"/>
    <col min="11007" max="11007" width="8" style="175" customWidth="1"/>
    <col min="11008" max="11008" width="28.44140625" style="175" customWidth="1"/>
    <col min="11009" max="11020" width="9.109375" style="175"/>
    <col min="11021" max="11021" width="10.6640625" style="175" customWidth="1"/>
    <col min="11022" max="11262" width="9.109375" style="175"/>
    <col min="11263" max="11263" width="8" style="175" customWidth="1"/>
    <col min="11264" max="11264" width="28.44140625" style="175" customWidth="1"/>
    <col min="11265" max="11276" width="9.109375" style="175"/>
    <col min="11277" max="11277" width="10.6640625" style="175" customWidth="1"/>
    <col min="11278" max="11518" width="9.109375" style="175"/>
    <col min="11519" max="11519" width="8" style="175" customWidth="1"/>
    <col min="11520" max="11520" width="28.44140625" style="175" customWidth="1"/>
    <col min="11521" max="11532" width="9.109375" style="175"/>
    <col min="11533" max="11533" width="10.6640625" style="175" customWidth="1"/>
    <col min="11534" max="11774" width="9.109375" style="175"/>
    <col min="11775" max="11775" width="8" style="175" customWidth="1"/>
    <col min="11776" max="11776" width="28.44140625" style="175" customWidth="1"/>
    <col min="11777" max="11788" width="9.109375" style="175"/>
    <col min="11789" max="11789" width="10.6640625" style="175" customWidth="1"/>
    <col min="11790" max="12030" width="9.109375" style="175"/>
    <col min="12031" max="12031" width="8" style="175" customWidth="1"/>
    <col min="12032" max="12032" width="28.44140625" style="175" customWidth="1"/>
    <col min="12033" max="12044" width="9.109375" style="175"/>
    <col min="12045" max="12045" width="10.6640625" style="175" customWidth="1"/>
    <col min="12046" max="12286" width="9.109375" style="175"/>
    <col min="12287" max="12287" width="8" style="175" customWidth="1"/>
    <col min="12288" max="12288" width="28.44140625" style="175" customWidth="1"/>
    <col min="12289" max="12300" width="9.109375" style="175"/>
    <col min="12301" max="12301" width="10.6640625" style="175" customWidth="1"/>
    <col min="12302" max="12542" width="9.109375" style="175"/>
    <col min="12543" max="12543" width="8" style="175" customWidth="1"/>
    <col min="12544" max="12544" width="28.44140625" style="175" customWidth="1"/>
    <col min="12545" max="12556" width="9.109375" style="175"/>
    <col min="12557" max="12557" width="10.6640625" style="175" customWidth="1"/>
    <col min="12558" max="12798" width="9.109375" style="175"/>
    <col min="12799" max="12799" width="8" style="175" customWidth="1"/>
    <col min="12800" max="12800" width="28.44140625" style="175" customWidth="1"/>
    <col min="12801" max="12812" width="9.109375" style="175"/>
    <col min="12813" max="12813" width="10.6640625" style="175" customWidth="1"/>
    <col min="12814" max="13054" width="9.109375" style="175"/>
    <col min="13055" max="13055" width="8" style="175" customWidth="1"/>
    <col min="13056" max="13056" width="28.44140625" style="175" customWidth="1"/>
    <col min="13057" max="13068" width="9.109375" style="175"/>
    <col min="13069" max="13069" width="10.6640625" style="175" customWidth="1"/>
    <col min="13070" max="13310" width="9.109375" style="175"/>
    <col min="13311" max="13311" width="8" style="175" customWidth="1"/>
    <col min="13312" max="13312" width="28.44140625" style="175" customWidth="1"/>
    <col min="13313" max="13324" width="9.109375" style="175"/>
    <col min="13325" max="13325" width="10.6640625" style="175" customWidth="1"/>
    <col min="13326" max="13566" width="9.109375" style="175"/>
    <col min="13567" max="13567" width="8" style="175" customWidth="1"/>
    <col min="13568" max="13568" width="28.44140625" style="175" customWidth="1"/>
    <col min="13569" max="13580" width="9.109375" style="175"/>
    <col min="13581" max="13581" width="10.6640625" style="175" customWidth="1"/>
    <col min="13582" max="13822" width="9.109375" style="175"/>
    <col min="13823" max="13823" width="8" style="175" customWidth="1"/>
    <col min="13824" max="13824" width="28.44140625" style="175" customWidth="1"/>
    <col min="13825" max="13836" width="9.109375" style="175"/>
    <col min="13837" max="13837" width="10.6640625" style="175" customWidth="1"/>
    <col min="13838" max="14078" width="9.109375" style="175"/>
    <col min="14079" max="14079" width="8" style="175" customWidth="1"/>
    <col min="14080" max="14080" width="28.44140625" style="175" customWidth="1"/>
    <col min="14081" max="14092" width="9.109375" style="175"/>
    <col min="14093" max="14093" width="10.6640625" style="175" customWidth="1"/>
    <col min="14094" max="14334" width="9.109375" style="175"/>
    <col min="14335" max="14335" width="8" style="175" customWidth="1"/>
    <col min="14336" max="14336" width="28.44140625" style="175" customWidth="1"/>
    <col min="14337" max="14348" width="9.109375" style="175"/>
    <col min="14349" max="14349" width="10.6640625" style="175" customWidth="1"/>
    <col min="14350" max="14590" width="9.109375" style="175"/>
    <col min="14591" max="14591" width="8" style="175" customWidth="1"/>
    <col min="14592" max="14592" width="28.44140625" style="175" customWidth="1"/>
    <col min="14593" max="14604" width="9.109375" style="175"/>
    <col min="14605" max="14605" width="10.6640625" style="175" customWidth="1"/>
    <col min="14606" max="14846" width="9.109375" style="175"/>
    <col min="14847" max="14847" width="8" style="175" customWidth="1"/>
    <col min="14848" max="14848" width="28.44140625" style="175" customWidth="1"/>
    <col min="14849" max="14860" width="9.109375" style="175"/>
    <col min="14861" max="14861" width="10.6640625" style="175" customWidth="1"/>
    <col min="14862" max="15102" width="9.109375" style="175"/>
    <col min="15103" max="15103" width="8" style="175" customWidth="1"/>
    <col min="15104" max="15104" width="28.44140625" style="175" customWidth="1"/>
    <col min="15105" max="15116" width="9.109375" style="175"/>
    <col min="15117" max="15117" width="10.6640625" style="175" customWidth="1"/>
    <col min="15118" max="15358" width="9.109375" style="175"/>
    <col min="15359" max="15359" width="8" style="175" customWidth="1"/>
    <col min="15360" max="15360" width="28.44140625" style="175" customWidth="1"/>
    <col min="15361" max="15372" width="9.109375" style="175"/>
    <col min="15373" max="15373" width="10.6640625" style="175" customWidth="1"/>
    <col min="15374" max="15614" width="9.109375" style="175"/>
    <col min="15615" max="15615" width="8" style="175" customWidth="1"/>
    <col min="15616" max="15616" width="28.44140625" style="175" customWidth="1"/>
    <col min="15617" max="15628" width="9.109375" style="175"/>
    <col min="15629" max="15629" width="10.6640625" style="175" customWidth="1"/>
    <col min="15630" max="15870" width="9.109375" style="175"/>
    <col min="15871" max="15871" width="8" style="175" customWidth="1"/>
    <col min="15872" max="15872" width="28.44140625" style="175" customWidth="1"/>
    <col min="15873" max="15884" width="9.109375" style="175"/>
    <col min="15885" max="15885" width="10.6640625" style="175" customWidth="1"/>
    <col min="15886" max="16126" width="9.109375" style="175"/>
    <col min="16127" max="16127" width="8" style="175" customWidth="1"/>
    <col min="16128" max="16128" width="28.44140625" style="175" customWidth="1"/>
    <col min="16129" max="16140" width="9.109375" style="175"/>
    <col min="16141" max="16141" width="10.6640625" style="175" customWidth="1"/>
    <col min="16142" max="16384" width="9.109375" style="175"/>
  </cols>
  <sheetData>
    <row r="1" spans="1:13" ht="17.399999999999999">
      <c r="A1" s="176" t="s">
        <v>17</v>
      </c>
      <c r="B1" s="177"/>
      <c r="C1" s="178"/>
      <c r="D1" s="178"/>
      <c r="E1" s="177"/>
      <c r="F1" s="178"/>
      <c r="G1" s="178"/>
      <c r="H1" s="177"/>
      <c r="I1" s="178"/>
      <c r="J1" s="178"/>
      <c r="K1" s="178"/>
      <c r="L1" s="178"/>
      <c r="M1" s="178"/>
    </row>
    <row r="2" spans="1:13" ht="12">
      <c r="A2" s="175" t="s">
        <v>18</v>
      </c>
      <c r="B2" s="179"/>
    </row>
    <row r="3" spans="1:13" ht="16.95" customHeight="1">
      <c r="A3" s="180" t="s">
        <v>19</v>
      </c>
      <c r="B3" s="180" t="s">
        <v>20</v>
      </c>
      <c r="C3" s="220" t="s">
        <v>21</v>
      </c>
      <c r="D3" s="220"/>
      <c r="E3" s="220"/>
      <c r="F3" s="182"/>
      <c r="G3" s="183"/>
      <c r="H3" s="184"/>
      <c r="I3" s="184"/>
      <c r="J3" s="184" t="s">
        <v>22</v>
      </c>
      <c r="K3" s="184"/>
      <c r="L3" s="184"/>
      <c r="M3" s="205"/>
    </row>
    <row r="4" spans="1:13" ht="16.2" customHeight="1">
      <c r="A4" s="185"/>
      <c r="B4" s="185" t="s">
        <v>23</v>
      </c>
      <c r="C4" s="181">
        <v>2017</v>
      </c>
      <c r="D4" s="181">
        <f t="shared" ref="D4:L4" si="0">C4+1</f>
        <v>2018</v>
      </c>
      <c r="E4" s="181">
        <f t="shared" si="0"/>
        <v>2019</v>
      </c>
      <c r="F4" s="181">
        <f t="shared" si="0"/>
        <v>2020</v>
      </c>
      <c r="G4" s="181">
        <f t="shared" si="0"/>
        <v>2021</v>
      </c>
      <c r="H4" s="186">
        <f t="shared" si="0"/>
        <v>2022</v>
      </c>
      <c r="I4" s="186">
        <f t="shared" si="0"/>
        <v>2023</v>
      </c>
      <c r="J4" s="186">
        <f t="shared" si="0"/>
        <v>2024</v>
      </c>
      <c r="K4" s="186">
        <f t="shared" si="0"/>
        <v>2025</v>
      </c>
      <c r="L4" s="186">
        <f t="shared" si="0"/>
        <v>2026</v>
      </c>
      <c r="M4" s="206" t="s">
        <v>24</v>
      </c>
    </row>
    <row r="5" spans="1:13" ht="15.6" customHeight="1">
      <c r="A5" s="187">
        <v>1</v>
      </c>
      <c r="B5" s="188" t="s">
        <v>25</v>
      </c>
      <c r="C5" s="189">
        <f>SUM(C6:C9)</f>
        <v>0</v>
      </c>
      <c r="D5" s="189">
        <f t="shared" ref="D5:L5" si="1">SUM(D6:D9)</f>
        <v>0</v>
      </c>
      <c r="E5" s="189" t="e">
        <f t="shared" si="1"/>
        <v>#REF!</v>
      </c>
      <c r="F5" s="189" t="e">
        <f t="shared" si="1"/>
        <v>#REF!</v>
      </c>
      <c r="G5" s="189" t="e">
        <f t="shared" si="1"/>
        <v>#REF!</v>
      </c>
      <c r="H5" s="189" t="e">
        <f t="shared" si="1"/>
        <v>#REF!</v>
      </c>
      <c r="I5" s="189" t="e">
        <f t="shared" si="1"/>
        <v>#REF!</v>
      </c>
      <c r="J5" s="189" t="e">
        <f t="shared" si="1"/>
        <v>#REF!</v>
      </c>
      <c r="K5" s="189" t="e">
        <f t="shared" si="1"/>
        <v>#REF!</v>
      </c>
      <c r="L5" s="189" t="e">
        <f t="shared" si="1"/>
        <v>#REF!</v>
      </c>
      <c r="M5" s="193" t="e">
        <f t="shared" ref="M5:M17" si="2">SUM(C5:L5)</f>
        <v>#REF!</v>
      </c>
    </row>
    <row r="6" spans="1:13" ht="15.6" customHeight="1">
      <c r="A6" s="187">
        <v>1.1000000000000001</v>
      </c>
      <c r="B6" s="190" t="s">
        <v>26</v>
      </c>
      <c r="C6" s="191"/>
      <c r="D6" s="191"/>
      <c r="E6" s="191" t="e">
        <f>#REF!</f>
        <v>#REF!</v>
      </c>
      <c r="F6" s="191" t="e">
        <f>#REF!</f>
        <v>#REF!</v>
      </c>
      <c r="G6" s="191" t="e">
        <f>#REF!</f>
        <v>#REF!</v>
      </c>
      <c r="H6" s="191" t="e">
        <f>#REF!</f>
        <v>#REF!</v>
      </c>
      <c r="I6" s="191" t="e">
        <f>#REF!</f>
        <v>#REF!</v>
      </c>
      <c r="J6" s="191" t="e">
        <f>#REF!</f>
        <v>#REF!</v>
      </c>
      <c r="K6" s="191" t="e">
        <f>#REF!</f>
        <v>#REF!</v>
      </c>
      <c r="L6" s="191" t="e">
        <f>#REF!</f>
        <v>#REF!</v>
      </c>
      <c r="M6" s="193" t="e">
        <f t="shared" si="2"/>
        <v>#REF!</v>
      </c>
    </row>
    <row r="7" spans="1:13" ht="15.6" customHeight="1">
      <c r="A7" s="187">
        <v>1.2</v>
      </c>
      <c r="B7" s="190" t="s">
        <v>27</v>
      </c>
      <c r="C7" s="191"/>
      <c r="D7" s="191"/>
      <c r="E7" s="191">
        <f>[1]折、摊!G18</f>
        <v>0</v>
      </c>
      <c r="F7" s="191">
        <f>[1]折、摊!H18</f>
        <v>0</v>
      </c>
      <c r="G7" s="191">
        <f>[1]折、摊!I18</f>
        <v>0</v>
      </c>
      <c r="H7" s="191">
        <f>[1]折、摊!J18</f>
        <v>0</v>
      </c>
      <c r="I7" s="191">
        <f>[1]折、摊!K18</f>
        <v>0</v>
      </c>
      <c r="J7" s="191">
        <f>[1]折、摊!L18</f>
        <v>0</v>
      </c>
      <c r="K7" s="191">
        <f>[1]折、摊!M18</f>
        <v>0</v>
      </c>
      <c r="L7" s="191">
        <f>[1]折、摊!N18</f>
        <v>0</v>
      </c>
      <c r="M7" s="193">
        <f t="shared" si="2"/>
        <v>0</v>
      </c>
    </row>
    <row r="8" spans="1:13" ht="15.6" customHeight="1">
      <c r="A8" s="187">
        <v>1.3</v>
      </c>
      <c r="B8" s="190" t="s">
        <v>28</v>
      </c>
      <c r="C8" s="191" t="s">
        <v>29</v>
      </c>
      <c r="D8" s="191" t="s">
        <v>29</v>
      </c>
      <c r="E8" s="191" t="s">
        <v>29</v>
      </c>
      <c r="F8" s="191" t="s">
        <v>29</v>
      </c>
      <c r="G8" s="191" t="s">
        <v>29</v>
      </c>
      <c r="H8" s="191" t="s">
        <v>29</v>
      </c>
      <c r="I8" s="191" t="s">
        <v>29</v>
      </c>
      <c r="J8" s="191" t="s">
        <v>29</v>
      </c>
      <c r="K8" s="191" t="s">
        <v>29</v>
      </c>
      <c r="L8" s="191"/>
      <c r="M8" s="193">
        <f t="shared" si="2"/>
        <v>0</v>
      </c>
    </row>
    <row r="9" spans="1:13" s="174" customFormat="1" ht="15.6" customHeight="1">
      <c r="A9" s="192">
        <v>1.4</v>
      </c>
      <c r="B9" s="193" t="s">
        <v>30</v>
      </c>
      <c r="C9" s="191" t="s">
        <v>29</v>
      </c>
      <c r="D9" s="191" t="s">
        <v>29</v>
      </c>
      <c r="E9" s="191" t="s">
        <v>29</v>
      </c>
      <c r="F9" s="191" t="s">
        <v>29</v>
      </c>
      <c r="G9" s="191" t="s">
        <v>29</v>
      </c>
      <c r="H9" s="191" t="s">
        <v>29</v>
      </c>
      <c r="I9" s="191" t="s">
        <v>29</v>
      </c>
      <c r="J9" s="191" t="s">
        <v>29</v>
      </c>
      <c r="K9" s="191" t="s">
        <v>29</v>
      </c>
      <c r="L9" s="191" t="s">
        <v>29</v>
      </c>
      <c r="M9" s="193">
        <f t="shared" si="2"/>
        <v>0</v>
      </c>
    </row>
    <row r="10" spans="1:13" ht="15.6" customHeight="1">
      <c r="A10" s="192">
        <v>2</v>
      </c>
      <c r="B10" s="188" t="s">
        <v>31</v>
      </c>
      <c r="C10" s="189">
        <f t="shared" ref="C10:L10" si="3">SUM(C11:C16)</f>
        <v>0</v>
      </c>
      <c r="D10" s="189">
        <f t="shared" si="3"/>
        <v>0</v>
      </c>
      <c r="E10" s="189">
        <f t="shared" si="3"/>
        <v>0</v>
      </c>
      <c r="F10" s="189">
        <f t="shared" si="3"/>
        <v>0</v>
      </c>
      <c r="G10" s="189">
        <f t="shared" si="3"/>
        <v>0</v>
      </c>
      <c r="H10" s="189">
        <f t="shared" si="3"/>
        <v>0</v>
      </c>
      <c r="I10" s="189">
        <f t="shared" si="3"/>
        <v>0</v>
      </c>
      <c r="J10" s="189">
        <f t="shared" si="3"/>
        <v>0</v>
      </c>
      <c r="K10" s="189">
        <f t="shared" si="3"/>
        <v>0</v>
      </c>
      <c r="L10" s="189">
        <f t="shared" si="3"/>
        <v>0</v>
      </c>
      <c r="M10" s="193">
        <f t="shared" si="2"/>
        <v>0</v>
      </c>
    </row>
    <row r="11" spans="1:13" ht="15" customHeight="1">
      <c r="A11" s="187">
        <v>2.1</v>
      </c>
      <c r="B11" s="187" t="s">
        <v>32</v>
      </c>
      <c r="C11" s="191">
        <f>([1]计划!C6-[1]计划!C7)</f>
        <v>0</v>
      </c>
      <c r="D11" s="191">
        <f>([1]计划!D6-[1]计划!D7)</f>
        <v>0</v>
      </c>
      <c r="E11" s="191">
        <f>([1]计划!E6-[1]计划!E7)</f>
        <v>0</v>
      </c>
      <c r="F11" s="191">
        <f>([1]计划!F6-[1]计划!F7)</f>
        <v>0</v>
      </c>
      <c r="G11" s="191">
        <f>([1]计划!G6-[1]计划!G7)</f>
        <v>0</v>
      </c>
      <c r="H11" s="191">
        <f>([1]计划!H6-[1]计划!H7)</f>
        <v>0</v>
      </c>
      <c r="I11" s="191">
        <f>([1]计划!I6-[1]计划!I7)</f>
        <v>0</v>
      </c>
      <c r="J11" s="191">
        <f>([1]计划!J6-[1]计划!J7)</f>
        <v>0</v>
      </c>
      <c r="K11" s="191">
        <f>([1]计划!K6-[1]计划!K7)</f>
        <v>0</v>
      </c>
      <c r="L11" s="191">
        <f>([1]计划!L6-[1]计划!L7)</f>
        <v>0</v>
      </c>
      <c r="M11" s="193">
        <f t="shared" si="2"/>
        <v>0</v>
      </c>
    </row>
    <row r="12" spans="1:13" s="174" customFormat="1" ht="15" customHeight="1">
      <c r="A12" s="187">
        <v>2.2000000000000002</v>
      </c>
      <c r="B12" s="193" t="s">
        <v>33</v>
      </c>
      <c r="C12" s="191">
        <f>[1]计划!C8</f>
        <v>0</v>
      </c>
      <c r="D12" s="191">
        <f>[1]计划!D8</f>
        <v>0</v>
      </c>
      <c r="E12" s="191">
        <f>[1]计划!E8</f>
        <v>0</v>
      </c>
      <c r="F12" s="191">
        <f>[1]计划!F8</f>
        <v>0</v>
      </c>
      <c r="G12" s="191">
        <f>[1]计划!G8</f>
        <v>0</v>
      </c>
      <c r="H12" s="191">
        <f>[1]计划!H8</f>
        <v>0</v>
      </c>
      <c r="I12" s="191">
        <f>[1]计划!I8</f>
        <v>0</v>
      </c>
      <c r="J12" s="191">
        <f>[1]计划!J8</f>
        <v>0</v>
      </c>
      <c r="K12" s="191">
        <f>[1]计划!K8</f>
        <v>0</v>
      </c>
      <c r="L12" s="191">
        <f>[1]计划!L8</f>
        <v>0</v>
      </c>
      <c r="M12" s="193">
        <f t="shared" si="2"/>
        <v>0</v>
      </c>
    </row>
    <row r="13" spans="1:13" ht="15" customHeight="1">
      <c r="A13" s="187">
        <v>2.2999999999999998</v>
      </c>
      <c r="B13" s="190" t="s">
        <v>34</v>
      </c>
      <c r="C13" s="191">
        <f>[1]总成本!C22</f>
        <v>0</v>
      </c>
      <c r="D13" s="191">
        <f>[1]总成本!D22</f>
        <v>0</v>
      </c>
      <c r="E13" s="191">
        <f>[1]总成本!E22</f>
        <v>0</v>
      </c>
      <c r="F13" s="191">
        <f>[1]总成本!F22</f>
        <v>0</v>
      </c>
      <c r="G13" s="191">
        <f>[1]总成本!G22</f>
        <v>0</v>
      </c>
      <c r="H13" s="191">
        <f>[1]总成本!H22</f>
        <v>0</v>
      </c>
      <c r="I13" s="191">
        <f>[1]总成本!I22</f>
        <v>0</v>
      </c>
      <c r="J13" s="191">
        <f>[1]总成本!J22</f>
        <v>0</v>
      </c>
      <c r="K13" s="191">
        <f>[1]总成本!K22</f>
        <v>0</v>
      </c>
      <c r="L13" s="191">
        <f>[1]总成本!L22</f>
        <v>0</v>
      </c>
      <c r="M13" s="193">
        <f t="shared" si="2"/>
        <v>0</v>
      </c>
    </row>
    <row r="14" spans="1:13" ht="15" customHeight="1">
      <c r="A14" s="187">
        <v>2.4</v>
      </c>
      <c r="B14" s="190" t="s">
        <v>35</v>
      </c>
      <c r="C14" s="191">
        <f>[1]价格!D15</f>
        <v>0</v>
      </c>
      <c r="D14" s="191">
        <f>[1]价格!E15</f>
        <v>0</v>
      </c>
      <c r="E14" s="191">
        <f>[1]价格!F15</f>
        <v>0</v>
      </c>
      <c r="F14" s="191">
        <f>[1]价格!G15</f>
        <v>0</v>
      </c>
      <c r="G14" s="191">
        <f>[1]价格!H15</f>
        <v>0</v>
      </c>
      <c r="H14" s="191">
        <f>[1]价格!I15</f>
        <v>0</v>
      </c>
      <c r="I14" s="191">
        <f>[1]价格!J15</f>
        <v>0</v>
      </c>
      <c r="J14" s="191">
        <f>[1]价格!K15</f>
        <v>0</v>
      </c>
      <c r="K14" s="191">
        <f>[1]价格!L15</f>
        <v>0</v>
      </c>
      <c r="L14" s="191">
        <f>[1]价格!M15</f>
        <v>0</v>
      </c>
      <c r="M14" s="193">
        <f t="shared" si="2"/>
        <v>0</v>
      </c>
    </row>
    <row r="15" spans="1:13" ht="15" customHeight="1">
      <c r="A15" s="187">
        <v>2.5</v>
      </c>
      <c r="B15" s="190" t="s">
        <v>36</v>
      </c>
      <c r="C15" s="191">
        <f>[1]利润!C13</f>
        <v>0</v>
      </c>
      <c r="D15" s="191">
        <f>[1]利润!D13</f>
        <v>0</v>
      </c>
      <c r="E15" s="191">
        <f>[1]利润!E13</f>
        <v>0</v>
      </c>
      <c r="F15" s="191">
        <f>[1]利润!F13</f>
        <v>0</v>
      </c>
      <c r="G15" s="191">
        <f>[1]利润!G13</f>
        <v>0</v>
      </c>
      <c r="H15" s="191">
        <f>[1]利润!H13</f>
        <v>0</v>
      </c>
      <c r="I15" s="191">
        <f>[1]利润!I13</f>
        <v>0</v>
      </c>
      <c r="J15" s="191">
        <f>[1]利润!J13</f>
        <v>0</v>
      </c>
      <c r="K15" s="191">
        <f>[1]利润!K13</f>
        <v>0</v>
      </c>
      <c r="L15" s="191">
        <f>[1]利润!L13</f>
        <v>0</v>
      </c>
      <c r="M15" s="193">
        <f t="shared" si="2"/>
        <v>0</v>
      </c>
    </row>
    <row r="16" spans="1:13" ht="15" customHeight="1">
      <c r="A16" s="187">
        <v>2.6</v>
      </c>
      <c r="B16" s="190" t="s">
        <v>37</v>
      </c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3">
        <f t="shared" si="2"/>
        <v>0</v>
      </c>
    </row>
    <row r="17" spans="1:18" ht="12">
      <c r="A17" s="187">
        <v>3</v>
      </c>
      <c r="B17" s="188" t="s">
        <v>38</v>
      </c>
      <c r="C17" s="189">
        <f t="shared" ref="C17:L17" si="4">C5-C10</f>
        <v>0</v>
      </c>
      <c r="D17" s="189">
        <f t="shared" si="4"/>
        <v>0</v>
      </c>
      <c r="E17" s="189" t="e">
        <f t="shared" si="4"/>
        <v>#REF!</v>
      </c>
      <c r="F17" s="189" t="e">
        <f t="shared" si="4"/>
        <v>#REF!</v>
      </c>
      <c r="G17" s="189" t="e">
        <f t="shared" si="4"/>
        <v>#REF!</v>
      </c>
      <c r="H17" s="189" t="e">
        <f t="shared" si="4"/>
        <v>#REF!</v>
      </c>
      <c r="I17" s="189" t="e">
        <f t="shared" si="4"/>
        <v>#REF!</v>
      </c>
      <c r="J17" s="189" t="e">
        <f t="shared" si="4"/>
        <v>#REF!</v>
      </c>
      <c r="K17" s="189" t="e">
        <f t="shared" si="4"/>
        <v>#REF!</v>
      </c>
      <c r="L17" s="189" t="e">
        <f t="shared" si="4"/>
        <v>#REF!</v>
      </c>
      <c r="M17" s="193" t="e">
        <f t="shared" si="2"/>
        <v>#REF!</v>
      </c>
    </row>
    <row r="18" spans="1:18" ht="12">
      <c r="A18" s="194">
        <v>4</v>
      </c>
      <c r="B18" s="190" t="s">
        <v>39</v>
      </c>
      <c r="C18" s="191">
        <f>C17</f>
        <v>0</v>
      </c>
      <c r="D18" s="191">
        <f t="shared" ref="D18:L18" si="5">C18+D17</f>
        <v>0</v>
      </c>
      <c r="E18" s="191" t="e">
        <f t="shared" si="5"/>
        <v>#REF!</v>
      </c>
      <c r="F18" s="191" t="e">
        <f t="shared" si="5"/>
        <v>#REF!</v>
      </c>
      <c r="G18" s="191" t="e">
        <f t="shared" si="5"/>
        <v>#REF!</v>
      </c>
      <c r="H18" s="191" t="e">
        <f t="shared" si="5"/>
        <v>#REF!</v>
      </c>
      <c r="I18" s="191" t="e">
        <f t="shared" si="5"/>
        <v>#REF!</v>
      </c>
      <c r="J18" s="191" t="e">
        <f t="shared" si="5"/>
        <v>#REF!</v>
      </c>
      <c r="K18" s="191" t="e">
        <f t="shared" si="5"/>
        <v>#REF!</v>
      </c>
      <c r="L18" s="191" t="e">
        <f t="shared" si="5"/>
        <v>#REF!</v>
      </c>
      <c r="M18" s="190" t="s">
        <v>29</v>
      </c>
    </row>
    <row r="19" spans="1:18" s="174" customFormat="1" ht="12">
      <c r="A19" s="194">
        <v>5</v>
      </c>
      <c r="B19" s="190" t="s">
        <v>40</v>
      </c>
      <c r="C19" s="191">
        <f t="shared" ref="C19:L19" si="6">C17+C15</f>
        <v>0</v>
      </c>
      <c r="D19" s="191">
        <f t="shared" si="6"/>
        <v>0</v>
      </c>
      <c r="E19" s="191" t="e">
        <f t="shared" si="6"/>
        <v>#REF!</v>
      </c>
      <c r="F19" s="191" t="e">
        <f t="shared" si="6"/>
        <v>#REF!</v>
      </c>
      <c r="G19" s="191" t="e">
        <f t="shared" si="6"/>
        <v>#REF!</v>
      </c>
      <c r="H19" s="191" t="e">
        <f t="shared" si="6"/>
        <v>#REF!</v>
      </c>
      <c r="I19" s="191" t="e">
        <f t="shared" si="6"/>
        <v>#REF!</v>
      </c>
      <c r="J19" s="191" t="e">
        <f t="shared" si="6"/>
        <v>#REF!</v>
      </c>
      <c r="K19" s="191" t="e">
        <f t="shared" si="6"/>
        <v>#REF!</v>
      </c>
      <c r="L19" s="191" t="e">
        <f t="shared" si="6"/>
        <v>#REF!</v>
      </c>
      <c r="M19" s="193" t="e">
        <f>SUM(C19:L19)</f>
        <v>#REF!</v>
      </c>
    </row>
    <row r="20" spans="1:18" s="174" customFormat="1" ht="12">
      <c r="A20" s="187">
        <v>6</v>
      </c>
      <c r="B20" s="190" t="s">
        <v>41</v>
      </c>
      <c r="C20" s="191">
        <f>C19</f>
        <v>0</v>
      </c>
      <c r="D20" s="191">
        <f t="shared" ref="D20:L20" si="7">C20+D19</f>
        <v>0</v>
      </c>
      <c r="E20" s="191" t="e">
        <f t="shared" si="7"/>
        <v>#REF!</v>
      </c>
      <c r="F20" s="191" t="e">
        <f t="shared" si="7"/>
        <v>#REF!</v>
      </c>
      <c r="G20" s="191" t="e">
        <f t="shared" si="7"/>
        <v>#REF!</v>
      </c>
      <c r="H20" s="191" t="e">
        <f t="shared" si="7"/>
        <v>#REF!</v>
      </c>
      <c r="I20" s="191" t="e">
        <f t="shared" si="7"/>
        <v>#REF!</v>
      </c>
      <c r="J20" s="191" t="e">
        <f t="shared" si="7"/>
        <v>#REF!</v>
      </c>
      <c r="K20" s="191" t="e">
        <f t="shared" si="7"/>
        <v>#REF!</v>
      </c>
      <c r="L20" s="191" t="e">
        <f t="shared" si="7"/>
        <v>#REF!</v>
      </c>
      <c r="M20" s="190" t="s">
        <v>29</v>
      </c>
    </row>
    <row r="21" spans="1:18" ht="12">
      <c r="A21" s="195"/>
      <c r="B21" s="196" t="s">
        <v>42</v>
      </c>
      <c r="C21" s="196"/>
      <c r="D21" s="196"/>
      <c r="E21" s="196" t="s">
        <v>43</v>
      </c>
      <c r="F21" s="196"/>
      <c r="G21" s="196"/>
      <c r="H21" s="196"/>
      <c r="I21" s="196" t="s">
        <v>44</v>
      </c>
      <c r="J21" s="196"/>
      <c r="K21" s="196"/>
      <c r="L21" s="196"/>
      <c r="M21" s="207"/>
    </row>
    <row r="22" spans="1:18" ht="12">
      <c r="A22" s="197"/>
      <c r="B22" s="198" t="s">
        <v>45</v>
      </c>
      <c r="C22" s="198"/>
      <c r="D22" s="199" t="s">
        <v>46</v>
      </c>
      <c r="E22" s="200" t="e">
        <f>IRR(C17:L17,0.15)</f>
        <v>#VALUE!</v>
      </c>
      <c r="F22" s="198"/>
      <c r="G22" s="198"/>
      <c r="H22" s="198"/>
      <c r="I22" s="200" t="e">
        <f>IRR(C19:L19,0.15)</f>
        <v>#VALUE!</v>
      </c>
      <c r="J22" s="198"/>
      <c r="K22" s="198"/>
      <c r="L22" s="198"/>
      <c r="M22" s="208"/>
    </row>
    <row r="23" spans="1:18" ht="12">
      <c r="A23" s="197"/>
      <c r="B23" s="198" t="s">
        <v>47</v>
      </c>
      <c r="C23" s="198"/>
      <c r="D23" s="198"/>
      <c r="E23" s="201" t="e">
        <f>NPV(0.12,C17:L17)</f>
        <v>#REF!</v>
      </c>
      <c r="F23" s="198"/>
      <c r="G23" s="198"/>
      <c r="H23" s="198"/>
      <c r="I23" s="201" t="e">
        <f>NPV(0.12,C19:L19)</f>
        <v>#REF!</v>
      </c>
      <c r="J23" s="198"/>
      <c r="K23" s="198"/>
      <c r="L23" s="198"/>
      <c r="M23" s="208"/>
      <c r="R23" s="175">
        <f>30.9-29.82</f>
        <v>1.08</v>
      </c>
    </row>
    <row r="24" spans="1:18" ht="12">
      <c r="A24" s="202"/>
      <c r="B24" s="203" t="s">
        <v>48</v>
      </c>
      <c r="C24" s="203"/>
      <c r="D24" s="203"/>
      <c r="E24" s="204" t="e">
        <f>6-H18/I17</f>
        <v>#REF!</v>
      </c>
      <c r="F24" s="203"/>
      <c r="G24" s="203"/>
      <c r="H24" s="203"/>
      <c r="I24" s="204" t="e">
        <f>6-H20/I19</f>
        <v>#REF!</v>
      </c>
      <c r="J24" s="203"/>
      <c r="K24" s="203"/>
      <c r="L24" s="203"/>
      <c r="M24" s="209"/>
    </row>
  </sheetData>
  <mergeCells count="1">
    <mergeCell ref="C3:E3"/>
  </mergeCells>
  <phoneticPr fontId="5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3"/>
  <sheetViews>
    <sheetView tabSelected="1" workbookViewId="0">
      <pane xSplit="2" ySplit="4" topLeftCell="C5" activePane="bottomRight" state="frozen"/>
      <selection pane="topRight"/>
      <selection pane="bottomLeft"/>
      <selection pane="bottomRight" activeCell="G14" sqref="G14"/>
    </sheetView>
  </sheetViews>
  <sheetFormatPr defaultColWidth="9" defaultRowHeight="15"/>
  <cols>
    <col min="1" max="1" width="5.109375" style="146" customWidth="1"/>
    <col min="2" max="2" width="32.6640625" style="146" customWidth="1"/>
    <col min="3" max="3" width="15.77734375" style="146" customWidth="1"/>
    <col min="4" max="4" width="14.44140625" style="147" customWidth="1"/>
    <col min="5" max="5" width="14.77734375" style="147" customWidth="1"/>
    <col min="6" max="6" width="16.44140625" style="147" customWidth="1"/>
    <col min="7" max="7" width="15.44140625" style="146" customWidth="1"/>
    <col min="8" max="33" width="9" style="146"/>
    <col min="34" max="34" width="4.33203125" style="146" customWidth="1"/>
    <col min="35" max="35" width="13.88671875" style="146" customWidth="1"/>
    <col min="36" max="16384" width="9" style="146"/>
  </cols>
  <sheetData>
    <row r="1" spans="1:36" ht="27" customHeight="1">
      <c r="A1" s="221" t="s">
        <v>49</v>
      </c>
      <c r="B1" s="221"/>
      <c r="C1" s="221"/>
      <c r="D1" s="221"/>
      <c r="E1" s="221"/>
      <c r="F1" s="221"/>
      <c r="G1" s="289" t="s">
        <v>316</v>
      </c>
    </row>
    <row r="2" spans="1:36" ht="15.75" customHeight="1">
      <c r="A2" s="222" t="s">
        <v>19</v>
      </c>
      <c r="B2" s="148" t="s">
        <v>1</v>
      </c>
      <c r="C2" s="148" t="s">
        <v>51</v>
      </c>
      <c r="D2" s="148" t="s">
        <v>52</v>
      </c>
      <c r="E2" s="148" t="s">
        <v>53</v>
      </c>
      <c r="F2" s="149" t="s">
        <v>54</v>
      </c>
      <c r="AJ2" s="146" t="s">
        <v>55</v>
      </c>
    </row>
    <row r="3" spans="1:36" s="120" customFormat="1" ht="15.75" customHeight="1">
      <c r="A3" s="223"/>
      <c r="B3" s="126" t="s">
        <v>3</v>
      </c>
      <c r="C3" s="150">
        <f>'2024年'!E6</f>
        <v>4000</v>
      </c>
      <c r="D3" s="150">
        <f>'2025年'!E6</f>
        <v>100000</v>
      </c>
      <c r="E3" s="150">
        <f>'2026年'!E6</f>
        <v>160000</v>
      </c>
      <c r="F3" s="150">
        <f t="shared" ref="F3:F10" si="0">SUM(D3:E3)</f>
        <v>260000</v>
      </c>
      <c r="G3" s="129"/>
      <c r="AH3" s="125" t="s">
        <v>19</v>
      </c>
      <c r="AI3" s="126" t="s">
        <v>3</v>
      </c>
      <c r="AJ3" s="120" t="s">
        <v>56</v>
      </c>
    </row>
    <row r="4" spans="1:36" s="120" customFormat="1" ht="15.75" customHeight="1">
      <c r="A4" s="122">
        <v>1</v>
      </c>
      <c r="B4" s="126" t="s">
        <v>57</v>
      </c>
      <c r="C4" s="150">
        <f>'2024年'!E7</f>
        <v>420000</v>
      </c>
      <c r="D4" s="150">
        <f>'2025年'!E7</f>
        <v>10500000</v>
      </c>
      <c r="E4" s="150">
        <f>'2026年'!E7</f>
        <v>16800000</v>
      </c>
      <c r="F4" s="150">
        <f t="shared" si="0"/>
        <v>27300000</v>
      </c>
      <c r="G4" s="129"/>
      <c r="AH4" s="125" t="s">
        <v>58</v>
      </c>
      <c r="AI4" s="126" t="s">
        <v>57</v>
      </c>
      <c r="AJ4" s="120" t="s">
        <v>56</v>
      </c>
    </row>
    <row r="5" spans="1:36" s="120" customFormat="1" ht="15.75" customHeight="1">
      <c r="A5" s="122">
        <v>2</v>
      </c>
      <c r="B5" s="122" t="s">
        <v>59</v>
      </c>
      <c r="C5" s="150">
        <f>'2024年'!C8</f>
        <v>0</v>
      </c>
      <c r="D5" s="150">
        <f>'2025年'!E8</f>
        <v>420000</v>
      </c>
      <c r="E5" s="150">
        <f>'2026年'!E8</f>
        <v>1317120</v>
      </c>
      <c r="F5" s="150">
        <f t="shared" si="0"/>
        <v>1737120</v>
      </c>
      <c r="G5" s="129"/>
      <c r="AH5" s="125" t="s">
        <v>60</v>
      </c>
      <c r="AI5" s="122" t="s">
        <v>61</v>
      </c>
      <c r="AJ5" s="120" t="s">
        <v>56</v>
      </c>
    </row>
    <row r="6" spans="1:36" s="120" customFormat="1" ht="15.75" customHeight="1">
      <c r="A6" s="122">
        <v>3</v>
      </c>
      <c r="B6" s="126" t="s">
        <v>62</v>
      </c>
      <c r="C6" s="151">
        <f>'2024年'!E9</f>
        <v>420000</v>
      </c>
      <c r="D6" s="151">
        <f>D4-D5</f>
        <v>10080000</v>
      </c>
      <c r="E6" s="151">
        <f>'2026年'!E9</f>
        <v>15482880</v>
      </c>
      <c r="F6" s="150">
        <f t="shared" si="0"/>
        <v>25562880</v>
      </c>
      <c r="G6" s="129"/>
      <c r="AH6" s="125" t="s">
        <v>63</v>
      </c>
      <c r="AI6" s="126" t="s">
        <v>62</v>
      </c>
      <c r="AJ6" s="120" t="s">
        <v>64</v>
      </c>
    </row>
    <row r="7" spans="1:36" s="120" customFormat="1" ht="15.75" customHeight="1">
      <c r="A7" s="122">
        <v>4</v>
      </c>
      <c r="B7" s="296" t="s">
        <v>326</v>
      </c>
      <c r="C7" s="151">
        <f>'2024年'!E10</f>
        <v>321000</v>
      </c>
      <c r="D7" s="150">
        <f>'2025年'!E10</f>
        <v>7784250</v>
      </c>
      <c r="E7" s="151">
        <f>'2026年'!E10</f>
        <v>12081156</v>
      </c>
      <c r="F7" s="150">
        <f t="shared" si="0"/>
        <v>19865406</v>
      </c>
      <c r="G7" s="129"/>
      <c r="AH7" s="125" t="s">
        <v>65</v>
      </c>
      <c r="AI7" s="125" t="s">
        <v>66</v>
      </c>
      <c r="AJ7" s="120" t="s">
        <v>67</v>
      </c>
    </row>
    <row r="8" spans="1:36" s="120" customFormat="1" ht="15.75" customHeight="1">
      <c r="A8" s="122">
        <v>5</v>
      </c>
      <c r="B8" s="125" t="s">
        <v>68</v>
      </c>
      <c r="C8" s="151">
        <f>'2024年'!E11</f>
        <v>18102</v>
      </c>
      <c r="D8" s="150">
        <f>'2025年'!E11</f>
        <v>452550</v>
      </c>
      <c r="E8" s="151">
        <f>'2026年'!E11</f>
        <v>724080</v>
      </c>
      <c r="F8" s="150">
        <f t="shared" si="0"/>
        <v>1176630</v>
      </c>
      <c r="G8" s="129"/>
      <c r="AH8" s="125" t="s">
        <v>69</v>
      </c>
      <c r="AI8" s="125" t="s">
        <v>68</v>
      </c>
    </row>
    <row r="9" spans="1:36" s="120" customFormat="1" ht="15.75" customHeight="1">
      <c r="A9" s="122">
        <v>6</v>
      </c>
      <c r="B9" s="125" t="s">
        <v>70</v>
      </c>
      <c r="C9" s="151">
        <f>'2024年'!E12</f>
        <v>9114</v>
      </c>
      <c r="D9" s="150">
        <f>'2025年'!E12</f>
        <v>227850.00000000003</v>
      </c>
      <c r="E9" s="151">
        <f>'2026年'!E12</f>
        <v>364560.00000000006</v>
      </c>
      <c r="F9" s="150">
        <f t="shared" si="0"/>
        <v>592410.00000000012</v>
      </c>
      <c r="G9" s="129"/>
      <c r="AH9" s="125" t="s">
        <v>71</v>
      </c>
      <c r="AI9" s="125" t="s">
        <v>70</v>
      </c>
    </row>
    <row r="10" spans="1:36" s="120" customFormat="1" ht="15.75" customHeight="1">
      <c r="A10" s="122">
        <v>7</v>
      </c>
      <c r="B10" s="125" t="s">
        <v>72</v>
      </c>
      <c r="C10" s="151">
        <f>'2024年'!E13</f>
        <v>57937.435897435993</v>
      </c>
      <c r="D10" s="150">
        <f>'2025年'!E13</f>
        <v>1448435.8974358998</v>
      </c>
      <c r="E10" s="151">
        <f>'2026年'!E13</f>
        <v>2317497.4358974397</v>
      </c>
      <c r="F10" s="150">
        <f t="shared" si="0"/>
        <v>3765933.3333333395</v>
      </c>
      <c r="G10" s="129"/>
      <c r="AH10" s="125" t="s">
        <v>73</v>
      </c>
      <c r="AI10" s="125" t="s">
        <v>72</v>
      </c>
      <c r="AJ10" s="120" t="s">
        <v>56</v>
      </c>
    </row>
    <row r="11" spans="1:36" s="120" customFormat="1" ht="15.75" customHeight="1">
      <c r="A11" s="122">
        <v>8</v>
      </c>
      <c r="B11" s="152" t="s">
        <v>74</v>
      </c>
      <c r="C11" s="153">
        <f>SUM(C8:C10)</f>
        <v>85153.435897435993</v>
      </c>
      <c r="D11" s="153">
        <f>SUM(D8:D10)</f>
        <v>2128835.8974358998</v>
      </c>
      <c r="E11" s="153">
        <f>SUM(E8:E10)</f>
        <v>3406137.4358974397</v>
      </c>
      <c r="F11" s="153">
        <f>SUM(F8:F10)</f>
        <v>5534973.3333333395</v>
      </c>
      <c r="G11" s="129"/>
      <c r="AH11" s="125" t="s">
        <v>75</v>
      </c>
      <c r="AI11" s="130" t="s">
        <v>74</v>
      </c>
    </row>
    <row r="12" spans="1:36" s="120" customFormat="1" ht="15.75" customHeight="1">
      <c r="A12" s="122">
        <v>9</v>
      </c>
      <c r="B12" s="154" t="s">
        <v>76</v>
      </c>
      <c r="C12" s="151">
        <f>'2024年'!E15</f>
        <v>13846.564102564007</v>
      </c>
      <c r="D12" s="150">
        <f>'2025年'!E15</f>
        <v>166914.10256410018</v>
      </c>
      <c r="E12" s="151">
        <f>'2026年'!E15</f>
        <v>-4413.4358974397182</v>
      </c>
      <c r="F12" s="150">
        <f>SUM(D12:E12)</f>
        <v>162500.66666666046</v>
      </c>
      <c r="G12" s="129"/>
      <c r="I12" s="146"/>
      <c r="J12" s="146"/>
      <c r="K12" s="146"/>
      <c r="L12" s="146"/>
      <c r="M12" s="146"/>
      <c r="N12" s="146"/>
      <c r="AH12" s="125" t="s">
        <v>77</v>
      </c>
      <c r="AI12" s="130" t="s">
        <v>76</v>
      </c>
    </row>
    <row r="13" spans="1:36" ht="15.75" customHeight="1">
      <c r="A13" s="122">
        <v>10</v>
      </c>
      <c r="B13" s="155" t="s">
        <v>78</v>
      </c>
      <c r="C13" s="156">
        <f>+C12/C6</f>
        <v>3.2968009768009537E-2</v>
      </c>
      <c r="D13" s="156">
        <f>+D12/D6</f>
        <v>1.655893874643851E-2</v>
      </c>
      <c r="E13" s="156">
        <f>+E12/E6</f>
        <v>-2.8505264507893352E-4</v>
      </c>
      <c r="F13" s="156">
        <f>+F12/F6</f>
        <v>6.3568997963711626E-3</v>
      </c>
      <c r="G13" s="129"/>
      <c r="AH13" s="155" t="s">
        <v>79</v>
      </c>
      <c r="AI13" s="155" t="s">
        <v>78</v>
      </c>
    </row>
    <row r="14" spans="1:36" ht="15.75" customHeight="1">
      <c r="A14" s="122">
        <v>11</v>
      </c>
      <c r="B14" s="155" t="s">
        <v>80</v>
      </c>
      <c r="C14" s="151">
        <f>'2024年'!E17</f>
        <v>150220</v>
      </c>
      <c r="D14" s="150">
        <f>'2025年'!E17</f>
        <v>563500</v>
      </c>
      <c r="E14" s="151">
        <f>'2026年'!E17</f>
        <v>821800.00000000012</v>
      </c>
      <c r="F14" s="150">
        <f t="shared" ref="F14:F19" si="1">SUM(D14:E14)</f>
        <v>1385300</v>
      </c>
      <c r="G14" s="129"/>
      <c r="AH14" s="155" t="s">
        <v>81</v>
      </c>
      <c r="AI14" s="155" t="s">
        <v>80</v>
      </c>
    </row>
    <row r="15" spans="1:36" ht="15.75" customHeight="1">
      <c r="A15" s="122"/>
      <c r="B15" s="132" t="s">
        <v>82</v>
      </c>
      <c r="C15" s="150"/>
      <c r="D15" s="150"/>
      <c r="E15" s="151"/>
      <c r="F15" s="150">
        <f t="shared" si="1"/>
        <v>0</v>
      </c>
      <c r="G15" s="134" t="s">
        <v>83</v>
      </c>
      <c r="AH15" s="155"/>
      <c r="AI15" s="155"/>
    </row>
    <row r="16" spans="1:36" ht="15.75" customHeight="1">
      <c r="A16" s="122">
        <v>12</v>
      </c>
      <c r="B16" s="155" t="s">
        <v>84</v>
      </c>
      <c r="C16" s="151">
        <f>'2024年'!E19</f>
        <v>2940</v>
      </c>
      <c r="D16" s="157">
        <f>'2025年'!E19</f>
        <v>73500</v>
      </c>
      <c r="E16" s="157">
        <f>'2026年'!E19</f>
        <v>117600</v>
      </c>
      <c r="F16" s="150">
        <f t="shared" si="1"/>
        <v>191100</v>
      </c>
      <c r="G16" s="129"/>
      <c r="O16" s="129"/>
      <c r="AH16" s="155" t="s">
        <v>85</v>
      </c>
      <c r="AI16" s="155" t="s">
        <v>84</v>
      </c>
      <c r="AJ16" s="146" t="s">
        <v>56</v>
      </c>
    </row>
    <row r="17" spans="1:36" ht="15.75" customHeight="1">
      <c r="A17" s="122">
        <v>13</v>
      </c>
      <c r="B17" s="155" t="s">
        <v>86</v>
      </c>
      <c r="C17" s="151">
        <f>'2024年'!E20</f>
        <v>14280.000000000002</v>
      </c>
      <c r="D17" s="157">
        <f>'2025年'!E20</f>
        <v>357000</v>
      </c>
      <c r="E17" s="157">
        <f>'2026年'!E20</f>
        <v>571200</v>
      </c>
      <c r="F17" s="150">
        <f t="shared" si="1"/>
        <v>928200</v>
      </c>
      <c r="G17" s="129"/>
      <c r="AH17" s="155" t="s">
        <v>87</v>
      </c>
      <c r="AI17" s="155" t="s">
        <v>86</v>
      </c>
    </row>
    <row r="18" spans="1:36" s="119" customFormat="1" ht="15.75" customHeight="1">
      <c r="A18" s="122">
        <v>14</v>
      </c>
      <c r="B18" s="136" t="s">
        <v>88</v>
      </c>
      <c r="C18" s="150"/>
      <c r="D18" s="158">
        <f>'2025年'!E21</f>
        <v>0</v>
      </c>
      <c r="E18" s="158">
        <f>'2026年'!E21</f>
        <v>0</v>
      </c>
      <c r="F18" s="150">
        <f t="shared" si="1"/>
        <v>0</v>
      </c>
      <c r="G18" s="129"/>
      <c r="AH18" s="136"/>
      <c r="AI18" s="136"/>
    </row>
    <row r="19" spans="1:36" s="120" customFormat="1" ht="15.75" customHeight="1">
      <c r="A19" s="122">
        <v>15</v>
      </c>
      <c r="B19" s="125" t="s">
        <v>89</v>
      </c>
      <c r="C19" s="151">
        <f>'2024年'!E22</f>
        <v>12600</v>
      </c>
      <c r="D19" s="157">
        <f>'2025年'!E22</f>
        <v>315000</v>
      </c>
      <c r="E19" s="157">
        <f>'2026年'!E22</f>
        <v>504000</v>
      </c>
      <c r="F19" s="150">
        <f t="shared" si="1"/>
        <v>819000</v>
      </c>
      <c r="G19" s="129"/>
      <c r="AH19" s="125" t="s">
        <v>90</v>
      </c>
      <c r="AI19" s="125" t="s">
        <v>89</v>
      </c>
    </row>
    <row r="20" spans="1:36" s="144" customFormat="1" ht="15.75" customHeight="1">
      <c r="A20" s="122">
        <v>16</v>
      </c>
      <c r="B20" s="159" t="s">
        <v>91</v>
      </c>
      <c r="C20" s="153">
        <f>+C19+C18+C17+C16+C14</f>
        <v>180040</v>
      </c>
      <c r="D20" s="153">
        <f>+D19+D18+D17+D16+D14</f>
        <v>1309000</v>
      </c>
      <c r="E20" s="153">
        <f>+E19+E18+E17+E16+E14</f>
        <v>2014600</v>
      </c>
      <c r="F20" s="153">
        <f>+F19+F18+F17+F16+F14</f>
        <v>3323600</v>
      </c>
      <c r="G20" s="129"/>
      <c r="AH20" s="171" t="s">
        <v>92</v>
      </c>
      <c r="AI20" s="172" t="s">
        <v>91</v>
      </c>
    </row>
    <row r="21" spans="1:36" ht="15.75" customHeight="1">
      <c r="A21" s="122">
        <v>17</v>
      </c>
      <c r="B21" s="155" t="s">
        <v>93</v>
      </c>
      <c r="C21" s="151">
        <f>'2024年'!E24</f>
        <v>-166193.43589743599</v>
      </c>
      <c r="D21" s="160">
        <f>'2025年'!E24</f>
        <v>-1142085.8974358998</v>
      </c>
      <c r="E21" s="160">
        <f>'2026年'!E24</f>
        <v>-2019013.4358974397</v>
      </c>
      <c r="F21" s="150">
        <f>SUM(D21:E21)</f>
        <v>-3161099.3333333395</v>
      </c>
      <c r="G21" s="161"/>
      <c r="AH21" s="155" t="s">
        <v>94</v>
      </c>
      <c r="AI21" s="155" t="s">
        <v>93</v>
      </c>
    </row>
    <row r="22" spans="1:36" ht="15.75" customHeight="1">
      <c r="A22" s="122">
        <v>18</v>
      </c>
      <c r="B22" s="155" t="s">
        <v>36</v>
      </c>
      <c r="C22" s="151">
        <f>'2024年'!E25</f>
        <v>0</v>
      </c>
      <c r="D22" s="160">
        <f>'2025年'!E25</f>
        <v>0</v>
      </c>
      <c r="E22" s="160">
        <f>'2026年'!E25</f>
        <v>0</v>
      </c>
      <c r="F22" s="150">
        <f>SUM(D22:E22)</f>
        <v>0</v>
      </c>
      <c r="G22" s="129"/>
      <c r="AH22" s="155" t="s">
        <v>95</v>
      </c>
      <c r="AI22" s="155" t="s">
        <v>36</v>
      </c>
    </row>
    <row r="23" spans="1:36" ht="15.75" customHeight="1">
      <c r="A23" s="122">
        <v>19</v>
      </c>
      <c r="B23" s="155" t="s">
        <v>96</v>
      </c>
      <c r="C23" s="151">
        <f>'2024年'!E26</f>
        <v>-166193.43589743599</v>
      </c>
      <c r="D23" s="160">
        <f>'2025年'!E26</f>
        <v>-1142085.8974358998</v>
      </c>
      <c r="E23" s="160">
        <f>'2026年'!E26</f>
        <v>-2019013.4358974397</v>
      </c>
      <c r="F23" s="150">
        <f>SUM(D23:E23)</f>
        <v>-3161099.3333333395</v>
      </c>
      <c r="G23" s="161"/>
      <c r="AH23" s="155" t="s">
        <v>97</v>
      </c>
      <c r="AI23" s="155" t="s">
        <v>96</v>
      </c>
    </row>
    <row r="24" spans="1:36" ht="15.75" customHeight="1">
      <c r="A24" s="122">
        <v>20</v>
      </c>
      <c r="B24" s="155" t="s">
        <v>98</v>
      </c>
      <c r="C24" s="162">
        <f>C23/C4</f>
        <v>-0.39569865689865713</v>
      </c>
      <c r="D24" s="162">
        <f>D23/D4</f>
        <v>-0.1087700854700857</v>
      </c>
      <c r="E24" s="162">
        <f>E23/E4</f>
        <v>-0.12017937118437141</v>
      </c>
      <c r="F24" s="162">
        <f>F23/F4</f>
        <v>-0.1157911843711846</v>
      </c>
      <c r="G24" s="161"/>
      <c r="AH24" s="173" t="s">
        <v>99</v>
      </c>
      <c r="AI24" s="173" t="s">
        <v>100</v>
      </c>
    </row>
    <row r="25" spans="1:36" s="145" customFormat="1" ht="15.75" customHeight="1">
      <c r="D25" s="163"/>
      <c r="E25" s="163"/>
      <c r="F25" s="163"/>
      <c r="G25" s="164"/>
    </row>
    <row r="26" spans="1:36" s="145" customFormat="1" ht="15.75" customHeight="1">
      <c r="A26" s="145" t="s">
        <v>101</v>
      </c>
      <c r="D26" s="165"/>
      <c r="E26" s="165"/>
      <c r="F26" s="165"/>
      <c r="G26" s="164"/>
      <c r="AH26" s="145" t="s">
        <v>101</v>
      </c>
    </row>
    <row r="27" spans="1:36" ht="15.75" customHeight="1">
      <c r="A27" s="155" t="s">
        <v>19</v>
      </c>
      <c r="B27" s="166" t="s">
        <v>1</v>
      </c>
      <c r="C27" s="148" t="s">
        <v>51</v>
      </c>
      <c r="D27" s="148" t="s">
        <v>102</v>
      </c>
      <c r="E27" s="148" t="s">
        <v>53</v>
      </c>
      <c r="F27" s="149" t="s">
        <v>54</v>
      </c>
      <c r="AJ27" s="146" t="s">
        <v>55</v>
      </c>
    </row>
    <row r="28" spans="1:36" s="120" customFormat="1" ht="15.75" customHeight="1">
      <c r="A28" s="125" t="s">
        <v>103</v>
      </c>
      <c r="B28" s="130" t="s">
        <v>104</v>
      </c>
      <c r="C28" s="130"/>
      <c r="D28" s="135"/>
      <c r="E28" s="135"/>
      <c r="F28" s="135"/>
      <c r="G28" s="129"/>
      <c r="AH28" s="125" t="s">
        <v>105</v>
      </c>
      <c r="AI28" s="130" t="s">
        <v>104</v>
      </c>
    </row>
    <row r="29" spans="1:36" s="120" customFormat="1" ht="15.75" customHeight="1">
      <c r="A29" s="125" t="s">
        <v>58</v>
      </c>
      <c r="B29" s="125" t="s">
        <v>106</v>
      </c>
      <c r="C29" s="128">
        <f>+C6/C3</f>
        <v>105</v>
      </c>
      <c r="D29" s="128">
        <f>+D6/D3</f>
        <v>100.8</v>
      </c>
      <c r="E29" s="128">
        <f>+E6/E3</f>
        <v>96.768000000000001</v>
      </c>
      <c r="F29" s="128">
        <f>+F6/F3</f>
        <v>98.318769230769206</v>
      </c>
      <c r="G29" s="129"/>
      <c r="AH29" s="125" t="s">
        <v>58</v>
      </c>
      <c r="AI29" s="125" t="s">
        <v>106</v>
      </c>
    </row>
    <row r="30" spans="1:36" s="120" customFormat="1" ht="15.75" customHeight="1">
      <c r="A30" s="125" t="s">
        <v>60</v>
      </c>
      <c r="B30" s="125" t="s">
        <v>107</v>
      </c>
      <c r="C30" s="128">
        <f>+C7/C3</f>
        <v>80.25</v>
      </c>
      <c r="D30" s="128">
        <f>+D7/D3</f>
        <v>77.842500000000001</v>
      </c>
      <c r="E30" s="128">
        <f>+E7/E3</f>
        <v>75.507225000000005</v>
      </c>
      <c r="F30" s="128">
        <f>+F7/F3</f>
        <v>76.405407692307705</v>
      </c>
      <c r="G30" s="129"/>
      <c r="AH30" s="125" t="s">
        <v>60</v>
      </c>
      <c r="AI30" s="125" t="s">
        <v>107</v>
      </c>
    </row>
    <row r="31" spans="1:36" s="120" customFormat="1" ht="15.75" customHeight="1">
      <c r="A31" s="125" t="s">
        <v>108</v>
      </c>
      <c r="B31" s="125" t="s">
        <v>109</v>
      </c>
      <c r="C31" s="135">
        <f>C29-C30</f>
        <v>24.75</v>
      </c>
      <c r="D31" s="135">
        <f>D29-D30</f>
        <v>22.9575</v>
      </c>
      <c r="E31" s="135">
        <f>E29-E30</f>
        <v>21.260774999999999</v>
      </c>
      <c r="F31" s="135">
        <f>F29-F30</f>
        <v>21.913361538461501</v>
      </c>
      <c r="G31" s="129"/>
      <c r="AH31" s="125" t="s">
        <v>108</v>
      </c>
      <c r="AI31" s="125" t="s">
        <v>109</v>
      </c>
    </row>
    <row r="32" spans="1:36" s="120" customFormat="1" ht="15.75" customHeight="1">
      <c r="A32" s="125">
        <v>3.1</v>
      </c>
      <c r="B32" s="125" t="s">
        <v>110</v>
      </c>
      <c r="C32" s="131">
        <f>C31/C29</f>
        <v>0.23571428571428599</v>
      </c>
      <c r="D32" s="131">
        <f>D31/D29</f>
        <v>0.22775297619047599</v>
      </c>
      <c r="E32" s="131">
        <f>E31/E29</f>
        <v>0.21970873635912699</v>
      </c>
      <c r="F32" s="131">
        <f>F31/F29</f>
        <v>0.222880755220069</v>
      </c>
      <c r="G32" s="129"/>
      <c r="AH32" s="125"/>
      <c r="AI32" s="125"/>
    </row>
    <row r="33" spans="1:35" s="120" customFormat="1" ht="15.75" customHeight="1">
      <c r="A33" s="125" t="s">
        <v>105</v>
      </c>
      <c r="B33" s="130" t="s">
        <v>9</v>
      </c>
      <c r="C33" s="135"/>
      <c r="D33" s="135"/>
      <c r="E33" s="135"/>
      <c r="F33" s="135"/>
      <c r="G33" s="129"/>
      <c r="AH33" s="125" t="s">
        <v>111</v>
      </c>
      <c r="AI33" s="130" t="s">
        <v>9</v>
      </c>
    </row>
    <row r="34" spans="1:35" s="120" customFormat="1" ht="15.75" customHeight="1">
      <c r="A34" s="125" t="s">
        <v>58</v>
      </c>
      <c r="B34" s="136" t="s">
        <v>112</v>
      </c>
      <c r="C34" s="128">
        <f>+C8/C3</f>
        <v>4.5255000000000001</v>
      </c>
      <c r="D34" s="128">
        <f>+D8/D3</f>
        <v>4.5255000000000001</v>
      </c>
      <c r="E34" s="128">
        <f>+E8/E3</f>
        <v>4.5255000000000001</v>
      </c>
      <c r="F34" s="128">
        <f>+F8/F3</f>
        <v>4.5255000000000001</v>
      </c>
      <c r="G34" s="129"/>
      <c r="AH34" s="125" t="s">
        <v>108</v>
      </c>
      <c r="AI34" s="125" t="s">
        <v>112</v>
      </c>
    </row>
    <row r="35" spans="1:35" s="120" customFormat="1" ht="15.75" customHeight="1">
      <c r="A35" s="125" t="s">
        <v>60</v>
      </c>
      <c r="B35" s="136" t="s">
        <v>113</v>
      </c>
      <c r="C35" s="128">
        <f>+C9/C3</f>
        <v>2.2785000000000002</v>
      </c>
      <c r="D35" s="128">
        <f>+D9/D3</f>
        <v>2.2785000000000002</v>
      </c>
      <c r="E35" s="128">
        <f>+E9/E3</f>
        <v>2.2785000000000002</v>
      </c>
      <c r="F35" s="128">
        <f>+F9/F3</f>
        <v>2.2785000000000006</v>
      </c>
      <c r="G35" s="129"/>
      <c r="AH35" s="125" t="s">
        <v>63</v>
      </c>
      <c r="AI35" s="125" t="s">
        <v>113</v>
      </c>
    </row>
    <row r="36" spans="1:35" s="120" customFormat="1" ht="15.75" customHeight="1">
      <c r="A36" s="125" t="s">
        <v>108</v>
      </c>
      <c r="B36" s="136" t="s">
        <v>114</v>
      </c>
      <c r="C36" s="128">
        <f>+C10/C3</f>
        <v>14.484358974358999</v>
      </c>
      <c r="D36" s="128">
        <f>+D10/D3</f>
        <v>14.484358974358999</v>
      </c>
      <c r="E36" s="128">
        <f>+E10/E3</f>
        <v>14.484358974358999</v>
      </c>
      <c r="F36" s="128">
        <f>+F10/F3</f>
        <v>14.484358974358999</v>
      </c>
      <c r="G36" s="129"/>
      <c r="AH36" s="125" t="s">
        <v>69</v>
      </c>
      <c r="AI36" s="125" t="s">
        <v>114</v>
      </c>
    </row>
    <row r="37" spans="1:35" s="120" customFormat="1" ht="15.75" customHeight="1">
      <c r="A37" s="125" t="s">
        <v>115</v>
      </c>
      <c r="B37" s="154" t="s">
        <v>116</v>
      </c>
      <c r="C37" s="128"/>
      <c r="D37" s="128"/>
      <c r="E37" s="128"/>
      <c r="F37" s="128"/>
      <c r="G37" s="129"/>
      <c r="AH37" s="125" t="s">
        <v>115</v>
      </c>
      <c r="AI37" s="130" t="s">
        <v>116</v>
      </c>
    </row>
    <row r="38" spans="1:35" s="120" customFormat="1">
      <c r="A38" s="125" t="s">
        <v>58</v>
      </c>
      <c r="B38" s="136" t="s">
        <v>117</v>
      </c>
      <c r="C38" s="128">
        <f>+C12/C3</f>
        <v>3.461641025641002</v>
      </c>
      <c r="D38" s="128">
        <f>+D12/D3</f>
        <v>1.6691410256410018</v>
      </c>
      <c r="E38" s="128">
        <f>+E12/E3</f>
        <v>-2.7583974358998238E-2</v>
      </c>
      <c r="F38" s="128">
        <f>+F12/F3</f>
        <v>0.62500256410254018</v>
      </c>
      <c r="G38" s="129"/>
      <c r="AH38" s="125" t="s">
        <v>58</v>
      </c>
      <c r="AI38" s="125" t="s">
        <v>118</v>
      </c>
    </row>
    <row r="39" spans="1:35" s="120" customFormat="1" ht="15.75" customHeight="1">
      <c r="A39" s="125" t="s">
        <v>60</v>
      </c>
      <c r="B39" s="136" t="s">
        <v>119</v>
      </c>
      <c r="C39" s="150">
        <f>+C20/C38</f>
        <v>52010.014518088712</v>
      </c>
      <c r="D39" s="150">
        <f>+D20/D38</f>
        <v>784235.71159740898</v>
      </c>
      <c r="E39" s="150">
        <f>+E20/E38</f>
        <v>-73035160.698038146</v>
      </c>
      <c r="F39" s="150">
        <f>+F20/F38</f>
        <v>5317738.1836384246</v>
      </c>
      <c r="G39" s="129"/>
      <c r="AH39" s="125" t="s">
        <v>60</v>
      </c>
      <c r="AI39" s="125" t="s">
        <v>119</v>
      </c>
    </row>
    <row r="40" spans="1:35" s="120" customFormat="1" ht="15.75" customHeight="1">
      <c r="A40" s="125" t="s">
        <v>120</v>
      </c>
      <c r="B40" s="130" t="s">
        <v>121</v>
      </c>
      <c r="C40" s="135"/>
      <c r="D40" s="135"/>
      <c r="E40" s="135"/>
      <c r="F40" s="135"/>
      <c r="G40" s="129"/>
      <c r="AH40" s="125" t="s">
        <v>120</v>
      </c>
      <c r="AI40" s="130" t="s">
        <v>121</v>
      </c>
    </row>
    <row r="41" spans="1:35" s="120" customFormat="1" ht="15.75" customHeight="1">
      <c r="A41" s="125" t="s">
        <v>58</v>
      </c>
      <c r="B41" s="125" t="s">
        <v>122</v>
      </c>
      <c r="C41" s="135">
        <f>+C14/C3</f>
        <v>37.555</v>
      </c>
      <c r="D41" s="135">
        <f>+D14/D3</f>
        <v>5.6349999999999998</v>
      </c>
      <c r="E41" s="135">
        <f>+E14/E3</f>
        <v>5.1362500000000004</v>
      </c>
      <c r="F41" s="135">
        <f>+F14/F3</f>
        <v>5.3280769230769227</v>
      </c>
      <c r="G41" s="129"/>
      <c r="AH41" s="125" t="s">
        <v>58</v>
      </c>
      <c r="AI41" s="125" t="s">
        <v>122</v>
      </c>
    </row>
    <row r="42" spans="1:35" s="120" customFormat="1" ht="15.75" customHeight="1">
      <c r="A42" s="125" t="s">
        <v>60</v>
      </c>
      <c r="B42" s="125" t="s">
        <v>123</v>
      </c>
      <c r="C42" s="135">
        <f>+C16/C3</f>
        <v>0.73499999999999999</v>
      </c>
      <c r="D42" s="135">
        <f>+D16/D3</f>
        <v>0.73499999999999999</v>
      </c>
      <c r="E42" s="135">
        <f>+E16/E3</f>
        <v>0.73499999999999999</v>
      </c>
      <c r="F42" s="135">
        <f>+F16/F3</f>
        <v>0.73499999999999999</v>
      </c>
      <c r="G42" s="129"/>
      <c r="AH42" s="125" t="s">
        <v>60</v>
      </c>
      <c r="AI42" s="125" t="s">
        <v>123</v>
      </c>
    </row>
    <row r="43" spans="1:35" s="120" customFormat="1" ht="15.75" customHeight="1">
      <c r="A43" s="125" t="s">
        <v>108</v>
      </c>
      <c r="B43" s="125" t="s">
        <v>124</v>
      </c>
      <c r="C43" s="135">
        <f>+C17/C3</f>
        <v>3.5700000000000003</v>
      </c>
      <c r="D43" s="135">
        <f>+D17/D3</f>
        <v>3.57</v>
      </c>
      <c r="E43" s="135">
        <f>+E17/E3</f>
        <v>3.57</v>
      </c>
      <c r="F43" s="135">
        <f>+F17/F3</f>
        <v>3.57</v>
      </c>
      <c r="G43" s="129"/>
      <c r="AH43" s="125" t="s">
        <v>108</v>
      </c>
      <c r="AI43" s="125" t="s">
        <v>124</v>
      </c>
    </row>
    <row r="44" spans="1:35" s="120" customFormat="1" ht="15.75" customHeight="1">
      <c r="A44" s="125" t="s">
        <v>63</v>
      </c>
      <c r="B44" s="125" t="s">
        <v>125</v>
      </c>
      <c r="C44" s="135">
        <f>C18/C3</f>
        <v>0</v>
      </c>
      <c r="D44" s="135">
        <f>D18/D3</f>
        <v>0</v>
      </c>
      <c r="E44" s="135">
        <f>E18/E3</f>
        <v>0</v>
      </c>
      <c r="F44" s="135">
        <f>F18/F3</f>
        <v>0</v>
      </c>
      <c r="G44" s="129"/>
      <c r="AH44" s="125" t="s">
        <v>63</v>
      </c>
      <c r="AI44" s="125" t="s">
        <v>126</v>
      </c>
    </row>
    <row r="45" spans="1:35" s="120" customFormat="1" ht="15.75" customHeight="1">
      <c r="A45" s="125" t="s">
        <v>65</v>
      </c>
      <c r="B45" s="125" t="s">
        <v>127</v>
      </c>
      <c r="C45" s="135">
        <f>C19/C3</f>
        <v>3.15</v>
      </c>
      <c r="D45" s="135">
        <f>D19/D3</f>
        <v>3.15</v>
      </c>
      <c r="E45" s="135">
        <f>E19/E3</f>
        <v>3.15</v>
      </c>
      <c r="F45" s="135">
        <f>F19/F3</f>
        <v>3.15</v>
      </c>
      <c r="G45" s="129"/>
      <c r="AH45" s="125" t="s">
        <v>65</v>
      </c>
      <c r="AI45" s="125" t="s">
        <v>127</v>
      </c>
    </row>
    <row r="46" spans="1:35" s="120" customFormat="1" ht="15.75" customHeight="1">
      <c r="A46" s="125" t="s">
        <v>128</v>
      </c>
      <c r="B46" s="130" t="s">
        <v>129</v>
      </c>
      <c r="C46" s="135"/>
      <c r="D46" s="135"/>
      <c r="E46" s="135"/>
      <c r="F46" s="135"/>
      <c r="G46" s="129"/>
      <c r="AH46" s="125" t="s">
        <v>128</v>
      </c>
      <c r="AI46" s="130" t="s">
        <v>129</v>
      </c>
    </row>
    <row r="47" spans="1:35" s="120" customFormat="1" ht="15.75" customHeight="1">
      <c r="A47" s="125" t="s">
        <v>58</v>
      </c>
      <c r="B47" s="125" t="s">
        <v>130</v>
      </c>
      <c r="C47" s="138">
        <f>+(C10+C16)/C6</f>
        <v>0.14494627594627618</v>
      </c>
      <c r="D47" s="138">
        <f>+(D10+D16)/D6</f>
        <v>0.15098570411070436</v>
      </c>
      <c r="E47" s="138">
        <f>+(E10+E16)/E6</f>
        <v>0.15727677511531704</v>
      </c>
      <c r="F47" s="138">
        <f>+(F10+F16)/F6</f>
        <v>0.15479606888321423</v>
      </c>
      <c r="G47" s="129"/>
      <c r="AH47" s="125" t="s">
        <v>58</v>
      </c>
      <c r="AI47" s="125" t="s">
        <v>130</v>
      </c>
    </row>
    <row r="48" spans="1:35" s="120" customFormat="1" ht="15.75" customHeight="1">
      <c r="A48" s="125" t="s">
        <v>60</v>
      </c>
      <c r="B48" s="125" t="s">
        <v>131</v>
      </c>
      <c r="C48" s="138">
        <f>+(C8+C9+C14)/C6</f>
        <v>0.42246666666666666</v>
      </c>
      <c r="D48" s="138">
        <f>+(D8+D9+D14)/D6</f>
        <v>0.12340277777777778</v>
      </c>
      <c r="E48" s="138">
        <f>+(E8+E9+E14)/E6</f>
        <v>0.12339048032407407</v>
      </c>
      <c r="F48" s="138">
        <f>+(F8+F9+F14)/F6</f>
        <v>0.12339532947774273</v>
      </c>
      <c r="G48" s="129"/>
      <c r="AH48" s="125" t="s">
        <v>60</v>
      </c>
      <c r="AI48" s="125" t="s">
        <v>131</v>
      </c>
    </row>
    <row r="49" spans="1:35" s="120" customFormat="1" ht="15.75" customHeight="1">
      <c r="A49" s="125" t="s">
        <v>108</v>
      </c>
      <c r="B49" s="125" t="s">
        <v>132</v>
      </c>
      <c r="C49" s="138">
        <f>+C17/C6</f>
        <v>3.4000000000000002E-2</v>
      </c>
      <c r="D49" s="138">
        <f>+D17/D6</f>
        <v>3.5416666666666666E-2</v>
      </c>
      <c r="E49" s="138">
        <f>+E17/E6</f>
        <v>3.6892361111111112E-2</v>
      </c>
      <c r="F49" s="138">
        <f>+F17/F6</f>
        <v>3.6310462670872769E-2</v>
      </c>
      <c r="G49" s="129"/>
      <c r="AH49" s="125" t="s">
        <v>108</v>
      </c>
      <c r="AI49" s="125" t="s">
        <v>132</v>
      </c>
    </row>
    <row r="50" spans="1:35" s="120" customFormat="1" ht="15.75" customHeight="1">
      <c r="A50" s="125" t="s">
        <v>63</v>
      </c>
      <c r="B50" s="125" t="s">
        <v>133</v>
      </c>
      <c r="C50" s="138">
        <f>+C18/C6</f>
        <v>0</v>
      </c>
      <c r="D50" s="138">
        <f>+D18/D6</f>
        <v>0</v>
      </c>
      <c r="E50" s="138">
        <f>+E18/E6</f>
        <v>0</v>
      </c>
      <c r="F50" s="138">
        <f>+F18/F6</f>
        <v>0</v>
      </c>
      <c r="G50" s="129"/>
      <c r="AH50" s="125" t="s">
        <v>63</v>
      </c>
      <c r="AI50" s="125" t="s">
        <v>133</v>
      </c>
    </row>
    <row r="51" spans="1:35" s="120" customFormat="1" ht="15.75" customHeight="1">
      <c r="A51" s="125" t="s">
        <v>65</v>
      </c>
      <c r="B51" s="125" t="s">
        <v>134</v>
      </c>
      <c r="C51" s="138">
        <f>+C19/C6</f>
        <v>0.03</v>
      </c>
      <c r="D51" s="138">
        <f>+D19/D6</f>
        <v>3.125E-2</v>
      </c>
      <c r="E51" s="138">
        <f>+E19/E6</f>
        <v>3.2552083333333336E-2</v>
      </c>
      <c r="F51" s="138">
        <f>+F19/F6</f>
        <v>3.203864353312303E-2</v>
      </c>
      <c r="G51" s="129"/>
      <c r="AH51" s="125" t="s">
        <v>65</v>
      </c>
      <c r="AI51" s="125" t="s">
        <v>134</v>
      </c>
    </row>
    <row r="52" spans="1:35" s="120" customFormat="1" ht="15.75" customHeight="1">
      <c r="A52" s="125" t="s">
        <v>69</v>
      </c>
      <c r="B52" s="125" t="s">
        <v>135</v>
      </c>
      <c r="C52" s="138">
        <f>+C23/C6</f>
        <v>-0.39569865689865713</v>
      </c>
      <c r="D52" s="138">
        <f>+D23/D6</f>
        <v>-0.1133021723646726</v>
      </c>
      <c r="E52" s="138">
        <f>+E23/E6</f>
        <v>-0.13040296352470857</v>
      </c>
      <c r="F52" s="138">
        <f>+F23/F6</f>
        <v>-0.12365974934488366</v>
      </c>
      <c r="G52" s="129"/>
      <c r="AH52" s="125" t="s">
        <v>69</v>
      </c>
      <c r="AI52" s="125" t="s">
        <v>136</v>
      </c>
    </row>
    <row r="53" spans="1:35" s="120" customFormat="1" ht="15.75" customHeight="1">
      <c r="A53" s="125" t="s">
        <v>137</v>
      </c>
      <c r="B53" s="130" t="s">
        <v>138</v>
      </c>
      <c r="C53" s="135">
        <f>+C21/C3</f>
        <v>-41.548358974358997</v>
      </c>
      <c r="D53" s="135">
        <f>+D21/D3</f>
        <v>-11.420858974358998</v>
      </c>
      <c r="E53" s="135">
        <f>+E21/E3</f>
        <v>-12.618833974358997</v>
      </c>
      <c r="F53" s="135">
        <f>+F21/F3</f>
        <v>-12.158074358974384</v>
      </c>
      <c r="G53" s="129"/>
      <c r="AH53" s="125" t="s">
        <v>137</v>
      </c>
      <c r="AI53" s="130" t="s">
        <v>138</v>
      </c>
    </row>
    <row r="54" spans="1:35" s="120" customFormat="1" ht="15.75" customHeight="1">
      <c r="A54" s="125" t="s">
        <v>139</v>
      </c>
      <c r="B54" s="167" t="s">
        <v>140</v>
      </c>
      <c r="C54" s="135"/>
      <c r="D54" s="135"/>
      <c r="E54" s="135"/>
      <c r="F54" s="135"/>
      <c r="G54" s="129"/>
      <c r="AH54" s="125"/>
      <c r="AI54" s="130"/>
    </row>
    <row r="55" spans="1:35" s="120" customFormat="1" ht="15.75" customHeight="1">
      <c r="A55" s="125" t="s">
        <v>58</v>
      </c>
      <c r="B55" s="125" t="s">
        <v>141</v>
      </c>
      <c r="C55" s="135"/>
      <c r="D55" s="135"/>
      <c r="E55" s="135"/>
      <c r="F55" s="135"/>
      <c r="G55" s="129"/>
    </row>
    <row r="56" spans="1:35" s="120" customFormat="1" ht="15.75" customHeight="1">
      <c r="A56" s="125">
        <v>1.1000000000000001</v>
      </c>
      <c r="B56" s="168" t="s">
        <v>142</v>
      </c>
      <c r="C56" s="135"/>
      <c r="D56" s="135"/>
      <c r="E56" s="135"/>
      <c r="F56" s="135"/>
      <c r="G56" s="129"/>
    </row>
    <row r="57" spans="1:35" s="120" customFormat="1" ht="15.75" customHeight="1">
      <c r="A57" s="125">
        <v>1.2</v>
      </c>
      <c r="B57" s="125" t="s">
        <v>143</v>
      </c>
      <c r="C57" s="135"/>
      <c r="D57" s="135"/>
      <c r="E57" s="135"/>
      <c r="F57" s="135"/>
      <c r="G57" s="129"/>
    </row>
    <row r="58" spans="1:35" ht="15.75" customHeight="1">
      <c r="A58" s="155" t="s">
        <v>60</v>
      </c>
      <c r="B58" s="155" t="s">
        <v>144</v>
      </c>
      <c r="C58" s="169">
        <f>C59+C60</f>
        <v>-166193.43589743599</v>
      </c>
      <c r="D58" s="169">
        <f>D59+D60</f>
        <v>-1142085.8974358998</v>
      </c>
      <c r="E58" s="169">
        <f>E59+E60</f>
        <v>-2019013.4358974397</v>
      </c>
      <c r="F58" s="169">
        <f>F59+F60</f>
        <v>-3161099.3333333395</v>
      </c>
      <c r="G58" s="129"/>
    </row>
    <row r="59" spans="1:35" ht="15.75" customHeight="1">
      <c r="A59" s="155" t="s">
        <v>108</v>
      </c>
      <c r="B59" s="155" t="s">
        <v>145</v>
      </c>
      <c r="C59" s="169">
        <f>C23</f>
        <v>-166193.43589743599</v>
      </c>
      <c r="D59" s="169">
        <f>D23</f>
        <v>-1142085.8974358998</v>
      </c>
      <c r="E59" s="169">
        <f>E23</f>
        <v>-2019013.4358974397</v>
      </c>
      <c r="F59" s="169">
        <f>F23</f>
        <v>-3161099.3333333395</v>
      </c>
      <c r="G59" s="129"/>
    </row>
    <row r="60" spans="1:35" ht="15.75" customHeight="1">
      <c r="A60" s="155" t="s">
        <v>63</v>
      </c>
      <c r="B60" s="155" t="s">
        <v>146</v>
      </c>
      <c r="C60" s="155"/>
      <c r="D60" s="169">
        <f>'[2]2023年'!I18</f>
        <v>0</v>
      </c>
      <c r="E60" s="169"/>
      <c r="F60" s="169">
        <f>[2]项目投资!G26</f>
        <v>0</v>
      </c>
      <c r="G60" s="129"/>
    </row>
    <row r="61" spans="1:35" ht="15.75" customHeight="1">
      <c r="A61" s="155" t="s">
        <v>65</v>
      </c>
      <c r="B61" s="155" t="s">
        <v>147</v>
      </c>
      <c r="C61" s="155"/>
      <c r="D61" s="170"/>
      <c r="E61" s="170"/>
      <c r="F61" s="169"/>
      <c r="G61" s="129"/>
    </row>
    <row r="63" spans="1:35">
      <c r="B63"/>
      <c r="C63"/>
    </row>
  </sheetData>
  <mergeCells count="2">
    <mergeCell ref="A1:F1"/>
    <mergeCell ref="A2:A3"/>
  </mergeCells>
  <phoneticPr fontId="53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G31" sqref="G31"/>
    </sheetView>
  </sheetViews>
  <sheetFormatPr defaultColWidth="9" defaultRowHeight="15"/>
  <cols>
    <col min="1" max="1" width="5.109375" style="120" customWidth="1"/>
    <col min="2" max="2" width="17.44140625" style="120" customWidth="1"/>
    <col min="3" max="4" width="14.33203125" style="121" customWidth="1"/>
    <col min="5" max="5" width="18.77734375" style="121" customWidth="1"/>
    <col min="6" max="6" width="12.33203125" style="120" customWidth="1"/>
    <col min="7" max="7" width="10.109375" style="120" customWidth="1"/>
    <col min="8" max="14" width="9" style="120" customWidth="1"/>
    <col min="15" max="15" width="9" style="120"/>
    <col min="16" max="16" width="9" style="120" hidden="1" customWidth="1"/>
    <col min="17" max="31" width="9" style="120"/>
    <col min="32" max="32" width="4.33203125" style="120" customWidth="1"/>
    <col min="33" max="33" width="13.88671875" style="120" customWidth="1"/>
    <col min="34" max="16384" width="9" style="120"/>
  </cols>
  <sheetData>
    <row r="1" spans="1:34">
      <c r="A1" s="224" t="s">
        <v>148</v>
      </c>
      <c r="B1" s="224"/>
      <c r="C1" s="225" t="s">
        <v>149</v>
      </c>
      <c r="D1" s="226"/>
      <c r="E1" s="227"/>
    </row>
    <row r="2" spans="1:34">
      <c r="A2" s="224" t="s">
        <v>150</v>
      </c>
      <c r="B2" s="224"/>
      <c r="C2" s="228" t="s">
        <v>151</v>
      </c>
      <c r="D2" s="228"/>
      <c r="E2" s="228"/>
    </row>
    <row r="3" spans="1:34">
      <c r="A3" s="224" t="s">
        <v>152</v>
      </c>
      <c r="B3" s="224"/>
      <c r="C3" s="123" t="s">
        <v>153</v>
      </c>
      <c r="D3" s="123" t="s">
        <v>153</v>
      </c>
      <c r="E3" s="229" t="s">
        <v>54</v>
      </c>
    </row>
    <row r="4" spans="1:34" ht="28.8">
      <c r="A4" s="224" t="s">
        <v>154</v>
      </c>
      <c r="B4" s="224"/>
      <c r="C4" s="124" t="s">
        <v>155</v>
      </c>
      <c r="D4" s="124" t="s">
        <v>156</v>
      </c>
      <c r="E4" s="230"/>
    </row>
    <row r="5" spans="1:34" ht="15.6">
      <c r="A5" s="224" t="s">
        <v>157</v>
      </c>
      <c r="B5" s="224"/>
      <c r="C5" s="69" t="s">
        <v>158</v>
      </c>
      <c r="D5" s="69" t="s">
        <v>158</v>
      </c>
      <c r="E5" s="231"/>
      <c r="AH5" s="120" t="s">
        <v>55</v>
      </c>
    </row>
    <row r="6" spans="1:34" ht="17.399999999999999">
      <c r="A6" s="125" t="s">
        <v>19</v>
      </c>
      <c r="B6" s="126" t="s">
        <v>159</v>
      </c>
      <c r="C6" s="127">
        <f>销量!C9</f>
        <v>2000</v>
      </c>
      <c r="D6" s="127">
        <f>销量!D9</f>
        <v>2000</v>
      </c>
      <c r="E6" s="128">
        <f t="shared" ref="E6:E15" si="0">+SUM(C6:D6)</f>
        <v>4000</v>
      </c>
      <c r="P6" s="126" t="s">
        <v>3</v>
      </c>
      <c r="AF6" s="125" t="s">
        <v>19</v>
      </c>
      <c r="AG6" s="126" t="s">
        <v>3</v>
      </c>
      <c r="AH6" s="120" t="s">
        <v>56</v>
      </c>
    </row>
    <row r="7" spans="1:34" ht="15.6">
      <c r="A7" s="122">
        <v>1</v>
      </c>
      <c r="B7" s="126" t="s">
        <v>57</v>
      </c>
      <c r="C7" s="128">
        <f>C6*销量!C8</f>
        <v>210000</v>
      </c>
      <c r="D7" s="128">
        <f>D6*销量!D8</f>
        <v>210000</v>
      </c>
      <c r="E7" s="128">
        <f t="shared" si="0"/>
        <v>420000</v>
      </c>
      <c r="F7" s="121"/>
      <c r="P7" s="126" t="s">
        <v>57</v>
      </c>
      <c r="AF7" s="125" t="s">
        <v>58</v>
      </c>
      <c r="AG7" s="126" t="s">
        <v>57</v>
      </c>
      <c r="AH7" s="120" t="s">
        <v>56</v>
      </c>
    </row>
    <row r="8" spans="1:34">
      <c r="A8" s="122">
        <v>2</v>
      </c>
      <c r="B8" s="122" t="s">
        <v>59</v>
      </c>
      <c r="C8" s="128"/>
      <c r="D8" s="128"/>
      <c r="E8" s="128">
        <f t="shared" si="0"/>
        <v>0</v>
      </c>
      <c r="F8" s="129"/>
      <c r="P8" s="122" t="s">
        <v>61</v>
      </c>
      <c r="AF8" s="125" t="s">
        <v>60</v>
      </c>
      <c r="AG8" s="122" t="s">
        <v>61</v>
      </c>
      <c r="AH8" s="120" t="s">
        <v>56</v>
      </c>
    </row>
    <row r="9" spans="1:34" ht="15.6">
      <c r="A9" s="122">
        <v>3</v>
      </c>
      <c r="B9" s="126" t="s">
        <v>62</v>
      </c>
      <c r="C9" s="128">
        <f>+C7-C8</f>
        <v>210000</v>
      </c>
      <c r="D9" s="128">
        <f>+D7-D8</f>
        <v>210000</v>
      </c>
      <c r="E9" s="128">
        <f t="shared" si="0"/>
        <v>420000</v>
      </c>
      <c r="P9" s="126" t="s">
        <v>62</v>
      </c>
      <c r="AF9" s="125" t="s">
        <v>63</v>
      </c>
      <c r="AG9" s="126" t="s">
        <v>62</v>
      </c>
      <c r="AH9" s="120" t="s">
        <v>64</v>
      </c>
    </row>
    <row r="10" spans="1:34">
      <c r="A10" s="122">
        <v>4</v>
      </c>
      <c r="B10" s="125" t="s">
        <v>66</v>
      </c>
      <c r="C10" s="128">
        <f>C6*C33</f>
        <v>159720</v>
      </c>
      <c r="D10" s="128">
        <f>D6*D33</f>
        <v>161280</v>
      </c>
      <c r="E10" s="128">
        <f t="shared" si="0"/>
        <v>321000</v>
      </c>
      <c r="P10" s="125" t="s">
        <v>66</v>
      </c>
      <c r="AF10" s="125" t="s">
        <v>65</v>
      </c>
      <c r="AG10" s="125" t="s">
        <v>66</v>
      </c>
      <c r="AH10" s="120" t="s">
        <v>67</v>
      </c>
    </row>
    <row r="11" spans="1:34">
      <c r="A11" s="122">
        <v>5</v>
      </c>
      <c r="B11" s="125" t="s">
        <v>68</v>
      </c>
      <c r="C11" s="128">
        <f>+C6*C36</f>
        <v>9051</v>
      </c>
      <c r="D11" s="128">
        <f>+D6*D36</f>
        <v>9051</v>
      </c>
      <c r="E11" s="128">
        <f t="shared" si="0"/>
        <v>18102</v>
      </c>
      <c r="P11" s="125" t="s">
        <v>68</v>
      </c>
      <c r="AF11" s="125" t="s">
        <v>69</v>
      </c>
      <c r="AG11" s="125" t="s">
        <v>68</v>
      </c>
    </row>
    <row r="12" spans="1:34">
      <c r="A12" s="122">
        <v>6</v>
      </c>
      <c r="B12" s="125" t="s">
        <v>70</v>
      </c>
      <c r="C12" s="128">
        <f>+C6*C37</f>
        <v>4557</v>
      </c>
      <c r="D12" s="128">
        <f>+D6*D37</f>
        <v>4557</v>
      </c>
      <c r="E12" s="128">
        <f t="shared" si="0"/>
        <v>9114</v>
      </c>
      <c r="P12" s="125" t="s">
        <v>70</v>
      </c>
      <c r="AF12" s="125" t="s">
        <v>71</v>
      </c>
      <c r="AG12" s="125" t="s">
        <v>70</v>
      </c>
    </row>
    <row r="13" spans="1:34">
      <c r="A13" s="122">
        <v>7</v>
      </c>
      <c r="B13" s="125" t="s">
        <v>72</v>
      </c>
      <c r="C13" s="128">
        <f>+C6*C38</f>
        <v>28968.717948717996</v>
      </c>
      <c r="D13" s="128">
        <f>+D6*D38</f>
        <v>28968.717948717996</v>
      </c>
      <c r="E13" s="128">
        <f t="shared" si="0"/>
        <v>57937.435897435993</v>
      </c>
      <c r="P13" s="125" t="s">
        <v>72</v>
      </c>
      <c r="AF13" s="125" t="s">
        <v>73</v>
      </c>
      <c r="AG13" s="125" t="s">
        <v>72</v>
      </c>
      <c r="AH13" s="120" t="s">
        <v>56</v>
      </c>
    </row>
    <row r="14" spans="1:34" ht="15.6">
      <c r="A14" s="122">
        <v>8</v>
      </c>
      <c r="B14" s="130" t="s">
        <v>74</v>
      </c>
      <c r="C14" s="128">
        <f>SUM(C11:C13)</f>
        <v>42576.717948717996</v>
      </c>
      <c r="D14" s="128">
        <f>SUM(D11:D13)</f>
        <v>42576.717948717996</v>
      </c>
      <c r="E14" s="128">
        <f t="shared" si="0"/>
        <v>85153.435897435993</v>
      </c>
      <c r="P14" s="130" t="s">
        <v>74</v>
      </c>
      <c r="AF14" s="125" t="s">
        <v>75</v>
      </c>
      <c r="AG14" s="130" t="s">
        <v>74</v>
      </c>
    </row>
    <row r="15" spans="1:34" ht="15.6">
      <c r="A15" s="122">
        <v>9</v>
      </c>
      <c r="B15" s="130" t="s">
        <v>76</v>
      </c>
      <c r="C15" s="128">
        <f>+C9-C10-C14</f>
        <v>7703.2820512820035</v>
      </c>
      <c r="D15" s="128">
        <f>+D9-D10-D14</f>
        <v>6143.2820512820035</v>
      </c>
      <c r="E15" s="128">
        <f t="shared" si="0"/>
        <v>13846.564102564007</v>
      </c>
      <c r="P15" s="130" t="s">
        <v>76</v>
      </c>
      <c r="AF15" s="125" t="s">
        <v>77</v>
      </c>
      <c r="AG15" s="130" t="s">
        <v>76</v>
      </c>
    </row>
    <row r="16" spans="1:34">
      <c r="A16" s="122">
        <v>10</v>
      </c>
      <c r="B16" s="125" t="s">
        <v>78</v>
      </c>
      <c r="C16" s="131">
        <f>+C15/C9</f>
        <v>3.6682295482295256E-2</v>
      </c>
      <c r="D16" s="131">
        <f>+D15/D9</f>
        <v>2.9253724053723826E-2</v>
      </c>
      <c r="E16" s="131">
        <f>+E15/E9</f>
        <v>3.2968009768009537E-2</v>
      </c>
      <c r="P16" s="125" t="s">
        <v>78</v>
      </c>
      <c r="AF16" s="125" t="s">
        <v>79</v>
      </c>
      <c r="AG16" s="125" t="s">
        <v>78</v>
      </c>
    </row>
    <row r="17" spans="1:34">
      <c r="A17" s="122">
        <v>11</v>
      </c>
      <c r="B17" s="125" t="s">
        <v>80</v>
      </c>
      <c r="C17" s="128">
        <f>C6*C43+C18</f>
        <v>75110</v>
      </c>
      <c r="D17" s="128">
        <f>D6*D43+D18</f>
        <v>75110</v>
      </c>
      <c r="E17" s="128">
        <f>+SUM(C17:D17)</f>
        <v>150220</v>
      </c>
      <c r="F17" s="129"/>
      <c r="P17" s="125" t="s">
        <v>80</v>
      </c>
      <c r="AF17" s="125" t="s">
        <v>81</v>
      </c>
      <c r="AG17" s="125" t="s">
        <v>80</v>
      </c>
    </row>
    <row r="18" spans="1:34" s="118" customFormat="1">
      <c r="A18" s="122">
        <v>12</v>
      </c>
      <c r="B18" s="132" t="s">
        <v>82</v>
      </c>
      <c r="C18" s="133">
        <f>$E$18/$E$6*C6</f>
        <v>66500</v>
      </c>
      <c r="D18" s="133">
        <f>$E$18/$E$6*D6</f>
        <v>66500</v>
      </c>
      <c r="E18" s="128">
        <f>项目投资!D26</f>
        <v>133000</v>
      </c>
      <c r="F18" s="134" t="s">
        <v>83</v>
      </c>
      <c r="G18" s="134"/>
      <c r="H18" s="134"/>
    </row>
    <row r="19" spans="1:34">
      <c r="A19" s="122">
        <v>13</v>
      </c>
      <c r="B19" s="125" t="s">
        <v>84</v>
      </c>
      <c r="C19" s="128">
        <f>C6*C44</f>
        <v>1470</v>
      </c>
      <c r="D19" s="128">
        <f>D6*D44</f>
        <v>1470</v>
      </c>
      <c r="E19" s="128">
        <f>+SUM(C19:D19)</f>
        <v>2940</v>
      </c>
      <c r="F19" s="118"/>
      <c r="P19" s="125" t="s">
        <v>84</v>
      </c>
      <c r="AF19" s="125" t="s">
        <v>85</v>
      </c>
      <c r="AG19" s="125" t="s">
        <v>84</v>
      </c>
      <c r="AH19" s="120" t="s">
        <v>56</v>
      </c>
    </row>
    <row r="20" spans="1:34">
      <c r="A20" s="122">
        <v>14</v>
      </c>
      <c r="B20" s="125" t="s">
        <v>86</v>
      </c>
      <c r="C20" s="128">
        <f>C6*C45</f>
        <v>7140.0000000000009</v>
      </c>
      <c r="D20" s="128">
        <f>D6*D45</f>
        <v>7140.0000000000009</v>
      </c>
      <c r="E20" s="128">
        <f>+SUM(C20:D20)</f>
        <v>14280.000000000002</v>
      </c>
      <c r="P20" s="125" t="s">
        <v>86</v>
      </c>
      <c r="AF20" s="125" t="s">
        <v>87</v>
      </c>
      <c r="AG20" s="125" t="s">
        <v>86</v>
      </c>
    </row>
    <row r="21" spans="1:34">
      <c r="A21" s="122">
        <v>15</v>
      </c>
      <c r="B21" s="125" t="s">
        <v>88</v>
      </c>
      <c r="C21" s="135">
        <f>$E$21/$E$6*C6</f>
        <v>0</v>
      </c>
      <c r="D21" s="135">
        <f>$E$21/$E$6*D6</f>
        <v>0</v>
      </c>
      <c r="E21" s="128">
        <f>项目投资!D27</f>
        <v>0</v>
      </c>
      <c r="P21" s="125" t="s">
        <v>88</v>
      </c>
      <c r="AF21" s="125"/>
      <c r="AG21" s="125"/>
    </row>
    <row r="22" spans="1:34">
      <c r="A22" s="122">
        <v>16</v>
      </c>
      <c r="B22" s="125" t="s">
        <v>89</v>
      </c>
      <c r="C22" s="128">
        <f>C6*C47</f>
        <v>6300</v>
      </c>
      <c r="D22" s="128">
        <f>D6*D47</f>
        <v>6300</v>
      </c>
      <c r="E22" s="128">
        <f>+SUM(C22:D22)</f>
        <v>12600</v>
      </c>
      <c r="P22" s="125" t="s">
        <v>89</v>
      </c>
      <c r="AF22" s="125" t="s">
        <v>90</v>
      </c>
      <c r="AG22" s="125" t="s">
        <v>89</v>
      </c>
    </row>
    <row r="23" spans="1:34" ht="15.6">
      <c r="A23" s="122">
        <v>17</v>
      </c>
      <c r="B23" s="130" t="s">
        <v>91</v>
      </c>
      <c r="C23" s="135">
        <f>+C22+C21+C20+C19+C17</f>
        <v>90020</v>
      </c>
      <c r="D23" s="135">
        <f>+D22+D21+D20+D19+D17</f>
        <v>90020</v>
      </c>
      <c r="E23" s="128">
        <f>+SUM(C23:D23)</f>
        <v>180040</v>
      </c>
      <c r="P23" s="130" t="s">
        <v>91</v>
      </c>
      <c r="AF23" s="125" t="s">
        <v>92</v>
      </c>
      <c r="AG23" s="130" t="s">
        <v>91</v>
      </c>
    </row>
    <row r="24" spans="1:34">
      <c r="A24" s="122">
        <v>18</v>
      </c>
      <c r="B24" s="136" t="s">
        <v>93</v>
      </c>
      <c r="C24" s="135">
        <f>+C15-C23</f>
        <v>-82316.717948717996</v>
      </c>
      <c r="D24" s="135">
        <f>+D15-D23</f>
        <v>-83876.717948717996</v>
      </c>
      <c r="E24" s="128">
        <f>+SUM(C24:D24)</f>
        <v>-166193.43589743599</v>
      </c>
      <c r="G24" s="137"/>
      <c r="P24" s="125" t="s">
        <v>93</v>
      </c>
      <c r="AF24" s="125" t="s">
        <v>94</v>
      </c>
      <c r="AG24" s="125" t="s">
        <v>93</v>
      </c>
    </row>
    <row r="25" spans="1:34">
      <c r="A25" s="122">
        <v>19</v>
      </c>
      <c r="B25" s="125" t="s">
        <v>160</v>
      </c>
      <c r="C25" s="135">
        <f>IF(C24&lt;0,0,C24*0.25)</f>
        <v>0</v>
      </c>
      <c r="D25" s="135">
        <f>IF(D24&lt;0,0,D24*0.25)</f>
        <v>0</v>
      </c>
      <c r="E25" s="128">
        <f>+SUM(C25:D25)</f>
        <v>0</v>
      </c>
      <c r="F25" s="14"/>
      <c r="G25" s="14"/>
      <c r="H25" s="14"/>
      <c r="P25" s="125" t="s">
        <v>36</v>
      </c>
      <c r="AF25" s="125" t="s">
        <v>95</v>
      </c>
      <c r="AG25" s="125" t="s">
        <v>36</v>
      </c>
    </row>
    <row r="26" spans="1:34">
      <c r="A26" s="122">
        <v>20</v>
      </c>
      <c r="B26" s="125" t="s">
        <v>96</v>
      </c>
      <c r="C26" s="135">
        <f>C24-C25</f>
        <v>-82316.717948717996</v>
      </c>
      <c r="D26" s="135">
        <f>D24-D25</f>
        <v>-83876.717948717996</v>
      </c>
      <c r="E26" s="128">
        <f>+SUM(C26:D26)</f>
        <v>-166193.43589743599</v>
      </c>
      <c r="F26" s="14"/>
      <c r="G26" s="14"/>
      <c r="H26" s="14"/>
      <c r="P26" s="125" t="s">
        <v>96</v>
      </c>
      <c r="AF26" s="125" t="s">
        <v>97</v>
      </c>
      <c r="AG26" s="125" t="s">
        <v>96</v>
      </c>
    </row>
    <row r="27" spans="1:34">
      <c r="A27" s="122">
        <v>21</v>
      </c>
      <c r="B27" s="125" t="s">
        <v>100</v>
      </c>
      <c r="C27" s="138">
        <f>C26/C7</f>
        <v>-0.39198437118437141</v>
      </c>
      <c r="D27" s="138">
        <f>D26/D7</f>
        <v>-0.39941294261294286</v>
      </c>
      <c r="E27" s="138">
        <f>E26/E7</f>
        <v>-0.39569865689865713</v>
      </c>
      <c r="F27" s="14"/>
      <c r="G27" s="14"/>
      <c r="H27" s="14"/>
      <c r="P27" s="125" t="s">
        <v>100</v>
      </c>
      <c r="AF27" s="125" t="s">
        <v>99</v>
      </c>
      <c r="AG27" s="125" t="s">
        <v>100</v>
      </c>
    </row>
    <row r="28" spans="1:34">
      <c r="F28" s="14"/>
      <c r="G28" s="14"/>
      <c r="H28" s="14"/>
      <c r="P28" s="125"/>
    </row>
    <row r="29" spans="1:34">
      <c r="A29" s="120" t="s">
        <v>101</v>
      </c>
      <c r="E29" s="121" t="s">
        <v>161</v>
      </c>
      <c r="F29" s="14"/>
      <c r="G29" s="14"/>
      <c r="H29" s="14"/>
      <c r="P29" s="125"/>
      <c r="AF29" s="120" t="s">
        <v>101</v>
      </c>
    </row>
    <row r="30" spans="1:34" ht="15.6">
      <c r="A30" s="125" t="s">
        <v>103</v>
      </c>
      <c r="B30" s="130" t="s">
        <v>104</v>
      </c>
      <c r="C30" s="135"/>
      <c r="D30" s="135"/>
      <c r="E30" s="135"/>
      <c r="F30" s="14"/>
      <c r="G30" s="14"/>
      <c r="H30" s="14"/>
      <c r="J30" s="14"/>
      <c r="P30" s="130" t="s">
        <v>104</v>
      </c>
      <c r="AF30" s="125" t="s">
        <v>105</v>
      </c>
      <c r="AG30" s="130" t="s">
        <v>104</v>
      </c>
    </row>
    <row r="31" spans="1:34">
      <c r="A31" s="122">
        <v>1</v>
      </c>
      <c r="B31" s="132" t="s">
        <v>106</v>
      </c>
      <c r="C31" s="139">
        <f>(C7-C8)/C6</f>
        <v>105</v>
      </c>
      <c r="D31" s="139">
        <f>(D7-D8)/D6</f>
        <v>105</v>
      </c>
      <c r="E31" s="135"/>
      <c r="F31" s="14"/>
      <c r="G31" s="14"/>
      <c r="H31" s="14"/>
      <c r="J31" s="14"/>
      <c r="P31" s="125" t="s">
        <v>106</v>
      </c>
      <c r="AF31" s="125" t="s">
        <v>58</v>
      </c>
      <c r="AG31" s="125" t="s">
        <v>106</v>
      </c>
    </row>
    <row r="32" spans="1:34">
      <c r="A32" s="122">
        <v>2</v>
      </c>
      <c r="B32" s="125" t="s">
        <v>162</v>
      </c>
      <c r="C32" s="128">
        <f>C31*1</f>
        <v>105</v>
      </c>
      <c r="D32" s="128">
        <f>D31*1</f>
        <v>105</v>
      </c>
      <c r="E32" s="135"/>
      <c r="F32" s="14"/>
      <c r="G32" s="14"/>
      <c r="H32" s="14"/>
      <c r="I32" s="14"/>
      <c r="J32" s="14"/>
      <c r="K32" s="14"/>
      <c r="L32" s="14"/>
      <c r="AF32" s="125"/>
      <c r="AG32" s="125"/>
    </row>
    <row r="33" spans="1:33">
      <c r="A33" s="122">
        <v>3</v>
      </c>
      <c r="B33" s="132" t="s">
        <v>107</v>
      </c>
      <c r="C33" s="128">
        <f>材料成本!D24</f>
        <v>79.86</v>
      </c>
      <c r="D33" s="128">
        <f>材料成本!E24</f>
        <v>80.64</v>
      </c>
      <c r="E33" s="135"/>
      <c r="G33" s="14"/>
      <c r="H33" s="14"/>
      <c r="I33" s="14"/>
      <c r="J33" s="14"/>
      <c r="K33" s="14"/>
      <c r="L33" s="14"/>
      <c r="P33" s="125" t="s">
        <v>107</v>
      </c>
      <c r="AF33" s="125" t="s">
        <v>60</v>
      </c>
      <c r="AG33" s="125" t="s">
        <v>107</v>
      </c>
    </row>
    <row r="34" spans="1:33" ht="17.25" customHeight="1">
      <c r="A34" s="122">
        <v>4</v>
      </c>
      <c r="B34" s="125" t="s">
        <v>109</v>
      </c>
      <c r="C34" s="140">
        <f>C32-C33</f>
        <v>25.14</v>
      </c>
      <c r="D34" s="140">
        <f>D32-D33</f>
        <v>24.36</v>
      </c>
      <c r="E34" s="135"/>
      <c r="G34" s="14"/>
      <c r="H34" s="14"/>
      <c r="I34" s="14"/>
      <c r="J34" s="14"/>
      <c r="K34" s="14"/>
      <c r="L34" s="14"/>
      <c r="P34" s="125" t="s">
        <v>109</v>
      </c>
      <c r="AF34" s="125" t="s">
        <v>108</v>
      </c>
      <c r="AG34" s="125" t="s">
        <v>109</v>
      </c>
    </row>
    <row r="35" spans="1:33" ht="15.6">
      <c r="A35" s="125" t="s">
        <v>105</v>
      </c>
      <c r="B35" s="130" t="s">
        <v>9</v>
      </c>
      <c r="C35" s="135"/>
      <c r="D35" s="135"/>
      <c r="E35" s="135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30" t="s">
        <v>9</v>
      </c>
      <c r="AF35" s="125" t="s">
        <v>111</v>
      </c>
      <c r="AG35" s="130" t="s">
        <v>9</v>
      </c>
    </row>
    <row r="36" spans="1:33">
      <c r="A36" s="122">
        <v>1</v>
      </c>
      <c r="B36" s="125" t="s">
        <v>112</v>
      </c>
      <c r="C36" s="133">
        <f>标准成本!E4</f>
        <v>4.5255000000000001</v>
      </c>
      <c r="D36" s="133">
        <f>标准成本!E16</f>
        <v>4.5255000000000001</v>
      </c>
      <c r="E36" s="139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25" t="s">
        <v>112</v>
      </c>
      <c r="AF36" s="125" t="s">
        <v>108</v>
      </c>
      <c r="AG36" s="125" t="s">
        <v>112</v>
      </c>
    </row>
    <row r="37" spans="1:33">
      <c r="A37" s="122">
        <v>2</v>
      </c>
      <c r="B37" s="125" t="s">
        <v>113</v>
      </c>
      <c r="C37" s="133">
        <f>标准成本!E6</f>
        <v>2.2785000000000002</v>
      </c>
      <c r="D37" s="133">
        <f>标准成本!E18</f>
        <v>2.2785000000000002</v>
      </c>
      <c r="E37" s="139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25" t="s">
        <v>113</v>
      </c>
      <c r="AF37" s="125" t="s">
        <v>63</v>
      </c>
      <c r="AG37" s="125" t="s">
        <v>113</v>
      </c>
    </row>
    <row r="38" spans="1:33">
      <c r="A38" s="122">
        <v>3</v>
      </c>
      <c r="B38" s="125" t="s">
        <v>114</v>
      </c>
      <c r="C38" s="133">
        <f>标准成本!E10</f>
        <v>14.484358974358999</v>
      </c>
      <c r="D38" s="133">
        <f>标准成本!E22</f>
        <v>14.484358974358999</v>
      </c>
      <c r="E38" s="139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25" t="s">
        <v>114</v>
      </c>
      <c r="AF38" s="125" t="s">
        <v>69</v>
      </c>
      <c r="AG38" s="125" t="s">
        <v>114</v>
      </c>
    </row>
    <row r="39" spans="1:33" ht="15.6">
      <c r="A39" s="125" t="s">
        <v>111</v>
      </c>
      <c r="B39" s="130" t="s">
        <v>116</v>
      </c>
      <c r="C39" s="135"/>
      <c r="D39" s="135"/>
      <c r="E39" s="135"/>
      <c r="P39" s="130" t="s">
        <v>116</v>
      </c>
      <c r="AF39" s="125" t="s">
        <v>115</v>
      </c>
      <c r="AG39" s="130" t="s">
        <v>116</v>
      </c>
    </row>
    <row r="40" spans="1:33">
      <c r="A40" s="122">
        <v>1</v>
      </c>
      <c r="B40" s="125" t="s">
        <v>118</v>
      </c>
      <c r="C40" s="135">
        <f>C34-C36-C37-C38</f>
        <v>3.8516410256409994</v>
      </c>
      <c r="D40" s="135">
        <f>D34-D36-D37-D38</f>
        <v>3.0716410256409983</v>
      </c>
      <c r="E40" s="135"/>
      <c r="P40" s="125" t="s">
        <v>118</v>
      </c>
      <c r="AF40" s="125" t="s">
        <v>58</v>
      </c>
      <c r="AG40" s="125" t="s">
        <v>118</v>
      </c>
    </row>
    <row r="41" spans="1:33">
      <c r="A41" s="122">
        <v>2</v>
      </c>
      <c r="B41" s="125" t="s">
        <v>119</v>
      </c>
      <c r="C41" s="135"/>
      <c r="D41" s="135"/>
      <c r="E41" s="135"/>
      <c r="P41" s="125" t="s">
        <v>119</v>
      </c>
      <c r="AF41" s="125" t="s">
        <v>60</v>
      </c>
      <c r="AG41" s="125" t="s">
        <v>119</v>
      </c>
    </row>
    <row r="42" spans="1:33" ht="15.6">
      <c r="A42" s="125" t="s">
        <v>115</v>
      </c>
      <c r="B42" s="130" t="s">
        <v>121</v>
      </c>
      <c r="C42" s="135"/>
      <c r="D42" s="135"/>
      <c r="E42" s="135"/>
      <c r="P42" s="130" t="s">
        <v>121</v>
      </c>
      <c r="AF42" s="125" t="s">
        <v>120</v>
      </c>
      <c r="AG42" s="130" t="s">
        <v>121</v>
      </c>
    </row>
    <row r="43" spans="1:33">
      <c r="A43" s="122">
        <v>1</v>
      </c>
      <c r="B43" s="136" t="s">
        <v>122</v>
      </c>
      <c r="C43" s="133">
        <f>标准成本!E5</f>
        <v>4.3050000000000006</v>
      </c>
      <c r="D43" s="133">
        <f>标准成本!E17</f>
        <v>4.3050000000000006</v>
      </c>
      <c r="E43" s="135"/>
      <c r="P43" s="125" t="s">
        <v>122</v>
      </c>
      <c r="AF43" s="125" t="s">
        <v>58</v>
      </c>
      <c r="AG43" s="125" t="s">
        <v>122</v>
      </c>
    </row>
    <row r="44" spans="1:33">
      <c r="A44" s="122">
        <v>2</v>
      </c>
      <c r="B44" s="136" t="s">
        <v>123</v>
      </c>
      <c r="C44" s="133">
        <f>标准成本!E9</f>
        <v>0.73499999999999999</v>
      </c>
      <c r="D44" s="133">
        <f>标准成本!E21</f>
        <v>0.73499999999999999</v>
      </c>
      <c r="E44" s="135"/>
      <c r="P44" s="125" t="s">
        <v>123</v>
      </c>
      <c r="AF44" s="125" t="s">
        <v>60</v>
      </c>
      <c r="AG44" s="125" t="s">
        <v>123</v>
      </c>
    </row>
    <row r="45" spans="1:33">
      <c r="A45" s="122">
        <v>3</v>
      </c>
      <c r="B45" s="136" t="s">
        <v>124</v>
      </c>
      <c r="C45" s="133">
        <f>标准成本!E8</f>
        <v>3.5700000000000003</v>
      </c>
      <c r="D45" s="133">
        <f>标准成本!E20</f>
        <v>3.5700000000000003</v>
      </c>
      <c r="E45" s="135"/>
      <c r="P45" s="125" t="s">
        <v>124</v>
      </c>
      <c r="AF45" s="125" t="s">
        <v>108</v>
      </c>
      <c r="AG45" s="125" t="s">
        <v>124</v>
      </c>
    </row>
    <row r="46" spans="1:33" s="119" customFormat="1">
      <c r="A46" s="122">
        <v>4</v>
      </c>
      <c r="B46" s="136" t="s">
        <v>125</v>
      </c>
      <c r="C46" s="141">
        <f>C21/C6</f>
        <v>0</v>
      </c>
      <c r="D46" s="141">
        <f>D21/D6</f>
        <v>0</v>
      </c>
      <c r="E46" s="141"/>
      <c r="P46" s="136" t="s">
        <v>127</v>
      </c>
      <c r="AF46" s="136" t="s">
        <v>65</v>
      </c>
      <c r="AG46" s="136" t="s">
        <v>127</v>
      </c>
    </row>
    <row r="47" spans="1:33" s="119" customFormat="1">
      <c r="A47" s="122">
        <v>5</v>
      </c>
      <c r="B47" s="136" t="s">
        <v>127</v>
      </c>
      <c r="C47" s="141">
        <f>标准成本!E11</f>
        <v>3.15</v>
      </c>
      <c r="D47" s="141">
        <f>标准成本!E23</f>
        <v>3.15</v>
      </c>
      <c r="E47" s="141"/>
      <c r="P47" s="136" t="s">
        <v>127</v>
      </c>
      <c r="AF47" s="136" t="s">
        <v>65</v>
      </c>
      <c r="AG47" s="136" t="s">
        <v>127</v>
      </c>
    </row>
    <row r="48" spans="1:33" ht="15.6">
      <c r="A48" s="125" t="s">
        <v>120</v>
      </c>
      <c r="B48" s="130" t="s">
        <v>138</v>
      </c>
      <c r="C48" s="135">
        <f>C40-C43-C44-C45-C47-C46</f>
        <v>-7.9083589743590021</v>
      </c>
      <c r="D48" s="135">
        <f>D40-D43-D44-D45-D47-D46</f>
        <v>-8.6883589743590033</v>
      </c>
      <c r="E48" s="135"/>
      <c r="P48" s="130" t="s">
        <v>138</v>
      </c>
      <c r="AF48" s="125" t="s">
        <v>137</v>
      </c>
      <c r="AG48" s="130" t="s">
        <v>138</v>
      </c>
    </row>
    <row r="51" spans="2:10">
      <c r="C51" s="142"/>
      <c r="D51" s="142"/>
    </row>
    <row r="54" spans="2:10">
      <c r="B54" s="14"/>
      <c r="C54" s="143"/>
      <c r="D54" s="143"/>
      <c r="E54" s="143"/>
      <c r="F54" s="14"/>
      <c r="G54" s="14"/>
      <c r="H54" s="14"/>
      <c r="I54" s="14"/>
      <c r="J54" s="14"/>
    </row>
    <row r="55" spans="2:10">
      <c r="B55" s="14"/>
      <c r="C55" s="143"/>
      <c r="D55" s="143"/>
      <c r="E55" s="143"/>
      <c r="F55" s="14"/>
      <c r="G55" s="14"/>
      <c r="H55" s="14"/>
      <c r="I55" s="14"/>
      <c r="J55" s="14"/>
    </row>
    <row r="56" spans="2:10">
      <c r="B56" s="14"/>
      <c r="C56" s="143"/>
      <c r="D56" s="143"/>
      <c r="E56" s="143"/>
      <c r="F56" s="14"/>
      <c r="G56" s="14"/>
      <c r="H56" s="14"/>
      <c r="I56" s="14"/>
      <c r="J56" s="14"/>
    </row>
    <row r="57" spans="2:10">
      <c r="B57" s="14"/>
      <c r="C57" s="143"/>
      <c r="D57" s="143"/>
      <c r="E57" s="143"/>
      <c r="F57" s="14"/>
      <c r="G57" s="14"/>
      <c r="H57" s="14"/>
      <c r="I57" s="14"/>
      <c r="J57" s="14"/>
    </row>
    <row r="58" spans="2:10">
      <c r="B58" s="14"/>
      <c r="C58" s="143"/>
      <c r="D58" s="143"/>
      <c r="E58" s="143"/>
      <c r="F58" s="14"/>
      <c r="G58" s="14"/>
      <c r="H58" s="14"/>
      <c r="I58" s="14"/>
      <c r="J58" s="14"/>
    </row>
    <row r="59" spans="2:10">
      <c r="B59" s="14"/>
      <c r="C59" s="143"/>
      <c r="D59" s="143"/>
      <c r="E59" s="143"/>
      <c r="F59" s="14"/>
      <c r="G59" s="14"/>
      <c r="H59" s="14"/>
      <c r="I59" s="14"/>
      <c r="J59" s="14"/>
    </row>
    <row r="60" spans="2:10">
      <c r="B60" s="14"/>
      <c r="C60" s="143"/>
      <c r="D60" s="143"/>
      <c r="E60" s="143"/>
      <c r="F60" s="14"/>
      <c r="G60" s="14"/>
      <c r="H60" s="14"/>
      <c r="I60" s="14"/>
      <c r="J60" s="14"/>
    </row>
    <row r="61" spans="2:10">
      <c r="B61" s="14"/>
      <c r="C61" s="143"/>
      <c r="D61" s="143"/>
      <c r="E61" s="143"/>
      <c r="F61" s="14"/>
      <c r="G61" s="14"/>
      <c r="H61" s="14"/>
      <c r="I61" s="14"/>
      <c r="J61" s="14"/>
    </row>
    <row r="62" spans="2:10">
      <c r="B62" s="14"/>
      <c r="C62" s="143"/>
      <c r="D62" s="143"/>
      <c r="E62" s="143"/>
      <c r="F62" s="14"/>
      <c r="G62" s="14"/>
      <c r="H62" s="14"/>
      <c r="I62" s="14"/>
      <c r="J62" s="14"/>
    </row>
    <row r="63" spans="2:10">
      <c r="B63" s="14"/>
      <c r="C63" s="143"/>
      <c r="D63" s="143"/>
      <c r="E63" s="143"/>
      <c r="F63" s="14"/>
      <c r="G63" s="14"/>
      <c r="H63" s="14"/>
      <c r="I63" s="14"/>
      <c r="J63" s="14"/>
    </row>
    <row r="64" spans="2:10">
      <c r="B64" s="14"/>
      <c r="C64" s="143"/>
      <c r="D64" s="143"/>
      <c r="E64" s="143"/>
      <c r="F64" s="14"/>
      <c r="G64" s="14"/>
      <c r="H64" s="14"/>
      <c r="I64" s="14"/>
      <c r="J64" s="14"/>
    </row>
    <row r="65" spans="2:10">
      <c r="B65" s="14"/>
      <c r="C65" s="143"/>
      <c r="D65" s="143"/>
      <c r="E65" s="143"/>
      <c r="F65" s="14"/>
      <c r="G65" s="14"/>
      <c r="H65" s="14"/>
      <c r="I65" s="14"/>
      <c r="J65" s="14"/>
    </row>
    <row r="66" spans="2:10">
      <c r="B66" s="14"/>
      <c r="C66" s="143"/>
      <c r="D66" s="143"/>
      <c r="E66" s="143"/>
      <c r="F66" s="14"/>
      <c r="G66" s="14"/>
      <c r="H66" s="14"/>
      <c r="I66" s="14"/>
      <c r="J66" s="14"/>
    </row>
    <row r="67" spans="2:10">
      <c r="B67" s="14"/>
      <c r="C67" s="143"/>
      <c r="D67" s="143"/>
      <c r="E67" s="143"/>
      <c r="F67" s="14"/>
    </row>
    <row r="68" spans="2:10">
      <c r="B68" s="14"/>
      <c r="C68" s="143"/>
      <c r="D68" s="143"/>
      <c r="E68" s="143"/>
      <c r="F68" s="14"/>
    </row>
    <row r="69" spans="2:10">
      <c r="B69" s="14"/>
      <c r="C69" s="143"/>
      <c r="D69" s="143"/>
      <c r="E69" s="143"/>
      <c r="F69" s="14"/>
    </row>
    <row r="70" spans="2:10">
      <c r="B70" s="14"/>
      <c r="C70" s="143"/>
      <c r="D70" s="143"/>
      <c r="E70" s="143"/>
      <c r="F70" s="14"/>
    </row>
    <row r="71" spans="2:10">
      <c r="B71" s="14"/>
      <c r="C71" s="143"/>
      <c r="D71" s="143"/>
      <c r="E71" s="143"/>
      <c r="F71" s="14"/>
    </row>
    <row r="72" spans="2:10">
      <c r="B72" s="14"/>
      <c r="C72" s="143"/>
      <c r="D72" s="143"/>
      <c r="E72" s="143"/>
      <c r="F72" s="14"/>
    </row>
    <row r="73" spans="2:10">
      <c r="B73" s="14"/>
      <c r="C73" s="143"/>
      <c r="D73" s="143"/>
      <c r="E73" s="143"/>
      <c r="F73" s="14"/>
    </row>
    <row r="74" spans="2:10">
      <c r="B74" s="14"/>
      <c r="C74" s="143"/>
      <c r="D74" s="143"/>
      <c r="E74" s="143"/>
      <c r="F74" s="14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5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C8" sqref="C8"/>
    </sheetView>
  </sheetViews>
  <sheetFormatPr defaultColWidth="9" defaultRowHeight="15"/>
  <cols>
    <col min="1" max="1" width="5.109375" style="120" customWidth="1"/>
    <col min="2" max="2" width="17.44140625" style="120" customWidth="1"/>
    <col min="3" max="4" width="14.33203125" style="121" customWidth="1"/>
    <col min="5" max="5" width="18.77734375" style="121" customWidth="1"/>
    <col min="6" max="6" width="12.33203125" style="120" customWidth="1"/>
    <col min="7" max="7" width="10.109375" style="120" customWidth="1"/>
    <col min="8" max="14" width="9" style="120" customWidth="1"/>
    <col min="15" max="15" width="9" style="120"/>
    <col min="16" max="16" width="9" style="120" hidden="1" customWidth="1"/>
    <col min="17" max="31" width="9" style="120"/>
    <col min="32" max="32" width="4.33203125" style="120" customWidth="1"/>
    <col min="33" max="33" width="13.88671875" style="120" customWidth="1"/>
    <col min="34" max="16384" width="9" style="120"/>
  </cols>
  <sheetData>
    <row r="1" spans="1:34">
      <c r="A1" s="224" t="s">
        <v>148</v>
      </c>
      <c r="B1" s="224"/>
      <c r="C1" s="225" t="s">
        <v>163</v>
      </c>
      <c r="D1" s="226"/>
      <c r="E1" s="227"/>
    </row>
    <row r="2" spans="1:34">
      <c r="A2" s="224" t="s">
        <v>150</v>
      </c>
      <c r="B2" s="224"/>
      <c r="C2" s="228" t="s">
        <v>151</v>
      </c>
      <c r="D2" s="228"/>
      <c r="E2" s="228"/>
    </row>
    <row r="3" spans="1:34">
      <c r="A3" s="224" t="s">
        <v>152</v>
      </c>
      <c r="B3" s="224"/>
      <c r="C3" s="123" t="s">
        <v>153</v>
      </c>
      <c r="D3" s="123" t="s">
        <v>153</v>
      </c>
      <c r="E3" s="229" t="s">
        <v>54</v>
      </c>
    </row>
    <row r="4" spans="1:34" ht="28.8">
      <c r="A4" s="224" t="s">
        <v>154</v>
      </c>
      <c r="B4" s="224"/>
      <c r="C4" s="124" t="s">
        <v>155</v>
      </c>
      <c r="D4" s="124" t="s">
        <v>156</v>
      </c>
      <c r="E4" s="230"/>
    </row>
    <row r="5" spans="1:34" ht="15.6">
      <c r="A5" s="224" t="s">
        <v>157</v>
      </c>
      <c r="B5" s="224"/>
      <c r="C5" s="69" t="s">
        <v>158</v>
      </c>
      <c r="D5" s="69" t="s">
        <v>158</v>
      </c>
      <c r="E5" s="231"/>
      <c r="AH5" s="120" t="s">
        <v>55</v>
      </c>
    </row>
    <row r="6" spans="1:34" ht="17.399999999999999">
      <c r="A6" s="125" t="s">
        <v>19</v>
      </c>
      <c r="B6" s="126" t="s">
        <v>159</v>
      </c>
      <c r="C6" s="127">
        <f>销量!C10</f>
        <v>50000</v>
      </c>
      <c r="D6" s="127">
        <f>销量!D10</f>
        <v>50000</v>
      </c>
      <c r="E6" s="128">
        <f t="shared" ref="E6:E15" si="0">+SUM(C6:D6)</f>
        <v>100000</v>
      </c>
      <c r="P6" s="126" t="s">
        <v>3</v>
      </c>
      <c r="AF6" s="125" t="s">
        <v>19</v>
      </c>
      <c r="AG6" s="126" t="s">
        <v>3</v>
      </c>
      <c r="AH6" s="120" t="s">
        <v>56</v>
      </c>
    </row>
    <row r="7" spans="1:34" ht="15.6">
      <c r="A7" s="122">
        <v>1</v>
      </c>
      <c r="B7" s="126" t="s">
        <v>57</v>
      </c>
      <c r="C7" s="128">
        <f>C6*销量!C8</f>
        <v>5250000</v>
      </c>
      <c r="D7" s="128">
        <f>D6*销量!D8</f>
        <v>5250000</v>
      </c>
      <c r="E7" s="128">
        <f t="shared" si="0"/>
        <v>10500000</v>
      </c>
      <c r="F7" s="121"/>
      <c r="P7" s="126" t="s">
        <v>57</v>
      </c>
      <c r="AF7" s="125" t="s">
        <v>58</v>
      </c>
      <c r="AG7" s="126" t="s">
        <v>57</v>
      </c>
      <c r="AH7" s="120" t="s">
        <v>56</v>
      </c>
    </row>
    <row r="8" spans="1:34">
      <c r="A8" s="122">
        <v>2</v>
      </c>
      <c r="B8" s="122" t="s">
        <v>59</v>
      </c>
      <c r="C8" s="128">
        <f>C7*(1-销量!$P$7)</f>
        <v>210000</v>
      </c>
      <c r="D8" s="128">
        <f>D7*(1-销量!$P$7)</f>
        <v>210000</v>
      </c>
      <c r="E8" s="128">
        <f t="shared" si="0"/>
        <v>420000</v>
      </c>
      <c r="F8" s="129"/>
      <c r="P8" s="122" t="s">
        <v>61</v>
      </c>
      <c r="AF8" s="125" t="s">
        <v>60</v>
      </c>
      <c r="AG8" s="122" t="s">
        <v>61</v>
      </c>
      <c r="AH8" s="120" t="s">
        <v>56</v>
      </c>
    </row>
    <row r="9" spans="1:34" ht="15.6">
      <c r="A9" s="122">
        <v>3</v>
      </c>
      <c r="B9" s="126" t="s">
        <v>62</v>
      </c>
      <c r="C9" s="128">
        <f>+C7-C8</f>
        <v>5040000</v>
      </c>
      <c r="D9" s="128">
        <f>+D7-D8</f>
        <v>5040000</v>
      </c>
      <c r="E9" s="128">
        <f t="shared" si="0"/>
        <v>10080000</v>
      </c>
      <c r="P9" s="126" t="s">
        <v>62</v>
      </c>
      <c r="AF9" s="125" t="s">
        <v>63</v>
      </c>
      <c r="AG9" s="126" t="s">
        <v>62</v>
      </c>
      <c r="AH9" s="120" t="s">
        <v>64</v>
      </c>
    </row>
    <row r="10" spans="1:34">
      <c r="A10" s="122">
        <v>4</v>
      </c>
      <c r="B10" s="125" t="s">
        <v>66</v>
      </c>
      <c r="C10" s="128">
        <f>C6*C33</f>
        <v>3873210</v>
      </c>
      <c r="D10" s="128">
        <f>D6*D33</f>
        <v>3911040</v>
      </c>
      <c r="E10" s="128">
        <f t="shared" si="0"/>
        <v>7784250</v>
      </c>
      <c r="P10" s="125" t="s">
        <v>66</v>
      </c>
      <c r="AF10" s="125" t="s">
        <v>65</v>
      </c>
      <c r="AG10" s="125" t="s">
        <v>66</v>
      </c>
      <c r="AH10" s="120" t="s">
        <v>67</v>
      </c>
    </row>
    <row r="11" spans="1:34">
      <c r="A11" s="122">
        <v>5</v>
      </c>
      <c r="B11" s="125" t="s">
        <v>68</v>
      </c>
      <c r="C11" s="128">
        <f>+C6*C36</f>
        <v>226275</v>
      </c>
      <c r="D11" s="128">
        <f>+D6*D36</f>
        <v>226275</v>
      </c>
      <c r="E11" s="128">
        <f t="shared" si="0"/>
        <v>452550</v>
      </c>
      <c r="P11" s="125" t="s">
        <v>68</v>
      </c>
      <c r="AF11" s="125" t="s">
        <v>69</v>
      </c>
      <c r="AG11" s="125" t="s">
        <v>68</v>
      </c>
    </row>
    <row r="12" spans="1:34">
      <c r="A12" s="122">
        <v>6</v>
      </c>
      <c r="B12" s="125" t="s">
        <v>70</v>
      </c>
      <c r="C12" s="128">
        <f>+C6*C37</f>
        <v>113925.00000000001</v>
      </c>
      <c r="D12" s="128">
        <f>+D6*D37</f>
        <v>113925.00000000001</v>
      </c>
      <c r="E12" s="128">
        <f t="shared" si="0"/>
        <v>227850.00000000003</v>
      </c>
      <c r="P12" s="125" t="s">
        <v>70</v>
      </c>
      <c r="AF12" s="125" t="s">
        <v>71</v>
      </c>
      <c r="AG12" s="125" t="s">
        <v>70</v>
      </c>
    </row>
    <row r="13" spans="1:34">
      <c r="A13" s="122">
        <v>7</v>
      </c>
      <c r="B13" s="125" t="s">
        <v>72</v>
      </c>
      <c r="C13" s="128">
        <f>+C6*C38</f>
        <v>724217.94871794991</v>
      </c>
      <c r="D13" s="128">
        <f>+D6*D38</f>
        <v>724217.94871794991</v>
      </c>
      <c r="E13" s="128">
        <f t="shared" si="0"/>
        <v>1448435.8974358998</v>
      </c>
      <c r="P13" s="125" t="s">
        <v>72</v>
      </c>
      <c r="AF13" s="125" t="s">
        <v>73</v>
      </c>
      <c r="AG13" s="125" t="s">
        <v>72</v>
      </c>
      <c r="AH13" s="120" t="s">
        <v>56</v>
      </c>
    </row>
    <row r="14" spans="1:34" ht="15.6">
      <c r="A14" s="122">
        <v>8</v>
      </c>
      <c r="B14" s="130" t="s">
        <v>74</v>
      </c>
      <c r="C14" s="128">
        <f>SUM(C11:C13)</f>
        <v>1064417.9487179499</v>
      </c>
      <c r="D14" s="128">
        <f>SUM(D11:D13)</f>
        <v>1064417.9487179499</v>
      </c>
      <c r="E14" s="128">
        <f t="shared" si="0"/>
        <v>2128835.8974358998</v>
      </c>
      <c r="P14" s="130" t="s">
        <v>74</v>
      </c>
      <c r="AF14" s="125" t="s">
        <v>75</v>
      </c>
      <c r="AG14" s="130" t="s">
        <v>74</v>
      </c>
    </row>
    <row r="15" spans="1:34" ht="15.6">
      <c r="A15" s="122">
        <v>9</v>
      </c>
      <c r="B15" s="130" t="s">
        <v>76</v>
      </c>
      <c r="C15" s="128">
        <f>+C9-C10-C14</f>
        <v>102372.05128205009</v>
      </c>
      <c r="D15" s="128">
        <f>+D9-D10-D14</f>
        <v>64542.051282050088</v>
      </c>
      <c r="E15" s="128">
        <f t="shared" si="0"/>
        <v>166914.10256410018</v>
      </c>
      <c r="P15" s="130" t="s">
        <v>76</v>
      </c>
      <c r="AF15" s="125" t="s">
        <v>77</v>
      </c>
      <c r="AG15" s="130" t="s">
        <v>76</v>
      </c>
    </row>
    <row r="16" spans="1:34">
      <c r="A16" s="122">
        <v>10</v>
      </c>
      <c r="B16" s="125" t="s">
        <v>78</v>
      </c>
      <c r="C16" s="131">
        <f>+C15/C9</f>
        <v>2.0311914936914699E-2</v>
      </c>
      <c r="D16" s="131">
        <f>+D15/D9</f>
        <v>1.2805962555962318E-2</v>
      </c>
      <c r="E16" s="131">
        <f>+E15/E9</f>
        <v>1.655893874643851E-2</v>
      </c>
      <c r="P16" s="125" t="s">
        <v>78</v>
      </c>
      <c r="AF16" s="125" t="s">
        <v>79</v>
      </c>
      <c r="AG16" s="125" t="s">
        <v>78</v>
      </c>
    </row>
    <row r="17" spans="1:34">
      <c r="A17" s="122">
        <v>11</v>
      </c>
      <c r="B17" s="125" t="s">
        <v>80</v>
      </c>
      <c r="C17" s="128">
        <f>C6*C43+C18</f>
        <v>281750</v>
      </c>
      <c r="D17" s="128">
        <f>D6*D43+D18</f>
        <v>281750</v>
      </c>
      <c r="E17" s="128">
        <f>+SUM(C17:D17)</f>
        <v>563500</v>
      </c>
      <c r="F17" s="129"/>
      <c r="P17" s="125" t="s">
        <v>80</v>
      </c>
      <c r="AF17" s="125" t="s">
        <v>81</v>
      </c>
      <c r="AG17" s="125" t="s">
        <v>80</v>
      </c>
    </row>
    <row r="18" spans="1:34" s="118" customFormat="1">
      <c r="A18" s="122">
        <v>12</v>
      </c>
      <c r="B18" s="132" t="s">
        <v>82</v>
      </c>
      <c r="C18" s="133">
        <f>$E$18/$E$6*C6</f>
        <v>66500</v>
      </c>
      <c r="D18" s="133">
        <f>$E$18/$E$6*D6</f>
        <v>66500</v>
      </c>
      <c r="E18" s="128">
        <f>项目投资!E26</f>
        <v>133000</v>
      </c>
      <c r="F18" s="134" t="s">
        <v>83</v>
      </c>
      <c r="G18" s="134"/>
      <c r="H18" s="134"/>
    </row>
    <row r="19" spans="1:34">
      <c r="A19" s="122">
        <v>13</v>
      </c>
      <c r="B19" s="125" t="s">
        <v>84</v>
      </c>
      <c r="C19" s="128">
        <f>C6*C44</f>
        <v>36750</v>
      </c>
      <c r="D19" s="128">
        <f>D6*D44</f>
        <v>36750</v>
      </c>
      <c r="E19" s="128">
        <f>+SUM(C19:D19)</f>
        <v>73500</v>
      </c>
      <c r="F19" s="118"/>
      <c r="P19" s="125" t="s">
        <v>84</v>
      </c>
      <c r="AF19" s="125" t="s">
        <v>85</v>
      </c>
      <c r="AG19" s="125" t="s">
        <v>84</v>
      </c>
      <c r="AH19" s="120" t="s">
        <v>56</v>
      </c>
    </row>
    <row r="20" spans="1:34">
      <c r="A20" s="122">
        <v>14</v>
      </c>
      <c r="B20" s="125" t="s">
        <v>86</v>
      </c>
      <c r="C20" s="128">
        <f>C6*C45</f>
        <v>178500</v>
      </c>
      <c r="D20" s="128">
        <f>D6*D45</f>
        <v>178500</v>
      </c>
      <c r="E20" s="128">
        <f>+SUM(C20:D20)</f>
        <v>357000</v>
      </c>
      <c r="P20" s="125" t="s">
        <v>86</v>
      </c>
      <c r="AF20" s="125" t="s">
        <v>87</v>
      </c>
      <c r="AG20" s="125" t="s">
        <v>86</v>
      </c>
    </row>
    <row r="21" spans="1:34">
      <c r="A21" s="122">
        <v>15</v>
      </c>
      <c r="B21" s="125" t="s">
        <v>88</v>
      </c>
      <c r="C21" s="135">
        <f>$E$21/$E$6*C6</f>
        <v>0</v>
      </c>
      <c r="D21" s="135">
        <f>$E$21/$E$6*D6</f>
        <v>0</v>
      </c>
      <c r="E21" s="128">
        <f>项目投资!D27</f>
        <v>0</v>
      </c>
      <c r="P21" s="125" t="s">
        <v>88</v>
      </c>
      <c r="AF21" s="125"/>
      <c r="AG21" s="125"/>
    </row>
    <row r="22" spans="1:34">
      <c r="A22" s="122">
        <v>16</v>
      </c>
      <c r="B22" s="125" t="s">
        <v>89</v>
      </c>
      <c r="C22" s="128">
        <f>C6*C47</f>
        <v>157500</v>
      </c>
      <c r="D22" s="128">
        <f>D6*D47</f>
        <v>157500</v>
      </c>
      <c r="E22" s="128">
        <f>+SUM(C22:D22)</f>
        <v>315000</v>
      </c>
      <c r="P22" s="125" t="s">
        <v>89</v>
      </c>
      <c r="AF22" s="125" t="s">
        <v>90</v>
      </c>
      <c r="AG22" s="125" t="s">
        <v>89</v>
      </c>
    </row>
    <row r="23" spans="1:34" ht="15.6">
      <c r="A23" s="122">
        <v>17</v>
      </c>
      <c r="B23" s="130" t="s">
        <v>91</v>
      </c>
      <c r="C23" s="135">
        <f>+C22+C21+C20+C19+C17</f>
        <v>654500</v>
      </c>
      <c r="D23" s="135">
        <f>+D22+D21+D20+D19+D17</f>
        <v>654500</v>
      </c>
      <c r="E23" s="128">
        <f>+SUM(C23:D23)</f>
        <v>1309000</v>
      </c>
      <c r="P23" s="130" t="s">
        <v>91</v>
      </c>
      <c r="AF23" s="125" t="s">
        <v>92</v>
      </c>
      <c r="AG23" s="130" t="s">
        <v>91</v>
      </c>
    </row>
    <row r="24" spans="1:34">
      <c r="A24" s="122">
        <v>18</v>
      </c>
      <c r="B24" s="136" t="s">
        <v>93</v>
      </c>
      <c r="C24" s="135">
        <f>+C15-C23</f>
        <v>-552127.94871794991</v>
      </c>
      <c r="D24" s="135">
        <f>+D15-D23</f>
        <v>-589957.94871794991</v>
      </c>
      <c r="E24" s="128">
        <f>+SUM(C24:D24)</f>
        <v>-1142085.8974358998</v>
      </c>
      <c r="G24" s="137"/>
      <c r="P24" s="125" t="s">
        <v>93</v>
      </c>
      <c r="AF24" s="125" t="s">
        <v>94</v>
      </c>
      <c r="AG24" s="125" t="s">
        <v>93</v>
      </c>
    </row>
    <row r="25" spans="1:34">
      <c r="A25" s="122">
        <v>19</v>
      </c>
      <c r="B25" s="125" t="s">
        <v>160</v>
      </c>
      <c r="C25" s="135">
        <f>IF(C24&lt;0,0,C24*0.25)</f>
        <v>0</v>
      </c>
      <c r="D25" s="135">
        <f>IF(D24&lt;0,0,D24*0.25)</f>
        <v>0</v>
      </c>
      <c r="E25" s="128">
        <f>+SUM(C25:D25)</f>
        <v>0</v>
      </c>
      <c r="F25" s="14"/>
      <c r="G25" s="14"/>
      <c r="H25" s="14"/>
      <c r="P25" s="125" t="s">
        <v>36</v>
      </c>
      <c r="AF25" s="125" t="s">
        <v>95</v>
      </c>
      <c r="AG25" s="125" t="s">
        <v>36</v>
      </c>
    </row>
    <row r="26" spans="1:34">
      <c r="A26" s="122">
        <v>20</v>
      </c>
      <c r="B26" s="125" t="s">
        <v>96</v>
      </c>
      <c r="C26" s="135">
        <f>C24-C25</f>
        <v>-552127.94871794991</v>
      </c>
      <c r="D26" s="135">
        <f>D24-D25</f>
        <v>-589957.94871794991</v>
      </c>
      <c r="E26" s="128">
        <f>+SUM(C26:D26)</f>
        <v>-1142085.8974358998</v>
      </c>
      <c r="F26" s="14"/>
      <c r="G26" s="14"/>
      <c r="H26" s="14"/>
      <c r="P26" s="125" t="s">
        <v>96</v>
      </c>
      <c r="AF26" s="125" t="s">
        <v>97</v>
      </c>
      <c r="AG26" s="125" t="s">
        <v>96</v>
      </c>
    </row>
    <row r="27" spans="1:34">
      <c r="A27" s="122">
        <v>21</v>
      </c>
      <c r="B27" s="125" t="s">
        <v>100</v>
      </c>
      <c r="C27" s="138">
        <f>C26/C7</f>
        <v>-0.10516722832722855</v>
      </c>
      <c r="D27" s="138">
        <f>D26/D7</f>
        <v>-0.11237294261294284</v>
      </c>
      <c r="E27" s="138">
        <f>E26/E7</f>
        <v>-0.1087700854700857</v>
      </c>
      <c r="F27" s="14"/>
      <c r="G27" s="14"/>
      <c r="H27" s="14"/>
      <c r="P27" s="125" t="s">
        <v>100</v>
      </c>
      <c r="AF27" s="125" t="s">
        <v>99</v>
      </c>
      <c r="AG27" s="125" t="s">
        <v>100</v>
      </c>
    </row>
    <row r="28" spans="1:34">
      <c r="F28" s="14"/>
      <c r="G28" s="14"/>
      <c r="H28" s="14"/>
      <c r="P28" s="125"/>
    </row>
    <row r="29" spans="1:34">
      <c r="A29" s="120" t="s">
        <v>101</v>
      </c>
      <c r="E29" s="121" t="s">
        <v>161</v>
      </c>
      <c r="F29" s="14"/>
      <c r="G29" s="14"/>
      <c r="H29" s="14"/>
      <c r="P29" s="125"/>
      <c r="AF29" s="120" t="s">
        <v>101</v>
      </c>
    </row>
    <row r="30" spans="1:34" ht="15.6">
      <c r="A30" s="125" t="s">
        <v>103</v>
      </c>
      <c r="B30" s="130" t="s">
        <v>104</v>
      </c>
      <c r="C30" s="135"/>
      <c r="D30" s="135"/>
      <c r="E30" s="135"/>
      <c r="F30" s="14"/>
      <c r="G30" s="14"/>
      <c r="H30" s="14"/>
      <c r="J30" s="14"/>
      <c r="P30" s="130" t="s">
        <v>104</v>
      </c>
      <c r="AF30" s="125" t="s">
        <v>105</v>
      </c>
      <c r="AG30" s="130" t="s">
        <v>104</v>
      </c>
    </row>
    <row r="31" spans="1:34">
      <c r="A31" s="122">
        <v>1</v>
      </c>
      <c r="B31" s="132" t="s">
        <v>106</v>
      </c>
      <c r="C31" s="139">
        <f>(C7-C8)/C6</f>
        <v>100.8</v>
      </c>
      <c r="D31" s="139">
        <f>(D7-D8)/D6</f>
        <v>100.8</v>
      </c>
      <c r="E31" s="135"/>
      <c r="F31" s="14"/>
      <c r="G31" s="14"/>
      <c r="H31" s="14"/>
      <c r="J31" s="14"/>
      <c r="P31" s="125" t="s">
        <v>106</v>
      </c>
      <c r="AF31" s="125" t="s">
        <v>58</v>
      </c>
      <c r="AG31" s="125" t="s">
        <v>106</v>
      </c>
    </row>
    <row r="32" spans="1:34">
      <c r="A32" s="122">
        <v>2</v>
      </c>
      <c r="B32" s="125" t="s">
        <v>162</v>
      </c>
      <c r="C32" s="128">
        <f>C31*1</f>
        <v>100.8</v>
      </c>
      <c r="D32" s="128">
        <f>D31*1</f>
        <v>100.8</v>
      </c>
      <c r="E32" s="135"/>
      <c r="F32" s="14"/>
      <c r="G32" s="14"/>
      <c r="H32" s="14"/>
      <c r="I32" s="14"/>
      <c r="J32" s="14"/>
      <c r="K32" s="14"/>
      <c r="L32" s="14"/>
      <c r="AF32" s="125"/>
      <c r="AG32" s="125"/>
    </row>
    <row r="33" spans="1:33">
      <c r="A33" s="122">
        <v>3</v>
      </c>
      <c r="B33" s="132" t="s">
        <v>107</v>
      </c>
      <c r="C33" s="128">
        <f>材料成本!D27</f>
        <v>77.464200000000005</v>
      </c>
      <c r="D33" s="128">
        <f>材料成本!E27</f>
        <v>78.220799999999997</v>
      </c>
      <c r="E33" s="135"/>
      <c r="G33" s="14"/>
      <c r="H33" s="14"/>
      <c r="I33" s="14"/>
      <c r="J33" s="14"/>
      <c r="K33" s="14"/>
      <c r="L33" s="14"/>
      <c r="P33" s="125" t="s">
        <v>107</v>
      </c>
      <c r="AF33" s="125" t="s">
        <v>60</v>
      </c>
      <c r="AG33" s="125" t="s">
        <v>107</v>
      </c>
    </row>
    <row r="34" spans="1:33" ht="17.25" customHeight="1">
      <c r="A34" s="122">
        <v>4</v>
      </c>
      <c r="B34" s="125" t="s">
        <v>109</v>
      </c>
      <c r="C34" s="140">
        <f>C32-C33</f>
        <v>23.335799999999999</v>
      </c>
      <c r="D34" s="140">
        <f>D32-D33</f>
        <v>22.5792</v>
      </c>
      <c r="E34" s="135"/>
      <c r="G34" s="14"/>
      <c r="H34" s="14"/>
      <c r="I34" s="14"/>
      <c r="J34" s="14"/>
      <c r="K34" s="14"/>
      <c r="L34" s="14"/>
      <c r="P34" s="125" t="s">
        <v>109</v>
      </c>
      <c r="AF34" s="125" t="s">
        <v>108</v>
      </c>
      <c r="AG34" s="125" t="s">
        <v>109</v>
      </c>
    </row>
    <row r="35" spans="1:33" ht="15.6">
      <c r="A35" s="125" t="s">
        <v>105</v>
      </c>
      <c r="B35" s="130" t="s">
        <v>9</v>
      </c>
      <c r="C35" s="135"/>
      <c r="D35" s="135"/>
      <c r="E35" s="135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30" t="s">
        <v>9</v>
      </c>
      <c r="AF35" s="125" t="s">
        <v>111</v>
      </c>
      <c r="AG35" s="130" t="s">
        <v>9</v>
      </c>
    </row>
    <row r="36" spans="1:33">
      <c r="A36" s="122">
        <v>1</v>
      </c>
      <c r="B36" s="125" t="s">
        <v>112</v>
      </c>
      <c r="C36" s="133">
        <f>标准成本!E4</f>
        <v>4.5255000000000001</v>
      </c>
      <c r="D36" s="133">
        <f>标准成本!E16</f>
        <v>4.5255000000000001</v>
      </c>
      <c r="E36" s="139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25" t="s">
        <v>112</v>
      </c>
      <c r="AF36" s="125" t="s">
        <v>108</v>
      </c>
      <c r="AG36" s="125" t="s">
        <v>112</v>
      </c>
    </row>
    <row r="37" spans="1:33">
      <c r="A37" s="122">
        <v>2</v>
      </c>
      <c r="B37" s="125" t="s">
        <v>113</v>
      </c>
      <c r="C37" s="133">
        <f>标准成本!E6</f>
        <v>2.2785000000000002</v>
      </c>
      <c r="D37" s="133">
        <f>标准成本!E18</f>
        <v>2.2785000000000002</v>
      </c>
      <c r="E37" s="139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25" t="s">
        <v>113</v>
      </c>
      <c r="AF37" s="125" t="s">
        <v>63</v>
      </c>
      <c r="AG37" s="125" t="s">
        <v>113</v>
      </c>
    </row>
    <row r="38" spans="1:33">
      <c r="A38" s="122">
        <v>3</v>
      </c>
      <c r="B38" s="125" t="s">
        <v>114</v>
      </c>
      <c r="C38" s="133">
        <f>标准成本!E10</f>
        <v>14.484358974358999</v>
      </c>
      <c r="D38" s="133">
        <f>标准成本!E22</f>
        <v>14.484358974358999</v>
      </c>
      <c r="E38" s="139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25" t="s">
        <v>114</v>
      </c>
      <c r="AF38" s="125" t="s">
        <v>69</v>
      </c>
      <c r="AG38" s="125" t="s">
        <v>114</v>
      </c>
    </row>
    <row r="39" spans="1:33" ht="15.6">
      <c r="A39" s="125" t="s">
        <v>111</v>
      </c>
      <c r="B39" s="130" t="s">
        <v>116</v>
      </c>
      <c r="C39" s="135"/>
      <c r="D39" s="135"/>
      <c r="E39" s="135"/>
      <c r="P39" s="130" t="s">
        <v>116</v>
      </c>
      <c r="AF39" s="125" t="s">
        <v>115</v>
      </c>
      <c r="AG39" s="130" t="s">
        <v>116</v>
      </c>
    </row>
    <row r="40" spans="1:33">
      <c r="A40" s="122">
        <v>1</v>
      </c>
      <c r="B40" s="125" t="s">
        <v>118</v>
      </c>
      <c r="C40" s="135">
        <f>C34-C36-C37-C38</f>
        <v>2.0474410256409978</v>
      </c>
      <c r="D40" s="135">
        <f>D34-D36-D37-D38</f>
        <v>1.290841025640999</v>
      </c>
      <c r="E40" s="135"/>
      <c r="P40" s="125" t="s">
        <v>118</v>
      </c>
      <c r="AF40" s="125" t="s">
        <v>58</v>
      </c>
      <c r="AG40" s="125" t="s">
        <v>118</v>
      </c>
    </row>
    <row r="41" spans="1:33">
      <c r="A41" s="122">
        <v>2</v>
      </c>
      <c r="B41" s="125" t="s">
        <v>119</v>
      </c>
      <c r="C41" s="135"/>
      <c r="D41" s="135"/>
      <c r="E41" s="135"/>
      <c r="P41" s="125" t="s">
        <v>119</v>
      </c>
      <c r="AF41" s="125" t="s">
        <v>60</v>
      </c>
      <c r="AG41" s="125" t="s">
        <v>119</v>
      </c>
    </row>
    <row r="42" spans="1:33" ht="15.6">
      <c r="A42" s="125" t="s">
        <v>115</v>
      </c>
      <c r="B42" s="130" t="s">
        <v>121</v>
      </c>
      <c r="C42" s="135"/>
      <c r="D42" s="135"/>
      <c r="E42" s="135"/>
      <c r="P42" s="130" t="s">
        <v>121</v>
      </c>
      <c r="AF42" s="125" t="s">
        <v>120</v>
      </c>
      <c r="AG42" s="130" t="s">
        <v>121</v>
      </c>
    </row>
    <row r="43" spans="1:33">
      <c r="A43" s="122">
        <v>1</v>
      </c>
      <c r="B43" s="136" t="s">
        <v>122</v>
      </c>
      <c r="C43" s="133">
        <f>标准成本!E5</f>
        <v>4.3050000000000006</v>
      </c>
      <c r="D43" s="133">
        <f>标准成本!E17</f>
        <v>4.3050000000000006</v>
      </c>
      <c r="E43" s="135"/>
      <c r="P43" s="125" t="s">
        <v>122</v>
      </c>
      <c r="AF43" s="125" t="s">
        <v>58</v>
      </c>
      <c r="AG43" s="125" t="s">
        <v>122</v>
      </c>
    </row>
    <row r="44" spans="1:33">
      <c r="A44" s="122">
        <v>2</v>
      </c>
      <c r="B44" s="136" t="s">
        <v>123</v>
      </c>
      <c r="C44" s="133">
        <f>标准成本!E9</f>
        <v>0.73499999999999999</v>
      </c>
      <c r="D44" s="133">
        <f>标准成本!E21</f>
        <v>0.73499999999999999</v>
      </c>
      <c r="E44" s="135"/>
      <c r="P44" s="125" t="s">
        <v>123</v>
      </c>
      <c r="AF44" s="125" t="s">
        <v>60</v>
      </c>
      <c r="AG44" s="125" t="s">
        <v>123</v>
      </c>
    </row>
    <row r="45" spans="1:33">
      <c r="A45" s="122">
        <v>3</v>
      </c>
      <c r="B45" s="136" t="s">
        <v>124</v>
      </c>
      <c r="C45" s="133">
        <f>标准成本!E8</f>
        <v>3.5700000000000003</v>
      </c>
      <c r="D45" s="133">
        <f>标准成本!E20</f>
        <v>3.5700000000000003</v>
      </c>
      <c r="E45" s="135"/>
      <c r="P45" s="125" t="s">
        <v>124</v>
      </c>
      <c r="AF45" s="125" t="s">
        <v>108</v>
      </c>
      <c r="AG45" s="125" t="s">
        <v>124</v>
      </c>
    </row>
    <row r="46" spans="1:33" s="119" customFormat="1">
      <c r="A46" s="122">
        <v>4</v>
      </c>
      <c r="B46" s="136" t="s">
        <v>125</v>
      </c>
      <c r="C46" s="141">
        <f>C21/C6</f>
        <v>0</v>
      </c>
      <c r="D46" s="141">
        <f>D21/D6</f>
        <v>0</v>
      </c>
      <c r="E46" s="141"/>
      <c r="P46" s="136" t="s">
        <v>127</v>
      </c>
      <c r="AF46" s="136" t="s">
        <v>65</v>
      </c>
      <c r="AG46" s="136" t="s">
        <v>127</v>
      </c>
    </row>
    <row r="47" spans="1:33" s="119" customFormat="1">
      <c r="A47" s="122">
        <v>5</v>
      </c>
      <c r="B47" s="136" t="s">
        <v>127</v>
      </c>
      <c r="C47" s="141">
        <f>标准成本!E11</f>
        <v>3.15</v>
      </c>
      <c r="D47" s="141">
        <f>标准成本!E23</f>
        <v>3.15</v>
      </c>
      <c r="E47" s="141"/>
      <c r="P47" s="136" t="s">
        <v>127</v>
      </c>
      <c r="AF47" s="136" t="s">
        <v>65</v>
      </c>
      <c r="AG47" s="136" t="s">
        <v>127</v>
      </c>
    </row>
    <row r="48" spans="1:33" ht="15.6">
      <c r="A48" s="125" t="s">
        <v>120</v>
      </c>
      <c r="B48" s="130" t="s">
        <v>138</v>
      </c>
      <c r="C48" s="135">
        <f>C40-C43-C44-C45-C47-C46</f>
        <v>-9.7125589743590037</v>
      </c>
      <c r="D48" s="135">
        <f>D40-D43-D44-D45-D47-D46</f>
        <v>-10.469158974359003</v>
      </c>
      <c r="E48" s="135"/>
      <c r="P48" s="130" t="s">
        <v>138</v>
      </c>
      <c r="AF48" s="125" t="s">
        <v>137</v>
      </c>
      <c r="AG48" s="130" t="s">
        <v>138</v>
      </c>
    </row>
    <row r="51" spans="2:10">
      <c r="C51" s="142"/>
      <c r="D51" s="142"/>
    </row>
    <row r="54" spans="2:10">
      <c r="B54" s="14"/>
      <c r="C54" s="143"/>
      <c r="D54" s="143"/>
      <c r="E54" s="143"/>
      <c r="F54" s="14"/>
      <c r="G54" s="14"/>
      <c r="H54" s="14"/>
      <c r="I54" s="14"/>
      <c r="J54" s="14"/>
    </row>
    <row r="55" spans="2:10">
      <c r="B55" s="14"/>
      <c r="C55" s="143"/>
      <c r="D55" s="143"/>
      <c r="E55" s="143"/>
      <c r="F55" s="14"/>
      <c r="G55" s="14"/>
      <c r="H55" s="14"/>
      <c r="I55" s="14"/>
      <c r="J55" s="14"/>
    </row>
    <row r="56" spans="2:10">
      <c r="B56" s="14"/>
      <c r="C56" s="143"/>
      <c r="D56" s="143"/>
      <c r="E56" s="143"/>
      <c r="F56" s="14"/>
      <c r="G56" s="14"/>
      <c r="H56" s="14"/>
      <c r="I56" s="14"/>
      <c r="J56" s="14"/>
    </row>
    <row r="57" spans="2:10">
      <c r="B57" s="14"/>
      <c r="C57" s="143"/>
      <c r="D57" s="143"/>
      <c r="E57" s="143"/>
      <c r="F57" s="14"/>
      <c r="G57" s="14"/>
      <c r="H57" s="14"/>
      <c r="I57" s="14"/>
      <c r="J57" s="14"/>
    </row>
    <row r="58" spans="2:10">
      <c r="B58" s="14"/>
      <c r="C58" s="143"/>
      <c r="D58" s="143"/>
      <c r="E58" s="143"/>
      <c r="F58" s="14"/>
      <c r="G58" s="14"/>
      <c r="H58" s="14"/>
      <c r="I58" s="14"/>
      <c r="J58" s="14"/>
    </row>
    <row r="59" spans="2:10">
      <c r="B59" s="14"/>
      <c r="C59" s="143"/>
      <c r="D59" s="143"/>
      <c r="E59" s="143"/>
      <c r="F59" s="14"/>
      <c r="G59" s="14"/>
      <c r="H59" s="14"/>
      <c r="I59" s="14"/>
      <c r="J59" s="14"/>
    </row>
    <row r="60" spans="2:10">
      <c r="B60" s="14"/>
      <c r="C60" s="143"/>
      <c r="D60" s="143"/>
      <c r="E60" s="143"/>
      <c r="F60" s="14"/>
      <c r="G60" s="14"/>
      <c r="H60" s="14"/>
      <c r="I60" s="14"/>
      <c r="J60" s="14"/>
    </row>
    <row r="61" spans="2:10">
      <c r="B61" s="14"/>
      <c r="C61" s="143"/>
      <c r="D61" s="143"/>
      <c r="E61" s="143"/>
      <c r="F61" s="14"/>
      <c r="G61" s="14"/>
      <c r="H61" s="14"/>
      <c r="I61" s="14"/>
      <c r="J61" s="14"/>
    </row>
    <row r="62" spans="2:10">
      <c r="B62" s="14"/>
      <c r="C62" s="143"/>
      <c r="D62" s="143"/>
      <c r="E62" s="143"/>
      <c r="F62" s="14"/>
      <c r="G62" s="14"/>
      <c r="H62" s="14"/>
      <c r="I62" s="14"/>
      <c r="J62" s="14"/>
    </row>
    <row r="63" spans="2:10">
      <c r="B63" s="14"/>
      <c r="C63" s="143"/>
      <c r="D63" s="143"/>
      <c r="E63" s="143"/>
      <c r="F63" s="14"/>
      <c r="G63" s="14"/>
      <c r="H63" s="14"/>
      <c r="I63" s="14"/>
      <c r="J63" s="14"/>
    </row>
    <row r="64" spans="2:10">
      <c r="B64" s="14"/>
      <c r="C64" s="143"/>
      <c r="D64" s="143"/>
      <c r="E64" s="143"/>
      <c r="F64" s="14"/>
      <c r="G64" s="14"/>
      <c r="H64" s="14"/>
      <c r="I64" s="14"/>
      <c r="J64" s="14"/>
    </row>
    <row r="65" spans="2:10">
      <c r="B65" s="14"/>
      <c r="C65" s="143"/>
      <c r="D65" s="143"/>
      <c r="E65" s="143"/>
      <c r="F65" s="14"/>
      <c r="G65" s="14"/>
      <c r="H65" s="14"/>
      <c r="I65" s="14"/>
      <c r="J65" s="14"/>
    </row>
    <row r="66" spans="2:10">
      <c r="B66" s="14"/>
      <c r="C66" s="143"/>
      <c r="D66" s="143"/>
      <c r="E66" s="143"/>
      <c r="F66" s="14"/>
      <c r="G66" s="14"/>
      <c r="H66" s="14"/>
      <c r="I66" s="14"/>
      <c r="J66" s="14"/>
    </row>
    <row r="67" spans="2:10">
      <c r="B67" s="14"/>
      <c r="C67" s="143"/>
      <c r="D67" s="143"/>
      <c r="E67" s="143"/>
      <c r="F67" s="14"/>
    </row>
    <row r="68" spans="2:10">
      <c r="B68" s="14"/>
      <c r="C68" s="143"/>
      <c r="D68" s="143"/>
      <c r="E68" s="143"/>
      <c r="F68" s="14"/>
    </row>
    <row r="69" spans="2:10">
      <c r="B69" s="14"/>
      <c r="C69" s="143"/>
      <c r="D69" s="143"/>
      <c r="E69" s="143"/>
      <c r="F69" s="14"/>
    </row>
    <row r="70" spans="2:10">
      <c r="B70" s="14"/>
      <c r="C70" s="143"/>
      <c r="D70" s="143"/>
      <c r="E70" s="143"/>
      <c r="F70" s="14"/>
    </row>
    <row r="71" spans="2:10">
      <c r="B71" s="14"/>
      <c r="C71" s="143"/>
      <c r="D71" s="143"/>
      <c r="E71" s="143"/>
      <c r="F71" s="14"/>
    </row>
    <row r="72" spans="2:10">
      <c r="B72" s="14"/>
      <c r="C72" s="143"/>
      <c r="D72" s="143"/>
      <c r="E72" s="143"/>
      <c r="F72" s="14"/>
    </row>
    <row r="73" spans="2:10">
      <c r="B73" s="14"/>
      <c r="C73" s="143"/>
      <c r="D73" s="143"/>
      <c r="E73" s="143"/>
      <c r="F73" s="14"/>
    </row>
    <row r="74" spans="2:10">
      <c r="B74" s="14"/>
      <c r="C74" s="143"/>
      <c r="D74" s="143"/>
      <c r="E74" s="143"/>
      <c r="F74" s="14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5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  <ignoredErrors>
    <ignoredError sqref="E2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C8" sqref="C8"/>
    </sheetView>
  </sheetViews>
  <sheetFormatPr defaultColWidth="9" defaultRowHeight="15"/>
  <cols>
    <col min="1" max="1" width="5.109375" style="120" customWidth="1"/>
    <col min="2" max="2" width="17.44140625" style="120" customWidth="1"/>
    <col min="3" max="3" width="15.44140625" style="121" customWidth="1"/>
    <col min="4" max="4" width="15.5546875" style="121" customWidth="1"/>
    <col min="5" max="5" width="18.77734375" style="121" customWidth="1"/>
    <col min="6" max="6" width="12.33203125" style="120" customWidth="1"/>
    <col min="7" max="7" width="10.109375" style="120" customWidth="1"/>
    <col min="8" max="14" width="9" style="120" customWidth="1"/>
    <col min="15" max="15" width="9" style="120"/>
    <col min="16" max="16" width="9" style="120" hidden="1" customWidth="1"/>
    <col min="17" max="31" width="9" style="120"/>
    <col min="32" max="32" width="4.33203125" style="120" customWidth="1"/>
    <col min="33" max="33" width="13.88671875" style="120" customWidth="1"/>
    <col min="34" max="16384" width="9" style="120"/>
  </cols>
  <sheetData>
    <row r="1" spans="1:34">
      <c r="A1" s="224" t="s">
        <v>148</v>
      </c>
      <c r="B1" s="224"/>
      <c r="C1" s="225" t="s">
        <v>164</v>
      </c>
      <c r="D1" s="226"/>
      <c r="E1" s="227"/>
    </row>
    <row r="2" spans="1:34">
      <c r="A2" s="224" t="s">
        <v>150</v>
      </c>
      <c r="B2" s="224"/>
      <c r="C2" s="228" t="s">
        <v>151</v>
      </c>
      <c r="D2" s="228"/>
      <c r="E2" s="228"/>
    </row>
    <row r="3" spans="1:34">
      <c r="A3" s="224" t="s">
        <v>152</v>
      </c>
      <c r="B3" s="224"/>
      <c r="C3" s="123" t="s">
        <v>153</v>
      </c>
      <c r="D3" s="123" t="s">
        <v>153</v>
      </c>
      <c r="E3" s="229" t="s">
        <v>54</v>
      </c>
    </row>
    <row r="4" spans="1:34">
      <c r="A4" s="224" t="s">
        <v>154</v>
      </c>
      <c r="B4" s="224"/>
      <c r="C4" s="124" t="s">
        <v>155</v>
      </c>
      <c r="D4" s="124" t="s">
        <v>156</v>
      </c>
      <c r="E4" s="230"/>
    </row>
    <row r="5" spans="1:34" ht="15.6">
      <c r="A5" s="224" t="s">
        <v>157</v>
      </c>
      <c r="B5" s="224"/>
      <c r="C5" s="69" t="s">
        <v>158</v>
      </c>
      <c r="D5" s="69" t="s">
        <v>158</v>
      </c>
      <c r="E5" s="231"/>
      <c r="AH5" s="120" t="s">
        <v>55</v>
      </c>
    </row>
    <row r="6" spans="1:34" ht="17.399999999999999">
      <c r="A6" s="125" t="s">
        <v>19</v>
      </c>
      <c r="B6" s="126" t="s">
        <v>159</v>
      </c>
      <c r="C6" s="127">
        <f>销量!C11</f>
        <v>80000</v>
      </c>
      <c r="D6" s="127">
        <f>销量!D11</f>
        <v>80000</v>
      </c>
      <c r="E6" s="128">
        <f t="shared" ref="E6:E15" si="0">+SUM(C6:D6)</f>
        <v>160000</v>
      </c>
      <c r="P6" s="126" t="s">
        <v>3</v>
      </c>
      <c r="AF6" s="125" t="s">
        <v>19</v>
      </c>
      <c r="AG6" s="126" t="s">
        <v>3</v>
      </c>
      <c r="AH6" s="120" t="s">
        <v>56</v>
      </c>
    </row>
    <row r="7" spans="1:34" ht="15.6">
      <c r="A7" s="122">
        <v>1</v>
      </c>
      <c r="B7" s="126" t="s">
        <v>57</v>
      </c>
      <c r="C7" s="128">
        <f>C6*销量!C8</f>
        <v>8400000</v>
      </c>
      <c r="D7" s="128">
        <f>D6*销量!D8</f>
        <v>8400000</v>
      </c>
      <c r="E7" s="128">
        <f t="shared" si="0"/>
        <v>16800000</v>
      </c>
      <c r="F7" s="121"/>
      <c r="P7" s="126" t="s">
        <v>57</v>
      </c>
      <c r="AF7" s="125" t="s">
        <v>58</v>
      </c>
      <c r="AG7" s="126" t="s">
        <v>57</v>
      </c>
      <c r="AH7" s="120" t="s">
        <v>56</v>
      </c>
    </row>
    <row r="8" spans="1:34">
      <c r="A8" s="122">
        <v>2</v>
      </c>
      <c r="B8" s="122" t="s">
        <v>59</v>
      </c>
      <c r="C8" s="128">
        <f>C7*(1-销量!$P$8)</f>
        <v>658560</v>
      </c>
      <c r="D8" s="128">
        <f>D7*(1-销量!$P$8)</f>
        <v>658560</v>
      </c>
      <c r="E8" s="128">
        <f t="shared" si="0"/>
        <v>1317120</v>
      </c>
      <c r="F8" s="129"/>
      <c r="P8" s="122" t="s">
        <v>61</v>
      </c>
      <c r="AF8" s="125" t="s">
        <v>60</v>
      </c>
      <c r="AG8" s="122" t="s">
        <v>61</v>
      </c>
      <c r="AH8" s="120" t="s">
        <v>56</v>
      </c>
    </row>
    <row r="9" spans="1:34" ht="15.6">
      <c r="A9" s="122">
        <v>3</v>
      </c>
      <c r="B9" s="126" t="s">
        <v>62</v>
      </c>
      <c r="C9" s="128">
        <f>+C7-C8</f>
        <v>7741440</v>
      </c>
      <c r="D9" s="128">
        <f>+D7-D8</f>
        <v>7741440</v>
      </c>
      <c r="E9" s="128">
        <f t="shared" si="0"/>
        <v>15482880</v>
      </c>
      <c r="P9" s="126" t="s">
        <v>62</v>
      </c>
      <c r="AF9" s="125" t="s">
        <v>63</v>
      </c>
      <c r="AG9" s="126" t="s">
        <v>62</v>
      </c>
      <c r="AH9" s="120" t="s">
        <v>64</v>
      </c>
    </row>
    <row r="10" spans="1:34">
      <c r="A10" s="122">
        <v>4</v>
      </c>
      <c r="B10" s="125" t="s">
        <v>66</v>
      </c>
      <c r="C10" s="128">
        <f>C6*C33</f>
        <v>6011221.9199999999</v>
      </c>
      <c r="D10" s="128">
        <f>D6*D33</f>
        <v>6069934.0800000001</v>
      </c>
      <c r="E10" s="128">
        <f t="shared" si="0"/>
        <v>12081156</v>
      </c>
      <c r="P10" s="125" t="s">
        <v>66</v>
      </c>
      <c r="AF10" s="125" t="s">
        <v>65</v>
      </c>
      <c r="AG10" s="125" t="s">
        <v>66</v>
      </c>
      <c r="AH10" s="120" t="s">
        <v>67</v>
      </c>
    </row>
    <row r="11" spans="1:34">
      <c r="A11" s="122">
        <v>5</v>
      </c>
      <c r="B11" s="125" t="s">
        <v>68</v>
      </c>
      <c r="C11" s="128">
        <f>+C6*C36</f>
        <v>362040</v>
      </c>
      <c r="D11" s="128">
        <f>+D6*D36</f>
        <v>362040</v>
      </c>
      <c r="E11" s="128">
        <f t="shared" si="0"/>
        <v>724080</v>
      </c>
      <c r="P11" s="125" t="s">
        <v>68</v>
      </c>
      <c r="AF11" s="125" t="s">
        <v>69</v>
      </c>
      <c r="AG11" s="125" t="s">
        <v>68</v>
      </c>
    </row>
    <row r="12" spans="1:34">
      <c r="A12" s="122">
        <v>6</v>
      </c>
      <c r="B12" s="125" t="s">
        <v>70</v>
      </c>
      <c r="C12" s="128">
        <f>+C6*C37</f>
        <v>182280.00000000003</v>
      </c>
      <c r="D12" s="128">
        <f>+D6*D37</f>
        <v>182280.00000000003</v>
      </c>
      <c r="E12" s="128">
        <f t="shared" si="0"/>
        <v>364560.00000000006</v>
      </c>
      <c r="P12" s="125" t="s">
        <v>70</v>
      </c>
      <c r="AF12" s="125" t="s">
        <v>71</v>
      </c>
      <c r="AG12" s="125" t="s">
        <v>70</v>
      </c>
    </row>
    <row r="13" spans="1:34">
      <c r="A13" s="122">
        <v>7</v>
      </c>
      <c r="B13" s="125" t="s">
        <v>72</v>
      </c>
      <c r="C13" s="128">
        <f>+C6*C38</f>
        <v>1158748.7179487199</v>
      </c>
      <c r="D13" s="128">
        <f>+D6*D38</f>
        <v>1158748.7179487199</v>
      </c>
      <c r="E13" s="128">
        <f t="shared" si="0"/>
        <v>2317497.4358974397</v>
      </c>
      <c r="P13" s="125" t="s">
        <v>72</v>
      </c>
      <c r="AF13" s="125" t="s">
        <v>73</v>
      </c>
      <c r="AG13" s="125" t="s">
        <v>72</v>
      </c>
      <c r="AH13" s="120" t="s">
        <v>56</v>
      </c>
    </row>
    <row r="14" spans="1:34" ht="15.6">
      <c r="A14" s="122">
        <v>8</v>
      </c>
      <c r="B14" s="130" t="s">
        <v>74</v>
      </c>
      <c r="C14" s="128">
        <f>SUM(C11:C13)</f>
        <v>1703068.7179487199</v>
      </c>
      <c r="D14" s="128">
        <f>SUM(D11:D13)</f>
        <v>1703068.7179487199</v>
      </c>
      <c r="E14" s="128">
        <f t="shared" si="0"/>
        <v>3406137.4358974397</v>
      </c>
      <c r="P14" s="130" t="s">
        <v>74</v>
      </c>
      <c r="AF14" s="125" t="s">
        <v>75</v>
      </c>
      <c r="AG14" s="130" t="s">
        <v>74</v>
      </c>
    </row>
    <row r="15" spans="1:34" ht="15.6">
      <c r="A15" s="122">
        <v>9</v>
      </c>
      <c r="B15" s="130" t="s">
        <v>76</v>
      </c>
      <c r="C15" s="128">
        <f>+C9-C10-C14</f>
        <v>27149.362051280215</v>
      </c>
      <c r="D15" s="128">
        <f>+D9-D10-D14</f>
        <v>-31562.797948719934</v>
      </c>
      <c r="E15" s="128">
        <f t="shared" si="0"/>
        <v>-4413.4358974397182</v>
      </c>
      <c r="P15" s="130" t="s">
        <v>76</v>
      </c>
      <c r="AF15" s="125" t="s">
        <v>77</v>
      </c>
      <c r="AG15" s="130" t="s">
        <v>76</v>
      </c>
    </row>
    <row r="16" spans="1:34">
      <c r="A16" s="122">
        <v>10</v>
      </c>
      <c r="B16" s="125" t="s">
        <v>78</v>
      </c>
      <c r="C16" s="131">
        <f>+C15/C9</f>
        <v>3.5070170473813934E-3</v>
      </c>
      <c r="D16" s="131">
        <f>+D15/D9</f>
        <v>-4.0771223375392603E-3</v>
      </c>
      <c r="E16" s="131">
        <f>+E15/E9</f>
        <v>-2.8505264507893352E-4</v>
      </c>
      <c r="P16" s="125" t="s">
        <v>78</v>
      </c>
      <c r="AF16" s="125" t="s">
        <v>79</v>
      </c>
      <c r="AG16" s="125" t="s">
        <v>78</v>
      </c>
    </row>
    <row r="17" spans="1:34">
      <c r="A17" s="122">
        <v>11</v>
      </c>
      <c r="B17" s="125" t="s">
        <v>80</v>
      </c>
      <c r="C17" s="128">
        <f>C6*C43+C18</f>
        <v>410900.00000000006</v>
      </c>
      <c r="D17" s="128">
        <f>D6*D43+D18</f>
        <v>410900.00000000006</v>
      </c>
      <c r="E17" s="128">
        <f>+SUM(C17:D17)</f>
        <v>821800.00000000012</v>
      </c>
      <c r="F17" s="129"/>
      <c r="P17" s="125" t="s">
        <v>80</v>
      </c>
      <c r="AF17" s="125" t="s">
        <v>81</v>
      </c>
      <c r="AG17" s="125" t="s">
        <v>80</v>
      </c>
    </row>
    <row r="18" spans="1:34" s="118" customFormat="1">
      <c r="A18" s="122">
        <v>12</v>
      </c>
      <c r="B18" s="132" t="s">
        <v>82</v>
      </c>
      <c r="C18" s="133">
        <f>$E$18/$E$6*C6</f>
        <v>66500</v>
      </c>
      <c r="D18" s="133">
        <f>$E$18/$E$6*D6</f>
        <v>66500</v>
      </c>
      <c r="E18" s="128">
        <f>项目投资!F26</f>
        <v>133000</v>
      </c>
      <c r="F18" s="134" t="s">
        <v>83</v>
      </c>
      <c r="G18" s="134"/>
      <c r="H18" s="134"/>
    </row>
    <row r="19" spans="1:34">
      <c r="A19" s="122">
        <v>13</v>
      </c>
      <c r="B19" s="125" t="s">
        <v>84</v>
      </c>
      <c r="C19" s="128">
        <f>C6*C44</f>
        <v>58800</v>
      </c>
      <c r="D19" s="128">
        <f>D6*D44</f>
        <v>58800</v>
      </c>
      <c r="E19" s="128">
        <f>+SUM(C19:D19)</f>
        <v>117600</v>
      </c>
      <c r="F19" s="118"/>
      <c r="P19" s="125" t="s">
        <v>84</v>
      </c>
      <c r="AF19" s="125" t="s">
        <v>85</v>
      </c>
      <c r="AG19" s="125" t="s">
        <v>84</v>
      </c>
      <c r="AH19" s="120" t="s">
        <v>56</v>
      </c>
    </row>
    <row r="20" spans="1:34">
      <c r="A20" s="122">
        <v>14</v>
      </c>
      <c r="B20" s="125" t="s">
        <v>86</v>
      </c>
      <c r="C20" s="128">
        <f>C6*C45</f>
        <v>285600</v>
      </c>
      <c r="D20" s="128">
        <f>D6*D45</f>
        <v>285600</v>
      </c>
      <c r="E20" s="128">
        <f>+SUM(C20:D20)</f>
        <v>571200</v>
      </c>
      <c r="P20" s="125" t="s">
        <v>86</v>
      </c>
      <c r="AF20" s="125" t="s">
        <v>87</v>
      </c>
      <c r="AG20" s="125" t="s">
        <v>86</v>
      </c>
    </row>
    <row r="21" spans="1:34">
      <c r="A21" s="122">
        <v>15</v>
      </c>
      <c r="B21" s="125" t="s">
        <v>88</v>
      </c>
      <c r="C21" s="135">
        <f>$E$21/$E$6*C6</f>
        <v>0</v>
      </c>
      <c r="D21" s="135">
        <f>$E$21/$E$6*D6</f>
        <v>0</v>
      </c>
      <c r="E21" s="128">
        <f>项目投资!E27</f>
        <v>0</v>
      </c>
      <c r="P21" s="125" t="s">
        <v>88</v>
      </c>
      <c r="AF21" s="125"/>
      <c r="AG21" s="125"/>
    </row>
    <row r="22" spans="1:34">
      <c r="A22" s="122">
        <v>16</v>
      </c>
      <c r="B22" s="125" t="s">
        <v>89</v>
      </c>
      <c r="C22" s="128">
        <f>C6*C47</f>
        <v>252000</v>
      </c>
      <c r="D22" s="128">
        <f>D6*D47</f>
        <v>252000</v>
      </c>
      <c r="E22" s="128">
        <f>+SUM(C22:D22)</f>
        <v>504000</v>
      </c>
      <c r="P22" s="125" t="s">
        <v>89</v>
      </c>
      <c r="AF22" s="125" t="s">
        <v>90</v>
      </c>
      <c r="AG22" s="125" t="s">
        <v>89</v>
      </c>
    </row>
    <row r="23" spans="1:34" ht="15.6">
      <c r="A23" s="122">
        <v>17</v>
      </c>
      <c r="B23" s="130" t="s">
        <v>91</v>
      </c>
      <c r="C23" s="135">
        <f>+C22+C21+C20+C19+C17</f>
        <v>1007300</v>
      </c>
      <c r="D23" s="135">
        <f>+D22+D21+D20+D19+D17</f>
        <v>1007300</v>
      </c>
      <c r="E23" s="128">
        <f>+SUM(C23:D23)</f>
        <v>2014600</v>
      </c>
      <c r="P23" s="130" t="s">
        <v>91</v>
      </c>
      <c r="AF23" s="125" t="s">
        <v>92</v>
      </c>
      <c r="AG23" s="130" t="s">
        <v>91</v>
      </c>
    </row>
    <row r="24" spans="1:34">
      <c r="A24" s="122">
        <v>18</v>
      </c>
      <c r="B24" s="136" t="s">
        <v>93</v>
      </c>
      <c r="C24" s="135">
        <f>+C15-C23</f>
        <v>-980150.63794871978</v>
      </c>
      <c r="D24" s="135">
        <f>+D15-D23</f>
        <v>-1038862.7979487199</v>
      </c>
      <c r="E24" s="128">
        <f>+SUM(C24:D24)</f>
        <v>-2019013.4358974397</v>
      </c>
      <c r="G24" s="137"/>
      <c r="P24" s="125" t="s">
        <v>93</v>
      </c>
      <c r="AF24" s="125" t="s">
        <v>94</v>
      </c>
      <c r="AG24" s="125" t="s">
        <v>93</v>
      </c>
    </row>
    <row r="25" spans="1:34">
      <c r="A25" s="122">
        <v>19</v>
      </c>
      <c r="B25" s="125" t="s">
        <v>160</v>
      </c>
      <c r="C25" s="135">
        <f>IF(C24&lt;0,0,C24*0.25)</f>
        <v>0</v>
      </c>
      <c r="D25" s="135">
        <f>IF(D24&lt;0,0,D24*0.25)</f>
        <v>0</v>
      </c>
      <c r="E25" s="128">
        <f>+SUM(C25:D25)</f>
        <v>0</v>
      </c>
      <c r="F25" s="14"/>
      <c r="G25" s="14"/>
      <c r="H25" s="14"/>
      <c r="P25" s="125" t="s">
        <v>36</v>
      </c>
      <c r="AF25" s="125" t="s">
        <v>95</v>
      </c>
      <c r="AG25" s="125" t="s">
        <v>36</v>
      </c>
    </row>
    <row r="26" spans="1:34">
      <c r="A26" s="122">
        <v>20</v>
      </c>
      <c r="B26" s="125" t="s">
        <v>96</v>
      </c>
      <c r="C26" s="135">
        <f>C24-C25</f>
        <v>-980150.63794871978</v>
      </c>
      <c r="D26" s="135">
        <f>D24-D25</f>
        <v>-1038862.7979487199</v>
      </c>
      <c r="E26" s="128">
        <f>+SUM(C26:D26)</f>
        <v>-2019013.4358974397</v>
      </c>
      <c r="F26" s="14"/>
      <c r="G26" s="14"/>
      <c r="H26" s="14"/>
      <c r="P26" s="125" t="s">
        <v>96</v>
      </c>
      <c r="AF26" s="125" t="s">
        <v>97</v>
      </c>
      <c r="AG26" s="125" t="s">
        <v>96</v>
      </c>
    </row>
    <row r="27" spans="1:34">
      <c r="A27" s="122">
        <v>21</v>
      </c>
      <c r="B27" s="125" t="s">
        <v>100</v>
      </c>
      <c r="C27" s="138">
        <f>C26/C7</f>
        <v>-0.11668459975579998</v>
      </c>
      <c r="D27" s="138">
        <f>D26/D7</f>
        <v>-0.12367414261294285</v>
      </c>
      <c r="E27" s="138">
        <f>E26/E7</f>
        <v>-0.12017937118437141</v>
      </c>
      <c r="F27" s="14"/>
      <c r="G27" s="14"/>
      <c r="H27" s="14"/>
      <c r="P27" s="125" t="s">
        <v>100</v>
      </c>
      <c r="AF27" s="125" t="s">
        <v>99</v>
      </c>
      <c r="AG27" s="125" t="s">
        <v>100</v>
      </c>
    </row>
    <row r="28" spans="1:34">
      <c r="F28" s="14"/>
      <c r="G28" s="14"/>
      <c r="H28" s="14"/>
      <c r="P28" s="125"/>
    </row>
    <row r="29" spans="1:34">
      <c r="A29" s="120" t="s">
        <v>101</v>
      </c>
      <c r="E29" s="121" t="s">
        <v>161</v>
      </c>
      <c r="F29" s="14"/>
      <c r="G29" s="14"/>
      <c r="H29" s="14"/>
      <c r="P29" s="125"/>
      <c r="AF29" s="120" t="s">
        <v>101</v>
      </c>
    </row>
    <row r="30" spans="1:34" ht="15.6">
      <c r="A30" s="125" t="s">
        <v>103</v>
      </c>
      <c r="B30" s="130" t="s">
        <v>104</v>
      </c>
      <c r="C30" s="135"/>
      <c r="D30" s="135"/>
      <c r="E30" s="135"/>
      <c r="F30" s="14"/>
      <c r="G30" s="14"/>
      <c r="H30" s="14"/>
      <c r="J30" s="14"/>
      <c r="P30" s="130" t="s">
        <v>104</v>
      </c>
      <c r="AF30" s="125" t="s">
        <v>105</v>
      </c>
      <c r="AG30" s="130" t="s">
        <v>104</v>
      </c>
    </row>
    <row r="31" spans="1:34">
      <c r="A31" s="122">
        <v>1</v>
      </c>
      <c r="B31" s="132" t="s">
        <v>106</v>
      </c>
      <c r="C31" s="139">
        <f>(C7-C8)/C6</f>
        <v>96.768000000000001</v>
      </c>
      <c r="D31" s="139">
        <f>(D7-D8)/D6</f>
        <v>96.768000000000001</v>
      </c>
      <c r="E31" s="135"/>
      <c r="F31" s="14"/>
      <c r="G31" s="14"/>
      <c r="H31" s="14"/>
      <c r="J31" s="14"/>
      <c r="P31" s="125" t="s">
        <v>106</v>
      </c>
      <c r="AF31" s="125" t="s">
        <v>58</v>
      </c>
      <c r="AG31" s="125" t="s">
        <v>106</v>
      </c>
    </row>
    <row r="32" spans="1:34">
      <c r="A32" s="122">
        <v>2</v>
      </c>
      <c r="B32" s="125" t="s">
        <v>162</v>
      </c>
      <c r="C32" s="128">
        <f>C31*1</f>
        <v>96.768000000000001</v>
      </c>
      <c r="D32" s="128">
        <f>D31*1</f>
        <v>96.768000000000001</v>
      </c>
      <c r="E32" s="135"/>
      <c r="F32" s="14"/>
      <c r="G32" s="14"/>
      <c r="H32" s="14"/>
      <c r="I32" s="14"/>
      <c r="J32" s="14"/>
      <c r="K32" s="14"/>
      <c r="L32" s="14"/>
      <c r="AF32" s="125"/>
      <c r="AG32" s="125"/>
    </row>
    <row r="33" spans="1:33">
      <c r="A33" s="122">
        <v>3</v>
      </c>
      <c r="B33" s="132" t="s">
        <v>107</v>
      </c>
      <c r="C33" s="128">
        <f>材料成本!D28</f>
        <v>75.140274000000005</v>
      </c>
      <c r="D33" s="128">
        <f>材料成本!E28</f>
        <v>75.874176000000006</v>
      </c>
      <c r="E33" s="135"/>
      <c r="G33" s="14"/>
      <c r="H33" s="14"/>
      <c r="I33" s="14"/>
      <c r="J33" s="14"/>
      <c r="K33" s="14"/>
      <c r="L33" s="14"/>
      <c r="P33" s="125" t="s">
        <v>107</v>
      </c>
      <c r="AF33" s="125" t="s">
        <v>60</v>
      </c>
      <c r="AG33" s="125" t="s">
        <v>107</v>
      </c>
    </row>
    <row r="34" spans="1:33" ht="17.25" customHeight="1">
      <c r="A34" s="122">
        <v>4</v>
      </c>
      <c r="B34" s="125" t="s">
        <v>109</v>
      </c>
      <c r="C34" s="140">
        <f>C32-C33</f>
        <v>21.627725999999999</v>
      </c>
      <c r="D34" s="140">
        <f>D32-D33</f>
        <v>20.893823999999999</v>
      </c>
      <c r="E34" s="135"/>
      <c r="G34" s="14"/>
      <c r="H34" s="14"/>
      <c r="I34" s="14"/>
      <c r="J34" s="14"/>
      <c r="K34" s="14"/>
      <c r="L34" s="14"/>
      <c r="P34" s="125" t="s">
        <v>109</v>
      </c>
      <c r="AF34" s="125" t="s">
        <v>108</v>
      </c>
      <c r="AG34" s="125" t="s">
        <v>109</v>
      </c>
    </row>
    <row r="35" spans="1:33" ht="15.6">
      <c r="A35" s="125" t="s">
        <v>105</v>
      </c>
      <c r="B35" s="130" t="s">
        <v>9</v>
      </c>
      <c r="C35" s="135"/>
      <c r="D35" s="135"/>
      <c r="E35" s="135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30" t="s">
        <v>9</v>
      </c>
      <c r="AF35" s="125" t="s">
        <v>111</v>
      </c>
      <c r="AG35" s="130" t="s">
        <v>9</v>
      </c>
    </row>
    <row r="36" spans="1:33">
      <c r="A36" s="122">
        <v>1</v>
      </c>
      <c r="B36" s="125" t="s">
        <v>112</v>
      </c>
      <c r="C36" s="133">
        <f>标准成本!E4</f>
        <v>4.5255000000000001</v>
      </c>
      <c r="D36" s="133">
        <f>标准成本!E16</f>
        <v>4.5255000000000001</v>
      </c>
      <c r="E36" s="139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25" t="s">
        <v>112</v>
      </c>
      <c r="AF36" s="125" t="s">
        <v>108</v>
      </c>
      <c r="AG36" s="125" t="s">
        <v>112</v>
      </c>
    </row>
    <row r="37" spans="1:33">
      <c r="A37" s="122">
        <v>2</v>
      </c>
      <c r="B37" s="125" t="s">
        <v>113</v>
      </c>
      <c r="C37" s="133">
        <f>标准成本!E6</f>
        <v>2.2785000000000002</v>
      </c>
      <c r="D37" s="133">
        <f>标准成本!E18</f>
        <v>2.2785000000000002</v>
      </c>
      <c r="E37" s="139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25" t="s">
        <v>113</v>
      </c>
      <c r="AF37" s="125" t="s">
        <v>63</v>
      </c>
      <c r="AG37" s="125" t="s">
        <v>113</v>
      </c>
    </row>
    <row r="38" spans="1:33">
      <c r="A38" s="122">
        <v>3</v>
      </c>
      <c r="B38" s="125" t="s">
        <v>114</v>
      </c>
      <c r="C38" s="133">
        <f>标准成本!E10</f>
        <v>14.484358974358999</v>
      </c>
      <c r="D38" s="133">
        <f>标准成本!E22</f>
        <v>14.484358974358999</v>
      </c>
      <c r="E38" s="139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25" t="s">
        <v>114</v>
      </c>
      <c r="AF38" s="125" t="s">
        <v>69</v>
      </c>
      <c r="AG38" s="125" t="s">
        <v>114</v>
      </c>
    </row>
    <row r="39" spans="1:33" ht="15.6">
      <c r="A39" s="125" t="s">
        <v>111</v>
      </c>
      <c r="B39" s="130" t="s">
        <v>116</v>
      </c>
      <c r="C39" s="135"/>
      <c r="D39" s="135"/>
      <c r="E39" s="135"/>
      <c r="P39" s="130" t="s">
        <v>116</v>
      </c>
      <c r="AF39" s="125" t="s">
        <v>115</v>
      </c>
      <c r="AG39" s="130" t="s">
        <v>116</v>
      </c>
    </row>
    <row r="40" spans="1:33">
      <c r="A40" s="122">
        <v>1</v>
      </c>
      <c r="B40" s="125" t="s">
        <v>118</v>
      </c>
      <c r="C40" s="135">
        <f>C34-C36-C37-C38</f>
        <v>0.33936702564099797</v>
      </c>
      <c r="D40" s="135">
        <f>D34-D36-D37-D38</f>
        <v>-0.39453497435900253</v>
      </c>
      <c r="E40" s="135"/>
      <c r="P40" s="125" t="s">
        <v>118</v>
      </c>
      <c r="AF40" s="125" t="s">
        <v>58</v>
      </c>
      <c r="AG40" s="125" t="s">
        <v>118</v>
      </c>
    </row>
    <row r="41" spans="1:33">
      <c r="A41" s="122">
        <v>2</v>
      </c>
      <c r="B41" s="125" t="s">
        <v>119</v>
      </c>
      <c r="C41" s="135"/>
      <c r="D41" s="135"/>
      <c r="E41" s="135"/>
      <c r="P41" s="125" t="s">
        <v>119</v>
      </c>
      <c r="AF41" s="125" t="s">
        <v>60</v>
      </c>
      <c r="AG41" s="125" t="s">
        <v>119</v>
      </c>
    </row>
    <row r="42" spans="1:33" ht="15.6">
      <c r="A42" s="125" t="s">
        <v>115</v>
      </c>
      <c r="B42" s="130" t="s">
        <v>121</v>
      </c>
      <c r="C42" s="135"/>
      <c r="D42" s="135"/>
      <c r="E42" s="135"/>
      <c r="P42" s="130" t="s">
        <v>121</v>
      </c>
      <c r="AF42" s="125" t="s">
        <v>120</v>
      </c>
      <c r="AG42" s="130" t="s">
        <v>121</v>
      </c>
    </row>
    <row r="43" spans="1:33">
      <c r="A43" s="122">
        <v>1</v>
      </c>
      <c r="B43" s="136" t="s">
        <v>122</v>
      </c>
      <c r="C43" s="133">
        <f>标准成本!E5</f>
        <v>4.3050000000000006</v>
      </c>
      <c r="D43" s="133">
        <f>标准成本!E17</f>
        <v>4.3050000000000006</v>
      </c>
      <c r="E43" s="135"/>
      <c r="P43" s="125" t="s">
        <v>122</v>
      </c>
      <c r="AF43" s="125" t="s">
        <v>58</v>
      </c>
      <c r="AG43" s="125" t="s">
        <v>122</v>
      </c>
    </row>
    <row r="44" spans="1:33">
      <c r="A44" s="122">
        <v>2</v>
      </c>
      <c r="B44" s="136" t="s">
        <v>123</v>
      </c>
      <c r="C44" s="133">
        <f>标准成本!E9</f>
        <v>0.73499999999999999</v>
      </c>
      <c r="D44" s="133">
        <f>标准成本!E21</f>
        <v>0.73499999999999999</v>
      </c>
      <c r="E44" s="135"/>
      <c r="P44" s="125" t="s">
        <v>123</v>
      </c>
      <c r="AF44" s="125" t="s">
        <v>60</v>
      </c>
      <c r="AG44" s="125" t="s">
        <v>123</v>
      </c>
    </row>
    <row r="45" spans="1:33">
      <c r="A45" s="122">
        <v>3</v>
      </c>
      <c r="B45" s="136" t="s">
        <v>124</v>
      </c>
      <c r="C45" s="133">
        <f>标准成本!E8</f>
        <v>3.5700000000000003</v>
      </c>
      <c r="D45" s="133">
        <f>标准成本!E20</f>
        <v>3.5700000000000003</v>
      </c>
      <c r="E45" s="135"/>
      <c r="P45" s="125" t="s">
        <v>124</v>
      </c>
      <c r="AF45" s="125" t="s">
        <v>108</v>
      </c>
      <c r="AG45" s="125" t="s">
        <v>124</v>
      </c>
    </row>
    <row r="46" spans="1:33" s="119" customFormat="1">
      <c r="A46" s="122">
        <v>4</v>
      </c>
      <c r="B46" s="136" t="s">
        <v>125</v>
      </c>
      <c r="C46" s="141">
        <f>C21/C6</f>
        <v>0</v>
      </c>
      <c r="D46" s="141">
        <f>D21/D6</f>
        <v>0</v>
      </c>
      <c r="E46" s="141"/>
      <c r="P46" s="136" t="s">
        <v>127</v>
      </c>
      <c r="AF46" s="136" t="s">
        <v>65</v>
      </c>
      <c r="AG46" s="136" t="s">
        <v>127</v>
      </c>
    </row>
    <row r="47" spans="1:33" s="119" customFormat="1">
      <c r="A47" s="122">
        <v>5</v>
      </c>
      <c r="B47" s="136" t="s">
        <v>127</v>
      </c>
      <c r="C47" s="141">
        <f>标准成本!E11</f>
        <v>3.15</v>
      </c>
      <c r="D47" s="141">
        <f>标准成本!E23</f>
        <v>3.15</v>
      </c>
      <c r="E47" s="141"/>
      <c r="P47" s="136" t="s">
        <v>127</v>
      </c>
      <c r="AF47" s="136" t="s">
        <v>65</v>
      </c>
      <c r="AG47" s="136" t="s">
        <v>127</v>
      </c>
    </row>
    <row r="48" spans="1:33" ht="15.6">
      <c r="A48" s="125" t="s">
        <v>120</v>
      </c>
      <c r="B48" s="130" t="s">
        <v>138</v>
      </c>
      <c r="C48" s="135">
        <f>C40-C43-C44-C45-C47-C46</f>
        <v>-11.420632974359004</v>
      </c>
      <c r="D48" s="135">
        <f>D40-D43-D44-D45-D47-D46</f>
        <v>-12.154534974359004</v>
      </c>
      <c r="E48" s="135"/>
      <c r="P48" s="130" t="s">
        <v>138</v>
      </c>
      <c r="AF48" s="125" t="s">
        <v>137</v>
      </c>
      <c r="AG48" s="130" t="s">
        <v>138</v>
      </c>
    </row>
    <row r="51" spans="2:10">
      <c r="C51" s="142"/>
      <c r="D51" s="142"/>
    </row>
    <row r="54" spans="2:10">
      <c r="B54" s="14"/>
      <c r="C54" s="143"/>
      <c r="D54" s="143"/>
      <c r="E54" s="143"/>
      <c r="F54" s="14"/>
      <c r="G54" s="14"/>
      <c r="H54" s="14"/>
      <c r="I54" s="14"/>
      <c r="J54" s="14"/>
    </row>
    <row r="55" spans="2:10">
      <c r="B55" s="14"/>
      <c r="C55" s="143"/>
      <c r="D55" s="143"/>
      <c r="E55" s="143"/>
      <c r="F55" s="14"/>
      <c r="G55" s="14"/>
      <c r="H55" s="14"/>
      <c r="I55" s="14"/>
      <c r="J55" s="14"/>
    </row>
    <row r="56" spans="2:10">
      <c r="B56" s="14"/>
      <c r="C56" s="143"/>
      <c r="D56" s="143"/>
      <c r="E56" s="143"/>
      <c r="F56" s="14"/>
      <c r="G56" s="14"/>
      <c r="H56" s="14"/>
      <c r="I56" s="14"/>
      <c r="J56" s="14"/>
    </row>
    <row r="57" spans="2:10">
      <c r="B57" s="14"/>
      <c r="C57" s="143"/>
      <c r="D57" s="143"/>
      <c r="E57" s="143"/>
      <c r="F57" s="14"/>
      <c r="G57" s="14"/>
      <c r="H57" s="14"/>
      <c r="I57" s="14"/>
      <c r="J57" s="14"/>
    </row>
    <row r="58" spans="2:10">
      <c r="B58" s="14"/>
      <c r="C58" s="143"/>
      <c r="D58" s="143"/>
      <c r="E58" s="143"/>
      <c r="F58" s="14"/>
      <c r="G58" s="14"/>
      <c r="H58" s="14"/>
      <c r="I58" s="14"/>
      <c r="J58" s="14"/>
    </row>
    <row r="59" spans="2:10">
      <c r="B59" s="14"/>
      <c r="C59" s="143"/>
      <c r="D59" s="143"/>
      <c r="E59" s="143"/>
      <c r="F59" s="14"/>
      <c r="G59" s="14"/>
      <c r="H59" s="14"/>
      <c r="I59" s="14"/>
      <c r="J59" s="14"/>
    </row>
    <row r="60" spans="2:10">
      <c r="B60" s="14"/>
      <c r="C60" s="143"/>
      <c r="D60" s="143"/>
      <c r="E60" s="143"/>
      <c r="F60" s="14"/>
      <c r="G60" s="14"/>
      <c r="H60" s="14"/>
      <c r="I60" s="14"/>
      <c r="J60" s="14"/>
    </row>
    <row r="61" spans="2:10">
      <c r="B61" s="14"/>
      <c r="C61" s="143"/>
      <c r="D61" s="143"/>
      <c r="E61" s="143"/>
      <c r="F61" s="14"/>
      <c r="G61" s="14"/>
      <c r="H61" s="14"/>
      <c r="I61" s="14"/>
      <c r="J61" s="14"/>
    </row>
    <row r="62" spans="2:10">
      <c r="B62" s="14"/>
      <c r="C62" s="143"/>
      <c r="D62" s="143"/>
      <c r="E62" s="143"/>
      <c r="F62" s="14"/>
      <c r="G62" s="14"/>
      <c r="H62" s="14"/>
      <c r="I62" s="14"/>
      <c r="J62" s="14"/>
    </row>
    <row r="63" spans="2:10">
      <c r="B63" s="14"/>
      <c r="C63" s="143"/>
      <c r="D63" s="143"/>
      <c r="E63" s="143"/>
      <c r="F63" s="14"/>
      <c r="G63" s="14"/>
      <c r="H63" s="14"/>
      <c r="I63" s="14"/>
      <c r="J63" s="14"/>
    </row>
    <row r="64" spans="2:10">
      <c r="B64" s="14"/>
      <c r="C64" s="143"/>
      <c r="D64" s="143"/>
      <c r="E64" s="143"/>
      <c r="F64" s="14"/>
      <c r="G64" s="14"/>
      <c r="H64" s="14"/>
      <c r="I64" s="14"/>
      <c r="J64" s="14"/>
    </row>
    <row r="65" spans="2:10">
      <c r="B65" s="14"/>
      <c r="C65" s="143"/>
      <c r="D65" s="143"/>
      <c r="E65" s="143"/>
      <c r="F65" s="14"/>
      <c r="G65" s="14"/>
      <c r="H65" s="14"/>
      <c r="I65" s="14"/>
      <c r="J65" s="14"/>
    </row>
    <row r="66" spans="2:10">
      <c r="B66" s="14"/>
      <c r="C66" s="143"/>
      <c r="D66" s="143"/>
      <c r="E66" s="143"/>
      <c r="F66" s="14"/>
      <c r="G66" s="14"/>
      <c r="H66" s="14"/>
      <c r="I66" s="14"/>
      <c r="J66" s="14"/>
    </row>
    <row r="67" spans="2:10">
      <c r="B67" s="14"/>
      <c r="C67" s="143"/>
      <c r="D67" s="143"/>
      <c r="E67" s="143"/>
      <c r="F67" s="14"/>
    </row>
    <row r="68" spans="2:10">
      <c r="B68" s="14"/>
      <c r="C68" s="143"/>
      <c r="D68" s="143"/>
      <c r="E68" s="143"/>
      <c r="F68" s="14"/>
    </row>
    <row r="69" spans="2:10">
      <c r="B69" s="14"/>
      <c r="C69" s="143"/>
      <c r="D69" s="143"/>
      <c r="E69" s="143"/>
      <c r="F69" s="14"/>
    </row>
    <row r="70" spans="2:10">
      <c r="B70" s="14"/>
      <c r="C70" s="143"/>
      <c r="D70" s="143"/>
      <c r="E70" s="143"/>
      <c r="F70" s="14"/>
    </row>
    <row r="71" spans="2:10">
      <c r="B71" s="14"/>
      <c r="C71" s="143"/>
      <c r="D71" s="143"/>
      <c r="E71" s="143"/>
      <c r="F71" s="14"/>
    </row>
    <row r="72" spans="2:10">
      <c r="B72" s="14"/>
      <c r="C72" s="143"/>
      <c r="D72" s="143"/>
      <c r="E72" s="143"/>
      <c r="F72" s="14"/>
    </row>
    <row r="73" spans="2:10">
      <c r="B73" s="14"/>
      <c r="C73" s="143"/>
      <c r="D73" s="143"/>
      <c r="E73" s="143"/>
      <c r="F73" s="14"/>
    </row>
    <row r="74" spans="2:10">
      <c r="B74" s="14"/>
      <c r="C74" s="143"/>
      <c r="D74" s="143"/>
      <c r="E74" s="143"/>
      <c r="F74" s="14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53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pane xSplit="6" ySplit="2" topLeftCell="G3" activePane="bottomRight" state="frozen"/>
      <selection pane="topRight"/>
      <selection pane="bottomLeft"/>
      <selection pane="bottomRight" activeCell="B19" sqref="B19"/>
    </sheetView>
  </sheetViews>
  <sheetFormatPr defaultColWidth="9" defaultRowHeight="14.4"/>
  <cols>
    <col min="1" max="1" width="19.44140625" customWidth="1"/>
    <col min="2" max="2" width="14.88671875" style="85" customWidth="1"/>
    <col min="3" max="3" width="9.21875" customWidth="1"/>
    <col min="4" max="4" width="15.44140625" customWidth="1"/>
    <col min="5" max="5" width="19.21875" customWidth="1"/>
    <col min="6" max="6" width="15.44140625" customWidth="1"/>
    <col min="7" max="7" width="17.44140625" customWidth="1"/>
    <col min="8" max="10" width="13" customWidth="1"/>
    <col min="11" max="11" width="14.88671875" customWidth="1"/>
    <col min="12" max="12" width="13" customWidth="1"/>
  </cols>
  <sheetData>
    <row r="1" spans="1:12" ht="20.399999999999999">
      <c r="A1" s="232" t="s">
        <v>165</v>
      </c>
      <c r="B1" s="232"/>
      <c r="C1" s="232"/>
      <c r="E1" s="233" t="s">
        <v>166</v>
      </c>
      <c r="F1" s="234"/>
      <c r="G1" s="234"/>
      <c r="H1" s="235"/>
      <c r="I1" s="111"/>
      <c r="J1" s="111"/>
    </row>
    <row r="2" spans="1:12" ht="23.4" customHeight="1">
      <c r="A2" s="86" t="s">
        <v>1</v>
      </c>
      <c r="B2" s="87" t="s">
        <v>167</v>
      </c>
      <c r="C2" s="88" t="s">
        <v>168</v>
      </c>
      <c r="E2" s="89" t="s">
        <v>169</v>
      </c>
      <c r="F2" s="89" t="s">
        <v>1</v>
      </c>
      <c r="G2" s="90" t="s">
        <v>170</v>
      </c>
      <c r="H2" s="89" t="s">
        <v>168</v>
      </c>
      <c r="I2" s="8"/>
      <c r="J2" s="8"/>
    </row>
    <row r="3" spans="1:12" ht="15.75" customHeight="1">
      <c r="A3" s="91" t="s">
        <v>171</v>
      </c>
      <c r="B3" s="92"/>
      <c r="C3" s="93"/>
      <c r="E3" s="240" t="s">
        <v>172</v>
      </c>
      <c r="F3" s="94" t="s">
        <v>173</v>
      </c>
      <c r="G3" s="95">
        <v>0</v>
      </c>
      <c r="H3" s="94"/>
    </row>
    <row r="4" spans="1:12" ht="15.75" customHeight="1">
      <c r="A4" s="91" t="s">
        <v>174</v>
      </c>
      <c r="B4" s="92"/>
      <c r="C4" s="96"/>
      <c r="E4" s="241"/>
      <c r="F4" s="94" t="s">
        <v>175</v>
      </c>
      <c r="G4" s="95"/>
      <c r="H4" s="94"/>
    </row>
    <row r="5" spans="1:12" ht="15.75" customHeight="1">
      <c r="A5" s="91" t="s">
        <v>176</v>
      </c>
      <c r="B5" s="97">
        <f>SUM(G3:G4)</f>
        <v>0</v>
      </c>
      <c r="C5" s="93"/>
      <c r="E5" s="242" t="s">
        <v>177</v>
      </c>
      <c r="F5" s="98" t="s">
        <v>178</v>
      </c>
      <c r="G5" s="95"/>
      <c r="H5" s="98"/>
      <c r="I5" s="112"/>
      <c r="J5" s="112"/>
    </row>
    <row r="6" spans="1:12" ht="15.75" customHeight="1">
      <c r="A6" s="91" t="s">
        <v>179</v>
      </c>
      <c r="B6" s="92"/>
      <c r="C6" s="93"/>
      <c r="E6" s="243"/>
      <c r="F6" s="98" t="s">
        <v>180</v>
      </c>
      <c r="G6" s="95">
        <v>26</v>
      </c>
      <c r="H6" s="94"/>
      <c r="L6">
        <v>10000</v>
      </c>
    </row>
    <row r="7" spans="1:12" ht="15.75" customHeight="1">
      <c r="A7" s="99" t="s">
        <v>181</v>
      </c>
      <c r="B7" s="97">
        <f>SUM(B3:B6)</f>
        <v>0</v>
      </c>
      <c r="C7" s="93"/>
      <c r="E7" s="243"/>
      <c r="F7" s="98" t="s">
        <v>182</v>
      </c>
      <c r="G7" s="95"/>
      <c r="H7" s="94"/>
    </row>
    <row r="8" spans="1:12" ht="15.75" customHeight="1">
      <c r="A8" s="100" t="s">
        <v>183</v>
      </c>
      <c r="B8" s="97">
        <f>SUM(G5:G12)</f>
        <v>42</v>
      </c>
      <c r="C8" s="101"/>
      <c r="E8" s="243"/>
      <c r="F8" s="98" t="s">
        <v>184</v>
      </c>
      <c r="G8" s="95"/>
      <c r="H8" s="94"/>
    </row>
    <row r="9" spans="1:12" ht="15.75" customHeight="1">
      <c r="A9" s="91" t="s">
        <v>185</v>
      </c>
      <c r="B9" s="97">
        <f>SUM(G13:G21)</f>
        <v>0</v>
      </c>
      <c r="C9" s="93"/>
      <c r="E9" s="243"/>
      <c r="F9" s="94" t="s">
        <v>186</v>
      </c>
      <c r="G9" s="95"/>
      <c r="H9" s="102"/>
      <c r="I9" s="113"/>
      <c r="J9" s="113"/>
    </row>
    <row r="10" spans="1:12" ht="15.75" customHeight="1">
      <c r="A10" s="96" t="s">
        <v>54</v>
      </c>
      <c r="B10" s="97">
        <f>B7+B8+B9</f>
        <v>42</v>
      </c>
      <c r="C10" s="93"/>
      <c r="E10" s="243"/>
      <c r="F10" s="94" t="s">
        <v>187</v>
      </c>
      <c r="G10" s="103"/>
      <c r="H10" s="94"/>
    </row>
    <row r="11" spans="1:12" ht="15.75" customHeight="1">
      <c r="E11" s="243"/>
      <c r="F11" s="94" t="s">
        <v>188</v>
      </c>
      <c r="G11" s="103"/>
      <c r="H11" s="94"/>
    </row>
    <row r="12" spans="1:12" ht="15.75" customHeight="1">
      <c r="E12" s="244"/>
      <c r="F12" s="94" t="s">
        <v>189</v>
      </c>
      <c r="G12" s="95">
        <v>16</v>
      </c>
      <c r="H12" s="102"/>
      <c r="I12" s="113"/>
      <c r="J12" s="113"/>
    </row>
    <row r="13" spans="1:12" ht="15.75" customHeight="1">
      <c r="E13" s="240" t="s">
        <v>88</v>
      </c>
      <c r="F13" s="94" t="s">
        <v>190</v>
      </c>
      <c r="G13" s="95"/>
      <c r="H13" s="104"/>
      <c r="I13" s="114"/>
      <c r="J13" s="114"/>
    </row>
    <row r="14" spans="1:12" ht="15.75" customHeight="1">
      <c r="E14" s="241"/>
      <c r="F14" s="94" t="s">
        <v>191</v>
      </c>
      <c r="G14" s="95"/>
      <c r="H14" s="94"/>
    </row>
    <row r="15" spans="1:12" ht="15.75" customHeight="1">
      <c r="E15" s="241"/>
      <c r="F15" s="94" t="s">
        <v>192</v>
      </c>
      <c r="G15" s="95"/>
      <c r="H15" s="94"/>
    </row>
    <row r="16" spans="1:12" ht="15.75" customHeight="1">
      <c r="E16" s="241"/>
      <c r="F16" s="94" t="s">
        <v>193</v>
      </c>
      <c r="G16" s="95"/>
      <c r="H16" s="94"/>
    </row>
    <row r="17" spans="1:12" ht="15.75" customHeight="1">
      <c r="E17" s="241"/>
      <c r="F17" s="94" t="s">
        <v>194</v>
      </c>
      <c r="G17" s="95"/>
      <c r="H17" s="94"/>
    </row>
    <row r="18" spans="1:12" ht="15.75" customHeight="1">
      <c r="E18" s="241"/>
      <c r="F18" s="94" t="s">
        <v>195</v>
      </c>
      <c r="G18" s="95"/>
      <c r="H18" s="94"/>
    </row>
    <row r="19" spans="1:12" ht="15.75" customHeight="1">
      <c r="E19" s="241"/>
      <c r="F19" s="94" t="s">
        <v>196</v>
      </c>
      <c r="G19" s="95"/>
      <c r="H19" s="94"/>
    </row>
    <row r="20" spans="1:12" ht="15.75" customHeight="1">
      <c r="E20" s="241"/>
      <c r="F20" s="94" t="s">
        <v>197</v>
      </c>
      <c r="G20" s="95"/>
      <c r="H20" s="94"/>
    </row>
    <row r="21" spans="1:12" ht="15.75" customHeight="1">
      <c r="E21" s="245"/>
      <c r="F21" s="94" t="s">
        <v>37</v>
      </c>
      <c r="G21" s="95"/>
      <c r="H21" s="94"/>
    </row>
    <row r="22" spans="1:12" ht="15.75" customHeight="1">
      <c r="E22" s="89" t="s">
        <v>54</v>
      </c>
      <c r="F22" s="94"/>
      <c r="G22" s="90">
        <f>SUM(G3:G21)</f>
        <v>42</v>
      </c>
      <c r="H22" s="94"/>
    </row>
    <row r="23" spans="1:12" ht="30.75" customHeight="1">
      <c r="E23" s="236" t="s">
        <v>198</v>
      </c>
      <c r="F23" s="236"/>
      <c r="G23" s="236"/>
      <c r="H23" s="236"/>
      <c r="I23" s="115"/>
      <c r="J23" s="115"/>
    </row>
    <row r="25" spans="1:12" ht="17.399999999999999">
      <c r="A25" s="105" t="s">
        <v>1</v>
      </c>
      <c r="B25" s="105" t="s">
        <v>167</v>
      </c>
      <c r="C25" s="105" t="s">
        <v>199</v>
      </c>
      <c r="D25" s="106" t="s">
        <v>200</v>
      </c>
      <c r="E25" s="106" t="s">
        <v>102</v>
      </c>
      <c r="F25" s="106" t="s">
        <v>53</v>
      </c>
      <c r="G25" s="106" t="s">
        <v>201</v>
      </c>
      <c r="H25" s="106" t="s">
        <v>202</v>
      </c>
      <c r="I25" s="106" t="s">
        <v>203</v>
      </c>
      <c r="J25" s="106" t="s">
        <v>204</v>
      </c>
      <c r="K25" s="106" t="s">
        <v>54</v>
      </c>
      <c r="L25" s="116" t="s">
        <v>205</v>
      </c>
    </row>
    <row r="26" spans="1:12">
      <c r="A26" s="107" t="s">
        <v>82</v>
      </c>
      <c r="B26" s="108">
        <f>(B5+B8)*10000</f>
        <v>420000</v>
      </c>
      <c r="C26" s="109">
        <v>0.05</v>
      </c>
      <c r="D26" s="110">
        <f>B26*(1-C26)/3</f>
        <v>133000</v>
      </c>
      <c r="E26" s="110">
        <f>D26</f>
        <v>133000</v>
      </c>
      <c r="F26" s="110">
        <f>E26</f>
        <v>133000</v>
      </c>
      <c r="G26" s="110"/>
      <c r="H26" s="110"/>
      <c r="I26" s="110"/>
      <c r="J26" s="110"/>
      <c r="K26" s="110">
        <f>SUM(D26:J26)</f>
        <v>399000</v>
      </c>
      <c r="L26" s="110">
        <f>B26*0.05</f>
        <v>21000</v>
      </c>
    </row>
    <row r="27" spans="1:12">
      <c r="A27" s="107" t="s">
        <v>206</v>
      </c>
      <c r="B27" s="108">
        <f>B9*10000</f>
        <v>0</v>
      </c>
      <c r="C27" s="110"/>
      <c r="D27" s="110">
        <f>B27/3</f>
        <v>0</v>
      </c>
      <c r="E27" s="110">
        <f t="shared" ref="E27:F27" si="0">D27</f>
        <v>0</v>
      </c>
      <c r="F27" s="110">
        <f t="shared" si="0"/>
        <v>0</v>
      </c>
      <c r="G27" s="110">
        <f>F27</f>
        <v>0</v>
      </c>
      <c r="H27" s="110">
        <f>G27</f>
        <v>0</v>
      </c>
      <c r="I27" s="110">
        <f>H27</f>
        <v>0</v>
      </c>
      <c r="J27" s="110">
        <f>I27</f>
        <v>0</v>
      </c>
      <c r="K27" s="110">
        <f>SUM(D27:J27)</f>
        <v>0</v>
      </c>
      <c r="L27" s="110"/>
    </row>
    <row r="28" spans="1:12">
      <c r="A28" s="237" t="s">
        <v>146</v>
      </c>
      <c r="B28" s="238"/>
      <c r="C28" s="239"/>
      <c r="D28" s="110">
        <f>SUM(D26:D27)</f>
        <v>133000</v>
      </c>
      <c r="E28" s="110">
        <f t="shared" ref="E28:K28" si="1">SUM(E26:E27)</f>
        <v>133000</v>
      </c>
      <c r="F28" s="110">
        <f t="shared" si="1"/>
        <v>133000</v>
      </c>
      <c r="G28" s="110">
        <f t="shared" si="1"/>
        <v>0</v>
      </c>
      <c r="H28" s="110">
        <f t="shared" si="1"/>
        <v>0</v>
      </c>
      <c r="I28" s="110">
        <f t="shared" si="1"/>
        <v>0</v>
      </c>
      <c r="J28" s="110">
        <f t="shared" si="1"/>
        <v>0</v>
      </c>
      <c r="K28" s="110">
        <f t="shared" si="1"/>
        <v>399000</v>
      </c>
      <c r="L28" s="117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53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opLeftCell="A4" zoomScale="85" zoomScaleNormal="85" workbookViewId="0">
      <selection activeCell="E9" sqref="E9"/>
    </sheetView>
  </sheetViews>
  <sheetFormatPr defaultColWidth="9" defaultRowHeight="15.6"/>
  <cols>
    <col min="1" max="1" width="14" style="59" customWidth="1"/>
    <col min="2" max="2" width="14.109375" style="59" customWidth="1"/>
    <col min="3" max="3" width="14.77734375" style="59" customWidth="1"/>
    <col min="4" max="4" width="15.88671875" style="59" customWidth="1"/>
    <col min="5" max="5" width="12.88671875" style="59" customWidth="1"/>
    <col min="6" max="6" width="11.109375" style="59" customWidth="1"/>
    <col min="7" max="7" width="13.21875" style="59" hidden="1" customWidth="1"/>
    <col min="8" max="8" width="12.109375" style="59" hidden="1" customWidth="1"/>
    <col min="9" max="9" width="13.109375" style="59" hidden="1" customWidth="1"/>
    <col min="10" max="12" width="12.109375" style="59" hidden="1" customWidth="1"/>
    <col min="13" max="13" width="11.6640625" style="59" customWidth="1"/>
    <col min="14" max="14" width="9.21875" style="59" customWidth="1"/>
    <col min="15" max="15" width="9.109375" style="60" customWidth="1"/>
    <col min="16" max="16" width="12.88671875" style="60"/>
    <col min="17" max="17" width="18.33203125" style="59" customWidth="1"/>
    <col min="18" max="19" width="20.21875" style="59"/>
    <col min="20" max="20" width="15.6640625" style="59"/>
    <col min="21" max="16384" width="9" style="59"/>
  </cols>
  <sheetData>
    <row r="1" spans="1:20" ht="29.25" customHeight="1">
      <c r="A1" s="61" t="s">
        <v>207</v>
      </c>
      <c r="E1" s="62"/>
      <c r="F1" s="62"/>
      <c r="G1" s="62"/>
      <c r="H1" s="62"/>
      <c r="I1" s="62"/>
      <c r="J1" s="62"/>
      <c r="K1" s="62"/>
      <c r="L1" s="62"/>
      <c r="M1" s="62"/>
    </row>
    <row r="2" spans="1:20" ht="24" customHeight="1">
      <c r="A2" s="63" t="s">
        <v>208</v>
      </c>
      <c r="E2" s="62"/>
      <c r="F2" s="62"/>
      <c r="G2" s="62"/>
      <c r="H2" s="62"/>
      <c r="I2" s="62"/>
      <c r="J2" s="62"/>
      <c r="K2" s="62"/>
      <c r="L2" s="62"/>
      <c r="M2" s="62"/>
    </row>
    <row r="3" spans="1:20">
      <c r="C3" s="59" t="s">
        <v>209</v>
      </c>
      <c r="D3" s="59" t="s">
        <v>210</v>
      </c>
      <c r="E3" s="64">
        <v>0.04</v>
      </c>
    </row>
    <row r="5" spans="1:20" ht="45" customHeight="1">
      <c r="A5" s="246" t="s">
        <v>211</v>
      </c>
      <c r="B5" s="65" t="s">
        <v>152</v>
      </c>
      <c r="C5" s="66" t="s">
        <v>153</v>
      </c>
      <c r="D5" s="66" t="s">
        <v>153</v>
      </c>
      <c r="E5" s="67"/>
      <c r="F5" s="68"/>
      <c r="G5" s="26"/>
      <c r="H5" s="26"/>
      <c r="I5" s="26"/>
      <c r="J5" s="26"/>
      <c r="K5" s="26"/>
      <c r="L5" s="26"/>
      <c r="M5" s="251" t="s">
        <v>54</v>
      </c>
    </row>
    <row r="6" spans="1:20" ht="31.5" customHeight="1">
      <c r="A6" s="246"/>
      <c r="B6" s="65" t="s">
        <v>154</v>
      </c>
      <c r="C6" s="69" t="s">
        <v>155</v>
      </c>
      <c r="D6" s="69" t="s">
        <v>156</v>
      </c>
      <c r="E6" s="28"/>
      <c r="F6" s="28"/>
      <c r="G6" s="28"/>
      <c r="H6" s="28"/>
      <c r="I6" s="28"/>
      <c r="J6" s="28"/>
      <c r="K6" s="28"/>
      <c r="L6" s="28"/>
      <c r="M6" s="252"/>
      <c r="O6" s="60">
        <v>100</v>
      </c>
      <c r="Q6" s="246" t="s">
        <v>212</v>
      </c>
      <c r="R6" s="246"/>
      <c r="S6" s="246"/>
    </row>
    <row r="7" spans="1:20" ht="51" customHeight="1">
      <c r="A7" s="246"/>
      <c r="B7" s="28" t="s">
        <v>213</v>
      </c>
      <c r="C7" s="70" t="s">
        <v>158</v>
      </c>
      <c r="D7" s="70" t="s">
        <v>158</v>
      </c>
      <c r="E7" s="70"/>
      <c r="F7" s="28"/>
      <c r="G7" s="68"/>
      <c r="H7" s="68"/>
      <c r="I7" s="28"/>
      <c r="J7" s="28"/>
      <c r="K7" s="28"/>
      <c r="L7" s="28"/>
      <c r="M7" s="253"/>
      <c r="N7" s="59">
        <v>2025</v>
      </c>
      <c r="O7" s="60">
        <f t="shared" ref="O7:O12" si="0">O6*(1-$E$3)</f>
        <v>96</v>
      </c>
      <c r="P7" s="79">
        <f t="shared" ref="P7:P12" si="1">O7/$O$6</f>
        <v>0.96</v>
      </c>
      <c r="Q7" s="84">
        <f>C8*P7</f>
        <v>100.8</v>
      </c>
      <c r="R7" s="84">
        <f>D8*P7</f>
        <v>100.8</v>
      </c>
      <c r="S7" s="84">
        <f>E8*P7</f>
        <v>0</v>
      </c>
    </row>
    <row r="8" spans="1:20" ht="31.2">
      <c r="A8" s="246"/>
      <c r="B8" s="28" t="s">
        <v>214</v>
      </c>
      <c r="C8" s="70">
        <v>105</v>
      </c>
      <c r="D8" s="70">
        <v>105</v>
      </c>
      <c r="E8" s="70"/>
      <c r="F8" s="71"/>
      <c r="G8" s="71"/>
      <c r="H8" s="71"/>
      <c r="I8" s="71"/>
      <c r="J8" s="71"/>
      <c r="K8" s="71"/>
      <c r="L8" s="71"/>
      <c r="M8" s="82">
        <f>SUM(C8:L8)</f>
        <v>210</v>
      </c>
      <c r="N8" s="59">
        <v>2026</v>
      </c>
      <c r="O8" s="60">
        <f t="shared" si="0"/>
        <v>92.16</v>
      </c>
      <c r="P8" s="79">
        <f t="shared" si="1"/>
        <v>0.92159999999999997</v>
      </c>
      <c r="Q8" s="84">
        <f>C8*$P$8</f>
        <v>96.768000000000001</v>
      </c>
      <c r="R8" s="84">
        <f>D8*$P$8</f>
        <v>96.768000000000001</v>
      </c>
      <c r="S8" s="84">
        <f>E8*$P$8</f>
        <v>0</v>
      </c>
    </row>
    <row r="9" spans="1:20" ht="17.399999999999999">
      <c r="A9" s="248" t="s">
        <v>215</v>
      </c>
      <c r="B9" s="28" t="s">
        <v>200</v>
      </c>
      <c r="C9" s="72">
        <v>2000</v>
      </c>
      <c r="D9" s="72">
        <v>2000</v>
      </c>
      <c r="E9" s="72"/>
      <c r="F9" s="72"/>
      <c r="G9" s="71"/>
      <c r="H9" s="71"/>
      <c r="I9" s="71"/>
      <c r="J9" s="71"/>
      <c r="K9" s="71"/>
      <c r="L9" s="71"/>
      <c r="M9" s="82">
        <f>SUM(C9:L9)</f>
        <v>4000</v>
      </c>
      <c r="N9" s="59">
        <v>2027</v>
      </c>
      <c r="O9" s="60">
        <f t="shared" si="0"/>
        <v>88.473600000000005</v>
      </c>
      <c r="P9" s="79">
        <f t="shared" si="1"/>
        <v>0.88473599999999997</v>
      </c>
      <c r="Q9" s="84">
        <f>C8*$P$9</f>
        <v>92.897279999999995</v>
      </c>
      <c r="R9" s="84">
        <f>D8*$P$9</f>
        <v>92.897279999999995</v>
      </c>
      <c r="S9" s="84">
        <f>E8*$P$9</f>
        <v>0</v>
      </c>
    </row>
    <row r="10" spans="1:20" ht="17.399999999999999">
      <c r="A10" s="249"/>
      <c r="B10" s="73" t="s">
        <v>102</v>
      </c>
      <c r="C10" s="72">
        <v>50000</v>
      </c>
      <c r="D10" s="72">
        <v>50000</v>
      </c>
      <c r="E10" s="72"/>
      <c r="F10" s="72"/>
      <c r="G10" s="74"/>
      <c r="H10" s="74"/>
      <c r="I10" s="74"/>
      <c r="J10" s="74"/>
      <c r="K10" s="74"/>
      <c r="L10" s="74"/>
      <c r="M10" s="82">
        <f t="shared" ref="M10:M15" si="2">SUM(C10:L10)</f>
        <v>100000</v>
      </c>
      <c r="N10" s="59">
        <v>2028</v>
      </c>
      <c r="O10" s="60">
        <f t="shared" si="0"/>
        <v>84.934656000000004</v>
      </c>
      <c r="P10" s="79">
        <f t="shared" si="1"/>
        <v>0.84934655999999997</v>
      </c>
      <c r="Q10" s="84">
        <f>C8*$P$10</f>
        <v>89.181388799999993</v>
      </c>
      <c r="R10" s="84">
        <f>D8*$P$10</f>
        <v>89.181388799999993</v>
      </c>
      <c r="S10" s="84">
        <f>E8*$P$10</f>
        <v>0</v>
      </c>
    </row>
    <row r="11" spans="1:20" ht="17.399999999999999">
      <c r="A11" s="249"/>
      <c r="B11" s="73" t="s">
        <v>53</v>
      </c>
      <c r="C11" s="72">
        <v>80000</v>
      </c>
      <c r="D11" s="72">
        <v>80000</v>
      </c>
      <c r="E11" s="72"/>
      <c r="F11" s="72"/>
      <c r="G11" s="74"/>
      <c r="H11" s="74"/>
      <c r="I11" s="74"/>
      <c r="J11" s="74"/>
      <c r="K11" s="74"/>
      <c r="L11" s="74"/>
      <c r="M11" s="82">
        <f t="shared" si="2"/>
        <v>160000</v>
      </c>
      <c r="N11" s="59">
        <v>2029</v>
      </c>
      <c r="O11" s="60">
        <f t="shared" si="0"/>
        <v>81.537269760000001</v>
      </c>
      <c r="P11" s="79">
        <f t="shared" si="1"/>
        <v>0.81537269759999997</v>
      </c>
      <c r="Q11" s="84">
        <f>C8*$P$11</f>
        <v>85.614133248000002</v>
      </c>
      <c r="R11" s="84">
        <f>D8*$P$11</f>
        <v>85.614133248000002</v>
      </c>
      <c r="S11" s="84">
        <f>E8*$P$11</f>
        <v>0</v>
      </c>
    </row>
    <row r="12" spans="1:20" ht="17.399999999999999">
      <c r="A12" s="249"/>
      <c r="B12" s="73" t="s">
        <v>201</v>
      </c>
      <c r="C12" s="72"/>
      <c r="D12" s="72"/>
      <c r="E12" s="72"/>
      <c r="F12" s="72"/>
      <c r="G12" s="74"/>
      <c r="H12" s="74"/>
      <c r="I12" s="74"/>
      <c r="J12" s="74"/>
      <c r="K12" s="74"/>
      <c r="L12" s="74"/>
      <c r="M12" s="82">
        <f t="shared" si="2"/>
        <v>0</v>
      </c>
      <c r="N12" s="59">
        <v>2030</v>
      </c>
      <c r="O12" s="60">
        <f t="shared" si="0"/>
        <v>78.275778969599997</v>
      </c>
      <c r="P12" s="79">
        <f t="shared" si="1"/>
        <v>0.78275778969599996</v>
      </c>
      <c r="Q12" s="84">
        <f>C8*$P$12</f>
        <v>82.189567918080002</v>
      </c>
      <c r="R12" s="84">
        <f>D8*$P$12</f>
        <v>82.189567918080002</v>
      </c>
      <c r="S12" s="84">
        <f>E8*$P$12</f>
        <v>0</v>
      </c>
    </row>
    <row r="13" spans="1:20" ht="17.399999999999999">
      <c r="A13" s="249"/>
      <c r="B13" s="73" t="s">
        <v>202</v>
      </c>
      <c r="C13" s="72"/>
      <c r="D13" s="72"/>
      <c r="E13" s="72"/>
      <c r="F13" s="72"/>
      <c r="G13" s="74"/>
      <c r="H13" s="74"/>
      <c r="I13" s="74"/>
      <c r="J13" s="74"/>
      <c r="K13" s="74"/>
      <c r="L13" s="74"/>
      <c r="M13" s="82">
        <f>SUM(C13:H13)</f>
        <v>0</v>
      </c>
      <c r="Q13" s="79"/>
    </row>
    <row r="14" spans="1:20" ht="17.399999999999999">
      <c r="A14" s="249"/>
      <c r="B14" s="73" t="s">
        <v>203</v>
      </c>
      <c r="C14" s="72"/>
      <c r="D14" s="72"/>
      <c r="E14" s="72"/>
      <c r="F14" s="72"/>
      <c r="G14" s="74"/>
      <c r="H14" s="75"/>
      <c r="I14" s="75"/>
      <c r="J14" s="75"/>
      <c r="K14" s="75"/>
      <c r="L14" s="75"/>
      <c r="M14" s="82">
        <f>SUM(C14:H14)</f>
        <v>0</v>
      </c>
      <c r="P14" s="83">
        <v>2025</v>
      </c>
      <c r="Q14" s="79">
        <f>($C$8-Q7)*C10</f>
        <v>210000</v>
      </c>
      <c r="R14" s="79">
        <f>($D$8-R7)*D10</f>
        <v>210000</v>
      </c>
      <c r="S14" s="79">
        <f>($E$8-S7)*E10</f>
        <v>0</v>
      </c>
      <c r="T14" s="79">
        <f t="shared" ref="T14:T19" si="3">SUM(Q14:S14)</f>
        <v>420000</v>
      </c>
    </row>
    <row r="15" spans="1:20" ht="17.399999999999999">
      <c r="A15" s="250"/>
      <c r="B15" s="73" t="s">
        <v>204</v>
      </c>
      <c r="C15" s="72"/>
      <c r="D15" s="72"/>
      <c r="E15" s="72"/>
      <c r="F15" s="72"/>
      <c r="G15" s="74"/>
      <c r="H15" s="75"/>
      <c r="I15" s="75"/>
      <c r="J15" s="75"/>
      <c r="K15" s="75"/>
      <c r="L15" s="75"/>
      <c r="M15" s="82">
        <f t="shared" si="2"/>
        <v>0</v>
      </c>
      <c r="P15" s="83">
        <v>2026</v>
      </c>
      <c r="Q15" s="79">
        <f>(C8-Q8)*C11</f>
        <v>658560</v>
      </c>
      <c r="R15" s="79">
        <f>(D8-R8)*D11</f>
        <v>658560</v>
      </c>
      <c r="S15" s="79">
        <f>(E8-S8)*E11</f>
        <v>0</v>
      </c>
      <c r="T15" s="79">
        <f t="shared" si="3"/>
        <v>1317120</v>
      </c>
    </row>
    <row r="16" spans="1:20" ht="17.399999999999999">
      <c r="A16" s="247" t="s">
        <v>54</v>
      </c>
      <c r="B16" s="247"/>
      <c r="C16" s="76">
        <f>SUM(C9:C15)</f>
        <v>132000</v>
      </c>
      <c r="D16" s="76">
        <f>SUM(D9:D15)</f>
        <v>132000</v>
      </c>
      <c r="E16" s="76">
        <f>SUM(E9:E15)</f>
        <v>0</v>
      </c>
      <c r="F16" s="76">
        <f t="shared" ref="F16:M16" si="4">SUM(F10:F14)</f>
        <v>0</v>
      </c>
      <c r="G16" s="76">
        <f t="shared" si="4"/>
        <v>0</v>
      </c>
      <c r="H16" s="76">
        <f t="shared" si="4"/>
        <v>0</v>
      </c>
      <c r="I16" s="76">
        <f t="shared" si="4"/>
        <v>0</v>
      </c>
      <c r="J16" s="76">
        <f t="shared" si="4"/>
        <v>0</v>
      </c>
      <c r="K16" s="76">
        <f t="shared" si="4"/>
        <v>0</v>
      </c>
      <c r="L16" s="76">
        <f t="shared" si="4"/>
        <v>0</v>
      </c>
      <c r="M16" s="76">
        <f t="shared" si="4"/>
        <v>260000</v>
      </c>
      <c r="P16" s="83">
        <v>2027</v>
      </c>
      <c r="Q16" s="79">
        <f>(C8-Q9)*C12</f>
        <v>0</v>
      </c>
      <c r="R16" s="79">
        <f>(D8-R9)*D12</f>
        <v>0</v>
      </c>
      <c r="S16" s="79">
        <f>(E8-S9)*E12</f>
        <v>0</v>
      </c>
      <c r="T16" s="79">
        <f t="shared" si="3"/>
        <v>0</v>
      </c>
    </row>
    <row r="17" spans="1:20" ht="34.799999999999997">
      <c r="A17" s="77"/>
      <c r="B17" s="77"/>
      <c r="C17" s="78" t="s">
        <v>50</v>
      </c>
      <c r="P17" s="83">
        <v>2028</v>
      </c>
      <c r="Q17" s="79">
        <f>(C8-Q10)*C13</f>
        <v>0</v>
      </c>
      <c r="R17" s="79">
        <f>(D8-R10)*D13</f>
        <v>0</v>
      </c>
      <c r="S17" s="79">
        <f>(E8-S10)*E13</f>
        <v>0</v>
      </c>
      <c r="T17" s="79">
        <f t="shared" si="3"/>
        <v>0</v>
      </c>
    </row>
    <row r="18" spans="1:20">
      <c r="B18" s="59" t="s">
        <v>216</v>
      </c>
      <c r="C18" s="79">
        <f>材料成本!D24</f>
        <v>79.86</v>
      </c>
      <c r="D18" s="79">
        <f>材料成本!E24</f>
        <v>80.64</v>
      </c>
      <c r="E18" s="79">
        <f>材料成本!F24</f>
        <v>0</v>
      </c>
      <c r="F18" s="79">
        <f>材料成本!G24</f>
        <v>0</v>
      </c>
      <c r="G18" s="79">
        <f>材料成本!H24</f>
        <v>0</v>
      </c>
      <c r="H18" s="79">
        <f>材料成本!I24</f>
        <v>0</v>
      </c>
      <c r="I18" s="79">
        <f>材料成本!J24</f>
        <v>0</v>
      </c>
      <c r="J18" s="79">
        <f>材料成本!K24</f>
        <v>0</v>
      </c>
      <c r="K18" s="79">
        <f>材料成本!L24</f>
        <v>0</v>
      </c>
      <c r="L18" s="79">
        <f>材料成本!M24</f>
        <v>0</v>
      </c>
      <c r="M18" s="77">
        <f>SUM(C18:L18)</f>
        <v>160.5</v>
      </c>
      <c r="P18" s="83">
        <v>2029</v>
      </c>
      <c r="Q18" s="79">
        <f>(C8-Q11)*C14</f>
        <v>0</v>
      </c>
      <c r="R18" s="79">
        <f>(D8-R11)*D14</f>
        <v>0</v>
      </c>
      <c r="S18" s="79">
        <f>(E8-S11)*E14</f>
        <v>0</v>
      </c>
      <c r="T18" s="79">
        <f t="shared" si="3"/>
        <v>0</v>
      </c>
    </row>
    <row r="19" spans="1:20">
      <c r="B19" s="59" t="s">
        <v>104</v>
      </c>
      <c r="C19" s="79">
        <f>C8-C18</f>
        <v>25.14</v>
      </c>
      <c r="D19" s="79">
        <f t="shared" ref="D19:L19" si="5">D8-D18</f>
        <v>24.36</v>
      </c>
      <c r="E19" s="79">
        <f t="shared" si="5"/>
        <v>0</v>
      </c>
      <c r="F19" s="79">
        <f t="shared" si="5"/>
        <v>0</v>
      </c>
      <c r="G19" s="79">
        <f t="shared" si="5"/>
        <v>0</v>
      </c>
      <c r="H19" s="79">
        <f t="shared" si="5"/>
        <v>0</v>
      </c>
      <c r="I19" s="79">
        <f t="shared" si="5"/>
        <v>0</v>
      </c>
      <c r="J19" s="79">
        <f t="shared" si="5"/>
        <v>0</v>
      </c>
      <c r="K19" s="79">
        <f t="shared" si="5"/>
        <v>0</v>
      </c>
      <c r="L19" s="79">
        <f t="shared" si="5"/>
        <v>0</v>
      </c>
      <c r="M19" s="77">
        <f>SUM(C19:L19)</f>
        <v>49.5</v>
      </c>
      <c r="P19" s="83">
        <v>2030</v>
      </c>
      <c r="Q19" s="79">
        <f>(C8-Q12)*C15</f>
        <v>0</v>
      </c>
      <c r="R19" s="79">
        <f>(D8-R12)*D15</f>
        <v>0</v>
      </c>
      <c r="S19" s="79">
        <f>(E8-S12)*E15</f>
        <v>0</v>
      </c>
      <c r="T19" s="79">
        <f t="shared" si="3"/>
        <v>0</v>
      </c>
    </row>
    <row r="20" spans="1:20">
      <c r="B20" s="59" t="s">
        <v>217</v>
      </c>
      <c r="C20" s="80">
        <f>C19/C8</f>
        <v>0.23942857142857099</v>
      </c>
      <c r="D20" s="80">
        <f t="shared" ref="D20:M20" si="6">D19/D8</f>
        <v>0.23200000000000001</v>
      </c>
      <c r="E20" s="80" t="e">
        <f t="shared" si="6"/>
        <v>#DIV/0!</v>
      </c>
      <c r="F20" s="80" t="e">
        <f t="shared" si="6"/>
        <v>#DIV/0!</v>
      </c>
      <c r="G20" s="81" t="e">
        <f t="shared" si="6"/>
        <v>#DIV/0!</v>
      </c>
      <c r="H20" s="81" t="e">
        <f t="shared" si="6"/>
        <v>#DIV/0!</v>
      </c>
      <c r="I20" s="81" t="e">
        <f t="shared" si="6"/>
        <v>#DIV/0!</v>
      </c>
      <c r="J20" s="81" t="e">
        <f t="shared" si="6"/>
        <v>#DIV/0!</v>
      </c>
      <c r="K20" s="80" t="e">
        <f t="shared" si="6"/>
        <v>#DIV/0!</v>
      </c>
      <c r="L20" s="80" t="e">
        <f t="shared" si="6"/>
        <v>#DIV/0!</v>
      </c>
      <c r="M20" s="80">
        <f t="shared" si="6"/>
        <v>0.23571428571428599</v>
      </c>
      <c r="Q20" s="79"/>
      <c r="R20" s="79"/>
      <c r="S20" s="79"/>
      <c r="T20" s="79"/>
    </row>
  </sheetData>
  <mergeCells count="5">
    <mergeCell ref="Q6:S6"/>
    <mergeCell ref="A16:B16"/>
    <mergeCell ref="A5:A8"/>
    <mergeCell ref="A9:A15"/>
    <mergeCell ref="M5:M7"/>
  </mergeCells>
  <phoneticPr fontId="53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8"/>
  <sheetViews>
    <sheetView workbookViewId="0">
      <pane xSplit="3" ySplit="5" topLeftCell="D12" activePane="bottomRight" state="frozen"/>
      <selection pane="topRight"/>
      <selection pane="bottomLeft"/>
      <selection pane="bottomRight" activeCell="E21" sqref="E21"/>
    </sheetView>
  </sheetViews>
  <sheetFormatPr defaultColWidth="9" defaultRowHeight="15.6"/>
  <cols>
    <col min="1" max="2" width="4.33203125" style="38" customWidth="1"/>
    <col min="3" max="3" width="8.109375" style="38" customWidth="1"/>
    <col min="4" max="6" width="13.109375" style="39" customWidth="1"/>
    <col min="7" max="8" width="12" style="39" customWidth="1"/>
    <col min="9" max="9" width="12.77734375" style="39" customWidth="1"/>
    <col min="10" max="14" width="12" style="39" customWidth="1"/>
    <col min="15" max="15" width="12.21875" style="38" customWidth="1"/>
    <col min="16" max="16" width="13.21875" style="38" customWidth="1"/>
    <col min="17" max="17" width="16" style="38" customWidth="1"/>
    <col min="18" max="16384" width="9" style="38"/>
  </cols>
  <sheetData>
    <row r="1" spans="1:17" s="37" customFormat="1" ht="28.5" customHeight="1">
      <c r="A1" s="254" t="s">
        <v>7</v>
      </c>
      <c r="B1" s="254"/>
      <c r="C1" s="40"/>
      <c r="D1" s="41" t="s">
        <v>50</v>
      </c>
      <c r="E1" s="42"/>
      <c r="F1" s="42"/>
      <c r="G1" s="42"/>
      <c r="H1" s="42"/>
      <c r="I1" s="42"/>
      <c r="J1" s="42"/>
      <c r="K1" s="42"/>
      <c r="L1" s="42"/>
      <c r="M1" s="42"/>
      <c r="N1" s="42"/>
      <c r="Q1" s="58"/>
    </row>
    <row r="2" spans="1:17" ht="16.2">
      <c r="A2" s="255" t="s">
        <v>218</v>
      </c>
      <c r="B2" s="255"/>
      <c r="C2" s="256"/>
      <c r="D2" s="257"/>
      <c r="E2" s="258" t="s">
        <v>219</v>
      </c>
      <c r="F2" s="259"/>
      <c r="G2" s="259"/>
      <c r="H2" s="259"/>
      <c r="I2" s="259"/>
      <c r="J2" s="259"/>
      <c r="K2" s="259"/>
      <c r="L2" s="259"/>
      <c r="M2" s="259"/>
      <c r="N2" s="260"/>
    </row>
    <row r="3" spans="1:17" ht="32.4">
      <c r="A3" s="269" t="s">
        <v>19</v>
      </c>
      <c r="B3" s="269" t="s">
        <v>220</v>
      </c>
      <c r="C3" s="44" t="s">
        <v>221</v>
      </c>
      <c r="D3" s="261" t="s">
        <v>151</v>
      </c>
      <c r="E3" s="261"/>
      <c r="F3" s="43" t="s">
        <v>222</v>
      </c>
      <c r="G3" s="262" t="s">
        <v>223</v>
      </c>
      <c r="H3" s="263"/>
      <c r="I3" s="45"/>
      <c r="J3" s="45"/>
      <c r="K3" s="45"/>
      <c r="L3" s="45"/>
      <c r="M3" s="45"/>
      <c r="N3" s="270" t="s">
        <v>168</v>
      </c>
    </row>
    <row r="4" spans="1:17" ht="32.4">
      <c r="A4" s="269"/>
      <c r="B4" s="269"/>
      <c r="C4" s="44" t="s">
        <v>152</v>
      </c>
      <c r="D4" s="46" t="s">
        <v>153</v>
      </c>
      <c r="E4" s="46" t="s">
        <v>153</v>
      </c>
      <c r="F4" s="46"/>
      <c r="G4" s="46"/>
      <c r="H4" s="47"/>
      <c r="I4" s="47"/>
      <c r="J4" s="47"/>
      <c r="K4" s="47"/>
      <c r="L4" s="47"/>
      <c r="M4" s="47"/>
      <c r="N4" s="271"/>
    </row>
    <row r="5" spans="1:17" ht="32.4">
      <c r="A5" s="269"/>
      <c r="B5" s="269"/>
      <c r="C5" s="44" t="s">
        <v>154</v>
      </c>
      <c r="D5" s="46" t="s">
        <v>155</v>
      </c>
      <c r="E5" s="46" t="s">
        <v>156</v>
      </c>
      <c r="F5" s="46"/>
      <c r="G5" s="46"/>
      <c r="H5" s="46"/>
      <c r="I5" s="46"/>
      <c r="J5" s="46"/>
      <c r="K5" s="46"/>
      <c r="L5" s="46"/>
      <c r="M5" s="46"/>
      <c r="N5" s="272"/>
    </row>
    <row r="6" spans="1:17">
      <c r="A6" s="48">
        <v>1</v>
      </c>
      <c r="B6" s="264" t="s">
        <v>224</v>
      </c>
      <c r="C6" s="265"/>
      <c r="D6" s="47"/>
      <c r="E6" s="47"/>
      <c r="F6" s="47"/>
      <c r="G6" s="47"/>
      <c r="H6" s="47"/>
      <c r="I6" s="47"/>
      <c r="J6" s="47"/>
      <c r="K6" s="47"/>
      <c r="L6" s="47"/>
      <c r="M6" s="47"/>
      <c r="N6" s="56"/>
    </row>
    <row r="7" spans="1:17">
      <c r="A7" s="48">
        <v>2</v>
      </c>
      <c r="B7" s="264" t="s">
        <v>225</v>
      </c>
      <c r="C7" s="265"/>
      <c r="D7" s="49"/>
      <c r="E7" s="47"/>
      <c r="F7" s="47"/>
      <c r="G7" s="47"/>
      <c r="H7" s="47"/>
      <c r="I7" s="47"/>
      <c r="J7" s="47"/>
      <c r="K7" s="47"/>
      <c r="L7" s="47"/>
      <c r="M7" s="47"/>
      <c r="N7" s="56"/>
    </row>
    <row r="8" spans="1:17">
      <c r="A8" s="48">
        <v>3</v>
      </c>
      <c r="B8" s="264" t="s">
        <v>226</v>
      </c>
      <c r="C8" s="265"/>
      <c r="D8" s="49"/>
      <c r="E8" s="49"/>
      <c r="F8" s="49"/>
      <c r="G8" s="49"/>
      <c r="H8" s="49"/>
      <c r="I8" s="49"/>
      <c r="J8" s="49"/>
      <c r="K8" s="49"/>
      <c r="L8" s="49"/>
      <c r="M8" s="49"/>
      <c r="N8" s="56"/>
    </row>
    <row r="9" spans="1:17">
      <c r="A9" s="48">
        <v>4</v>
      </c>
      <c r="B9" s="264" t="s">
        <v>227</v>
      </c>
      <c r="C9" s="265"/>
      <c r="D9" s="49"/>
      <c r="E9" s="47"/>
      <c r="F9" s="47"/>
      <c r="G9" s="47"/>
      <c r="H9" s="47"/>
      <c r="I9" s="47"/>
      <c r="J9" s="47"/>
      <c r="K9" s="47"/>
      <c r="L9" s="47"/>
      <c r="M9" s="47"/>
      <c r="N9" s="56"/>
    </row>
    <row r="10" spans="1:17">
      <c r="A10" s="48">
        <v>5</v>
      </c>
      <c r="B10" s="264" t="s">
        <v>228</v>
      </c>
      <c r="C10" s="265"/>
      <c r="D10" s="49"/>
      <c r="E10" s="47"/>
      <c r="F10" s="47"/>
      <c r="G10" s="47"/>
      <c r="H10" s="47"/>
      <c r="I10" s="47"/>
      <c r="J10" s="47"/>
      <c r="K10" s="47"/>
      <c r="L10" s="47"/>
      <c r="M10" s="47"/>
      <c r="N10" s="56"/>
    </row>
    <row r="11" spans="1:17">
      <c r="A11" s="48">
        <v>6</v>
      </c>
      <c r="B11" s="264" t="s">
        <v>229</v>
      </c>
      <c r="C11" s="265"/>
      <c r="D11" s="49"/>
      <c r="E11" s="47"/>
      <c r="F11" s="47"/>
      <c r="G11" s="47"/>
      <c r="H11" s="47"/>
      <c r="I11" s="47"/>
      <c r="J11" s="47"/>
      <c r="K11" s="47"/>
      <c r="L11" s="47"/>
      <c r="M11" s="47"/>
      <c r="N11" s="56"/>
    </row>
    <row r="12" spans="1:17">
      <c r="A12" s="48">
        <v>7</v>
      </c>
      <c r="B12" s="264" t="s">
        <v>230</v>
      </c>
      <c r="C12" s="265"/>
      <c r="D12" s="49"/>
      <c r="E12" s="47"/>
      <c r="F12" s="47"/>
      <c r="G12" s="47"/>
      <c r="H12" s="47"/>
      <c r="I12" s="47"/>
      <c r="J12" s="47"/>
      <c r="K12" s="47"/>
      <c r="L12" s="47"/>
      <c r="M12" s="47"/>
      <c r="N12" s="56"/>
    </row>
    <row r="13" spans="1:17">
      <c r="A13" s="48">
        <v>8</v>
      </c>
      <c r="B13" s="264" t="s">
        <v>231</v>
      </c>
      <c r="C13" s="265"/>
      <c r="D13" s="49"/>
      <c r="E13" s="47"/>
      <c r="F13" s="47"/>
      <c r="G13" s="47"/>
      <c r="H13" s="47"/>
      <c r="I13" s="47"/>
      <c r="J13" s="47"/>
      <c r="K13" s="47"/>
      <c r="L13" s="47"/>
      <c r="M13" s="47"/>
      <c r="N13" s="56"/>
    </row>
    <row r="14" spans="1:17">
      <c r="A14" s="48">
        <v>9</v>
      </c>
      <c r="B14" s="264" t="s">
        <v>232</v>
      </c>
      <c r="C14" s="265"/>
      <c r="D14" s="49"/>
      <c r="E14" s="47"/>
      <c r="F14" s="47"/>
      <c r="G14" s="47"/>
      <c r="H14" s="47"/>
      <c r="I14" s="47"/>
      <c r="J14" s="47"/>
      <c r="K14" s="47"/>
      <c r="L14" s="47"/>
      <c r="M14" s="47"/>
      <c r="N14" s="56"/>
    </row>
    <row r="15" spans="1:17">
      <c r="A15" s="48">
        <v>10</v>
      </c>
      <c r="B15" s="264" t="s">
        <v>233</v>
      </c>
      <c r="C15" s="265"/>
      <c r="D15" s="49"/>
      <c r="E15" s="47"/>
      <c r="F15" s="47"/>
      <c r="G15" s="47"/>
      <c r="H15" s="47"/>
      <c r="I15" s="47"/>
      <c r="J15" s="47"/>
      <c r="K15" s="47"/>
      <c r="L15" s="47"/>
      <c r="M15" s="47"/>
      <c r="N15" s="56"/>
    </row>
    <row r="16" spans="1:17">
      <c r="A16" s="48">
        <v>11</v>
      </c>
      <c r="B16" s="264" t="s">
        <v>234</v>
      </c>
      <c r="C16" s="265"/>
      <c r="D16" s="49"/>
      <c r="E16" s="47"/>
      <c r="F16" s="47"/>
      <c r="G16" s="47"/>
      <c r="H16" s="47"/>
      <c r="I16" s="47"/>
      <c r="J16" s="47"/>
      <c r="K16" s="47"/>
      <c r="L16" s="47"/>
      <c r="M16" s="47"/>
      <c r="N16" s="56"/>
    </row>
    <row r="17" spans="1:14">
      <c r="A17" s="48">
        <v>12</v>
      </c>
      <c r="B17" s="264" t="s">
        <v>235</v>
      </c>
      <c r="C17" s="265"/>
      <c r="D17" s="49"/>
      <c r="E17" s="47"/>
      <c r="F17" s="47"/>
      <c r="G17" s="47"/>
      <c r="H17" s="47"/>
      <c r="I17" s="47"/>
      <c r="J17" s="47"/>
      <c r="K17" s="47"/>
      <c r="L17" s="47"/>
      <c r="M17" s="47"/>
      <c r="N17" s="56"/>
    </row>
    <row r="18" spans="1:14">
      <c r="A18" s="48">
        <v>13</v>
      </c>
      <c r="B18" s="264" t="s">
        <v>236</v>
      </c>
      <c r="C18" s="265"/>
      <c r="D18" s="49"/>
      <c r="E18" s="47"/>
      <c r="F18" s="47"/>
      <c r="G18" s="47"/>
      <c r="H18" s="47"/>
      <c r="I18" s="47"/>
      <c r="J18" s="47"/>
      <c r="K18" s="47"/>
      <c r="L18" s="47"/>
      <c r="M18" s="47"/>
      <c r="N18" s="56"/>
    </row>
    <row r="19" spans="1:14">
      <c r="A19" s="48">
        <v>14</v>
      </c>
      <c r="B19" s="264" t="s">
        <v>237</v>
      </c>
      <c r="C19" s="265"/>
      <c r="D19" s="49"/>
      <c r="E19" s="47"/>
      <c r="F19" s="47"/>
      <c r="G19" s="47"/>
      <c r="H19" s="47"/>
      <c r="I19" s="47"/>
      <c r="J19" s="47"/>
      <c r="K19" s="47"/>
      <c r="L19" s="47"/>
      <c r="M19" s="47"/>
      <c r="N19" s="56"/>
    </row>
    <row r="20" spans="1:14">
      <c r="A20" s="48">
        <v>15</v>
      </c>
      <c r="B20" s="264" t="s">
        <v>238</v>
      </c>
      <c r="C20" s="265"/>
      <c r="D20" s="49"/>
      <c r="E20" s="47"/>
      <c r="F20" s="47"/>
      <c r="G20" s="47"/>
      <c r="H20" s="47"/>
      <c r="I20" s="47"/>
      <c r="J20" s="47"/>
      <c r="K20" s="47"/>
      <c r="L20" s="47"/>
      <c r="M20" s="47"/>
      <c r="N20" s="56"/>
    </row>
    <row r="21" spans="1:14">
      <c r="A21" s="48">
        <v>16</v>
      </c>
      <c r="B21" s="264" t="s">
        <v>239</v>
      </c>
      <c r="C21" s="265"/>
      <c r="D21" s="49"/>
      <c r="E21" s="47"/>
      <c r="F21" s="47"/>
      <c r="G21" s="47"/>
      <c r="H21" s="47"/>
      <c r="I21" s="47"/>
      <c r="J21" s="47"/>
      <c r="K21" s="47"/>
      <c r="L21" s="47"/>
      <c r="M21" s="47"/>
      <c r="N21" s="56"/>
    </row>
    <row r="22" spans="1:14">
      <c r="A22" s="48">
        <v>17</v>
      </c>
      <c r="B22" s="264" t="s">
        <v>37</v>
      </c>
      <c r="C22" s="265"/>
      <c r="D22" s="49"/>
      <c r="E22" s="47"/>
      <c r="F22" s="47"/>
      <c r="G22" s="47"/>
      <c r="H22" s="47"/>
      <c r="I22" s="47"/>
      <c r="J22" s="47"/>
      <c r="K22" s="47"/>
      <c r="L22" s="47"/>
      <c r="M22" s="47"/>
      <c r="N22" s="56"/>
    </row>
    <row r="23" spans="1:14">
      <c r="A23" s="48">
        <v>18</v>
      </c>
      <c r="B23" s="264" t="s">
        <v>240</v>
      </c>
      <c r="C23" s="265"/>
      <c r="D23" s="50">
        <v>79.86</v>
      </c>
      <c r="E23" s="50">
        <v>80.64</v>
      </c>
      <c r="F23" s="50"/>
      <c r="G23" s="51"/>
      <c r="H23" s="52"/>
      <c r="I23" s="52"/>
      <c r="J23" s="52"/>
      <c r="K23" s="52"/>
      <c r="L23" s="52"/>
      <c r="M23" s="52"/>
      <c r="N23" s="57"/>
    </row>
    <row r="24" spans="1:14" ht="31.5" customHeight="1">
      <c r="A24" s="266" t="s">
        <v>241</v>
      </c>
      <c r="B24" s="267"/>
      <c r="C24" s="268"/>
      <c r="D24" s="53">
        <f t="shared" ref="D24:M24" si="0">SUM(D6:D23)</f>
        <v>79.86</v>
      </c>
      <c r="E24" s="53">
        <f t="shared" si="0"/>
        <v>80.64</v>
      </c>
      <c r="F24" s="53">
        <f t="shared" si="0"/>
        <v>0</v>
      </c>
      <c r="G24" s="53">
        <f t="shared" si="0"/>
        <v>0</v>
      </c>
      <c r="H24" s="53">
        <f t="shared" si="0"/>
        <v>0</v>
      </c>
      <c r="I24" s="53">
        <f t="shared" si="0"/>
        <v>0</v>
      </c>
      <c r="J24" s="53">
        <f t="shared" si="0"/>
        <v>0</v>
      </c>
      <c r="K24" s="53">
        <f t="shared" si="0"/>
        <v>0</v>
      </c>
      <c r="L24" s="53">
        <f t="shared" si="0"/>
        <v>0</v>
      </c>
      <c r="M24" s="53">
        <f t="shared" si="0"/>
        <v>0</v>
      </c>
      <c r="N24" s="57"/>
    </row>
    <row r="25" spans="1:14">
      <c r="C25" s="38" t="s">
        <v>242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</row>
    <row r="27" spans="1:14">
      <c r="C27" s="38" t="s">
        <v>102</v>
      </c>
      <c r="D27" s="55">
        <f t="shared" ref="D27:F27" si="1">D24*0.97</f>
        <v>77.464200000000005</v>
      </c>
      <c r="E27" s="55">
        <f t="shared" si="1"/>
        <v>78.220799999999997</v>
      </c>
      <c r="F27" s="55">
        <f t="shared" si="1"/>
        <v>0</v>
      </c>
      <c r="G27" s="55">
        <f t="shared" ref="G27:M27" si="2">G24*0.94</f>
        <v>0</v>
      </c>
      <c r="H27" s="55">
        <f t="shared" si="2"/>
        <v>0</v>
      </c>
      <c r="I27" s="55">
        <f t="shared" si="2"/>
        <v>0</v>
      </c>
      <c r="J27" s="55">
        <f t="shared" si="2"/>
        <v>0</v>
      </c>
      <c r="K27" s="55">
        <f t="shared" si="2"/>
        <v>0</v>
      </c>
      <c r="L27" s="55">
        <f t="shared" si="2"/>
        <v>0</v>
      </c>
      <c r="M27" s="55">
        <f t="shared" si="2"/>
        <v>0</v>
      </c>
    </row>
    <row r="28" spans="1:14">
      <c r="C28" s="38" t="s">
        <v>53</v>
      </c>
      <c r="D28" s="55">
        <f t="shared" ref="D28:F28" si="3">D27*0.97</f>
        <v>75.140274000000005</v>
      </c>
      <c r="E28" s="55">
        <f t="shared" si="3"/>
        <v>75.874176000000006</v>
      </c>
      <c r="F28" s="55">
        <f t="shared" si="3"/>
        <v>0</v>
      </c>
      <c r="G28" s="55">
        <f t="shared" ref="G28:M28" si="4">G27*0.94</f>
        <v>0</v>
      </c>
      <c r="H28" s="55">
        <f t="shared" si="4"/>
        <v>0</v>
      </c>
      <c r="I28" s="55">
        <f t="shared" si="4"/>
        <v>0</v>
      </c>
      <c r="J28" s="55">
        <f t="shared" si="4"/>
        <v>0</v>
      </c>
      <c r="K28" s="55">
        <f t="shared" si="4"/>
        <v>0</v>
      </c>
      <c r="L28" s="55">
        <f t="shared" si="4"/>
        <v>0</v>
      </c>
      <c r="M28" s="55">
        <f t="shared" si="4"/>
        <v>0</v>
      </c>
    </row>
  </sheetData>
  <mergeCells count="27"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A2:D2"/>
    <mergeCell ref="E2:N2"/>
    <mergeCell ref="D3:E3"/>
    <mergeCell ref="G3:H3"/>
    <mergeCell ref="N3:N5"/>
  </mergeCells>
  <phoneticPr fontId="53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4</vt:i4>
      </vt:variant>
    </vt:vector>
  </HeadingPairs>
  <TitlesOfParts>
    <vt:vector size="16" baseType="lpstr">
      <vt:lpstr>假设条件</vt:lpstr>
      <vt:lpstr>现金</vt:lpstr>
      <vt:lpstr>损益表</vt:lpstr>
      <vt:lpstr>2024年</vt:lpstr>
      <vt:lpstr>2025年</vt:lpstr>
      <vt:lpstr>2026年</vt:lpstr>
      <vt:lpstr>项目投资</vt:lpstr>
      <vt:lpstr>销量</vt:lpstr>
      <vt:lpstr>材料成本</vt:lpstr>
      <vt:lpstr>其他</vt:lpstr>
      <vt:lpstr>标准成本</vt:lpstr>
      <vt:lpstr>包装运费</vt:lpstr>
      <vt:lpstr>'2024年'!Print_Area</vt:lpstr>
      <vt:lpstr>'2025年'!Print_Area</vt:lpstr>
      <vt:lpstr>'2026年'!Print_Area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2024-09-06T06:00:42Z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9545D4B7266740A89BCEAE7E60B7E103</vt:lpwstr>
  </property>
</Properties>
</file>