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290" tabRatio="810" activeTab="2"/>
  </bookViews>
  <sheets>
    <sheet name="假设条件" sheetId="34" r:id="rId1"/>
    <sheet name="现金" sheetId="36" state="hidden" r:id="rId2"/>
    <sheet name="损益表" sheetId="56" r:id="rId3"/>
    <sheet name="2024年" sheetId="62" r:id="rId4"/>
    <sheet name="2025年" sheetId="43" r:id="rId5"/>
    <sheet name="2026年" sheetId="57" r:id="rId6"/>
    <sheet name="2027年" sheetId="58" r:id="rId7"/>
    <sheet name="2028年" sheetId="59" r:id="rId8"/>
    <sheet name="2029年" sheetId="60" r:id="rId9"/>
    <sheet name="2030年" sheetId="61" r:id="rId10"/>
    <sheet name="项目投资" sheetId="51" r:id="rId11"/>
    <sheet name="销量" sheetId="55" r:id="rId12"/>
    <sheet name="材料成本" sheetId="53" r:id="rId13"/>
    <sheet name="其他" sheetId="54" r:id="rId14"/>
    <sheet name="标准成本" sheetId="50" r:id="rId15"/>
  </sheets>
  <externalReferences>
    <externalReference r:id="rId16"/>
    <externalReference r:id="rId17"/>
  </externalReferences>
  <definedNames>
    <definedName name="_xlnm.Print_Area" localSheetId="4">'2025年'!$A$1:$F$48</definedName>
    <definedName name="_xlnm.Print_Area" localSheetId="5">'2026年'!$A$1:$F$48</definedName>
    <definedName name="_xlnm.Print_Area" localSheetId="6">'2027年'!$A$1:$F$48</definedName>
    <definedName name="_xlnm.Print_Area" localSheetId="10">项目投资!$A$1:$C$35</definedName>
    <definedName name="_xlnm.Print_Area" localSheetId="7">'2028年'!$A$1:$F$48</definedName>
    <definedName name="_xlnm.Print_Area" localSheetId="8">'2029年'!$A$1:$F$48</definedName>
    <definedName name="_xlnm.Print_Area" localSheetId="9">'2030年'!$A$1:$F$48</definedName>
    <definedName name="_xlnm.Print_Area" localSheetId="3">'2024年'!$A$1:$F$48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N3" authorId="0">
      <text>
        <r>
          <rPr>
            <b/>
            <sz val="9"/>
            <rFont val="宋体"/>
            <charset val="134"/>
          </rPr>
          <t>委外加工、客户指定信息必须填写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<sst xmlns="http://schemas.openxmlformats.org/spreadsheetml/2006/main" count="1954" uniqueCount="289">
  <si>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</si>
  <si>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</si>
  <si>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</si>
  <si>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</si>
  <si>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</si>
  <si>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</si>
  <si>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</si>
  <si>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</si>
  <si>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成本预估由项目经理提供。供应商年度降价与销价降价同步。</t>
  </si>
  <si>
    <t>单台材料成本为未税价格，面套、骨架、底支架自制。</t>
  </si>
  <si>
    <t>变动费用</t>
  </si>
  <si>
    <t>变动费用参考河北工厂2022年实际及2023预算暂估。</t>
  </si>
  <si>
    <t>固定费用</t>
  </si>
  <si>
    <t>预测工厂产能满足客户订单。</t>
  </si>
  <si>
    <t>研发费用按照产销量摊销。</t>
  </si>
  <si>
    <t>财务费用按集团综合。</t>
  </si>
  <si>
    <t>如有产线改造按照产销量摊销，无净残值。</t>
  </si>
  <si>
    <t>投资回收期</t>
  </si>
  <si>
    <t>投资仅指此项目研发费用及模夹检具工装、生产地产线改造投入。</t>
  </si>
  <si>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</si>
  <si>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</si>
  <si>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</si>
  <si>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</si>
  <si>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</si>
  <si>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</si>
  <si>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</si>
  <si>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</si>
  <si>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</si>
  <si>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</si>
  <si>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</si>
  <si>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</si>
  <si>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</si>
  <si>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</si>
  <si>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</si>
  <si>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</si>
  <si>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</si>
  <si>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</si>
  <si>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</si>
  <si>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</si>
  <si>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</si>
  <si>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</si>
  <si>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</si>
  <si>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</si>
  <si>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</si>
  <si>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</si>
  <si>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</si>
  <si>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</si>
  <si>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</si>
  <si>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</si>
  <si>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</si>
  <si>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</si>
  <si>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陕汽轻卡座椅项目可行性分析            单位：元</t>
  </si>
  <si>
    <t>面套、骨架、底支架自制</t>
  </si>
  <si>
    <r>
      <rPr>
        <b/>
        <sz val="10"/>
        <rFont val="CorpoS"/>
        <charset val="134"/>
      </rPr>
      <t>2024</t>
    </r>
    <r>
      <rPr>
        <b/>
        <sz val="10"/>
        <rFont val="宋体"/>
        <charset val="134"/>
      </rPr>
      <t>年</t>
    </r>
  </si>
  <si>
    <r>
      <rPr>
        <b/>
        <sz val="10"/>
        <rFont val="CorpoS"/>
        <charset val="134"/>
      </rPr>
      <t>2025</t>
    </r>
    <r>
      <rPr>
        <b/>
        <sz val="10"/>
        <rFont val="宋体"/>
        <charset val="134"/>
      </rPr>
      <t>年</t>
    </r>
  </si>
  <si>
    <t>2026年</t>
  </si>
  <si>
    <t>2027年</t>
  </si>
  <si>
    <t>2028年</t>
  </si>
  <si>
    <t>2029年</t>
  </si>
  <si>
    <r>
      <rPr>
        <b/>
        <sz val="10"/>
        <rFont val="CorpoS"/>
        <charset val="134"/>
      </rPr>
      <t>2030</t>
    </r>
    <r>
      <rPr>
        <b/>
        <sz val="10"/>
        <rFont val="宋体"/>
        <charset val="134"/>
      </rPr>
      <t>年</t>
    </r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</si>
  <si>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</si>
  <si>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</si>
  <si>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</si>
  <si>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</si>
  <si>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</si>
  <si>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</si>
  <si>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</si>
  <si>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</si>
  <si>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</si>
  <si>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</si>
  <si>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</si>
  <si>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r>
      <rPr>
        <sz val="10"/>
        <color theme="1"/>
        <rFont val="微软雅黑"/>
        <charset val="134"/>
      </rPr>
      <t xml:space="preserve">直接材料  </t>
    </r>
    <r>
      <rPr>
        <b/>
        <sz val="10"/>
        <color rgb="FFFF0000"/>
        <rFont val="微软雅黑"/>
        <charset val="134"/>
      </rPr>
      <t>面套、骨架、底支架自制</t>
    </r>
  </si>
  <si>
    <t>5、</t>
  </si>
  <si>
    <t>直接材料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</si>
  <si>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</si>
  <si>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</si>
  <si>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</si>
  <si>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</si>
  <si>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</si>
  <si>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</si>
  <si>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</si>
  <si>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</si>
  <si>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</si>
  <si>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</si>
  <si>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</si>
  <si>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</si>
  <si>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</si>
  <si>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</si>
  <si>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</si>
  <si>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设备模具等折旧分摊</t>
  </si>
  <si>
    <t>假设包含在固定制造费用中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</si>
  <si>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</si>
  <si>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</si>
  <si>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</si>
  <si>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</si>
  <si>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</si>
  <si>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</si>
  <si>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</si>
  <si>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</si>
  <si>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</si>
  <si>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</si>
  <si>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</si>
  <si>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20、</t>
  </si>
  <si>
    <t>净利润</t>
  </si>
  <si>
    <t>21、</t>
  </si>
  <si>
    <t>销售净利率</t>
  </si>
  <si>
    <t>22、</t>
  </si>
  <si>
    <t>利润率</t>
  </si>
  <si>
    <t>指标值</t>
  </si>
  <si>
    <t>2025年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</si>
  <si>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</si>
  <si>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</si>
  <si>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</si>
  <si>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</si>
  <si>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</si>
  <si>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</si>
  <si>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</si>
  <si>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</si>
  <si>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</si>
  <si>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</si>
  <si>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</si>
  <si>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</si>
  <si>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</si>
  <si>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</si>
  <si>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单件边际贡献率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</si>
  <si>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</si>
  <si>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</si>
  <si>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</si>
  <si>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</si>
  <si>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</si>
  <si>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</si>
  <si>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</si>
  <si>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</si>
  <si>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</si>
  <si>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</si>
  <si>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</si>
  <si>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</si>
  <si>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</si>
  <si>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</si>
  <si>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</si>
  <si>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</si>
  <si>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</si>
  <si>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</si>
  <si>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</si>
  <si>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</si>
  <si>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</si>
  <si>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</si>
  <si>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</si>
  <si>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</si>
  <si>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</si>
  <si>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</si>
  <si>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</si>
  <si>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</si>
  <si>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</si>
  <si>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</si>
  <si>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年度</t>
  </si>
  <si>
    <t xml:space="preserve">2024年  </t>
  </si>
  <si>
    <t>客户全称</t>
  </si>
  <si>
    <t>陕汽轻卡座椅</t>
  </si>
  <si>
    <t>产品名称</t>
  </si>
  <si>
    <t>气囊主司机</t>
  </si>
  <si>
    <t>普通主司机</t>
  </si>
  <si>
    <t>副司机</t>
  </si>
  <si>
    <t>产品图号</t>
  </si>
  <si>
    <t>车型</t>
  </si>
  <si>
    <t>气囊调节、扶手、分离式头枕</t>
  </si>
  <si>
    <t>扶手、分离式头枕</t>
  </si>
  <si>
    <t>分离式头枕</t>
  </si>
  <si>
    <t>销量(件）</t>
  </si>
  <si>
    <t>所得税(税率25%）</t>
  </si>
  <si>
    <t>单位：元</t>
  </si>
  <si>
    <t>单件销售收入净额</t>
  </si>
  <si>
    <t xml:space="preserve">2025年  </t>
  </si>
  <si>
    <t xml:space="preserve">2026年  </t>
  </si>
  <si>
    <t xml:space="preserve">2027年  </t>
  </si>
  <si>
    <t xml:space="preserve">2028年  </t>
  </si>
  <si>
    <t xml:space="preserve">2029年  </t>
  </si>
  <si>
    <t xml:space="preserve">2030年  </t>
  </si>
  <si>
    <r>
      <rPr>
        <b/>
        <sz val="16"/>
        <color indexed="8"/>
        <rFont val="宋体"/>
        <charset val="134"/>
      </rPr>
      <t xml:space="preserve">    项目建设及投资估算表    </t>
    </r>
    <r>
      <rPr>
        <b/>
        <sz val="8"/>
        <color indexed="8"/>
        <rFont val="宋体"/>
        <charset val="134"/>
      </rPr>
      <t>单位：万元</t>
    </r>
  </si>
  <si>
    <t xml:space="preserve">出口越南中卡驾驶员座椅项目研发费用预算表 </t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</si>
  <si>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</si>
  <si>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</si>
  <si>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</si>
  <si>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</si>
  <si>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</si>
  <si>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</si>
  <si>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</si>
  <si>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</si>
  <si>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</si>
  <si>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</si>
  <si>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</si>
  <si>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</si>
  <si>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</si>
  <si>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</si>
  <si>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</si>
  <si>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</si>
  <si>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</si>
  <si>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</si>
  <si>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</si>
  <si>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</si>
  <si>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</si>
  <si>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</si>
  <si>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</si>
  <si>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</si>
  <si>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</si>
  <si>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</si>
  <si>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</si>
  <si>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</si>
  <si>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</si>
  <si>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</si>
  <si>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</si>
  <si>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</si>
  <si>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</si>
  <si>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2024年</t>
  </si>
  <si>
    <t>2030年</t>
  </si>
  <si>
    <t>预计净残值</t>
  </si>
  <si>
    <t>研发费用分摊</t>
  </si>
  <si>
    <t>产品量价规划</t>
  </si>
  <si>
    <t>一、销量、售价</t>
  </si>
  <si>
    <t>预计销价年降</t>
  </si>
  <si>
    <t xml:space="preserve">  年</t>
  </si>
  <si>
    <t>新开发产品</t>
  </si>
  <si>
    <t>销售单价</t>
  </si>
  <si>
    <t>配置</t>
  </si>
  <si>
    <t xml:space="preserve">销售价格
（元，未税）  </t>
  </si>
  <si>
    <t>销量（件）</t>
  </si>
  <si>
    <t>原材料成本</t>
  </si>
  <si>
    <t>附加值率</t>
  </si>
  <si>
    <t>预估原材料成本（单位：元，未税）</t>
  </si>
  <si>
    <t>供应商年降：       年 3%</t>
  </si>
  <si>
    <t>模块</t>
  </si>
  <si>
    <t>项目名称</t>
  </si>
  <si>
    <t>项目编号</t>
  </si>
  <si>
    <t>ZY2419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</si>
  <si>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</si>
  <si>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</si>
  <si>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</si>
  <si>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</si>
  <si>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</si>
  <si>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</si>
  <si>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</si>
  <si>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</si>
  <si>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</si>
  <si>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</si>
  <si>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标准件</t>
  </si>
  <si>
    <t>包装膜</t>
  </si>
  <si>
    <t>通风加热</t>
  </si>
  <si>
    <t>安全带</t>
  </si>
  <si>
    <t>SBR</t>
  </si>
  <si>
    <t>喷涂</t>
  </si>
  <si>
    <t>预计材料成本</t>
  </si>
  <si>
    <t>汇总</t>
  </si>
  <si>
    <t>第一次</t>
  </si>
  <si>
    <t>项    目</t>
  </si>
  <si>
    <t>内容</t>
  </si>
  <si>
    <t>说明</t>
  </si>
  <si>
    <t>生产地点</t>
  </si>
  <si>
    <t>客户地点</t>
  </si>
  <si>
    <t>送货地点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</si>
  <si>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</si>
  <si>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</si>
  <si>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</si>
  <si>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</si>
  <si>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</si>
  <si>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</si>
  <si>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</si>
  <si>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</si>
  <si>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</si>
  <si>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</si>
  <si>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</si>
  <si>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产品应用场景</t>
  </si>
  <si>
    <t>三包周期</t>
  </si>
  <si>
    <t>涂红色处为必填项</t>
  </si>
  <si>
    <t>单位：元、%、未税</t>
  </si>
  <si>
    <t>科目</t>
  </si>
  <si>
    <t>河北工厂平均值</t>
  </si>
  <si>
    <t>预计</t>
  </si>
  <si>
    <t>座椅单件金额</t>
  </si>
  <si>
    <t>后视镜单件金额</t>
  </si>
  <si>
    <t>综合单件金额</t>
  </si>
  <si>
    <t>座椅占收入比率</t>
  </si>
  <si>
    <t>后视镜占收入比率</t>
  </si>
  <si>
    <t>综合占收入比率</t>
  </si>
  <si>
    <t>人工成本</t>
  </si>
  <si>
    <t>制造费用</t>
  </si>
  <si>
    <t>固定</t>
  </si>
  <si>
    <t>变动</t>
  </si>
  <si>
    <t>标准成本小计</t>
  </si>
  <si>
    <t>销售费用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</si>
</sst>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_ * #,##0_ ;_ * \-#,##0_ ;_ * &quot;-&quot;??_ ;_ @_ "/>
    <numFmt numFmtId="178" formatCode="0.0%"/>
    <numFmt numFmtId="179" formatCode="#,##0_ "/>
    <numFmt numFmtId="180" formatCode="0_ "/>
    <numFmt numFmtId="181" formatCode="0.00_ "/>
    <numFmt numFmtId="182" formatCode="&quot;$&quot;#,##0.00_);[Red]\(&quot;$&quot;#,##0.00\)"/>
  </numFmts>
  <fonts count="6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微软雅黑"/>
      <charset val="134"/>
    </font>
    <font>
      <sz val="11"/>
      <color theme="1"/>
      <name val="微软雅黑"/>
      <charset val="134"/>
    </font>
    <font>
      <sz val="11"/>
      <color rgb="FF000000"/>
      <name val="宋体"/>
      <charset val="134"/>
    </font>
    <font>
      <sz val="9"/>
      <color theme="1"/>
      <name val="微软雅黑"/>
      <charset val="134"/>
    </font>
    <font>
      <b/>
      <sz val="10"/>
      <color rgb="FFFF0000"/>
      <name val="微软雅黑"/>
      <charset val="134"/>
    </font>
    <font>
      <b/>
      <sz val="11"/>
      <name val="微软雅黑"/>
      <charset val="134"/>
    </font>
    <font>
      <b/>
      <sz val="9"/>
      <name val="微软雅黑"/>
      <charset val="134"/>
    </font>
    <font>
      <sz val="11"/>
      <name val="微软雅黑"/>
      <charset val="134"/>
    </font>
    <font>
      <sz val="9"/>
      <name val="微软雅黑"/>
      <charset val="134"/>
    </font>
    <font>
      <sz val="10"/>
      <name val="微软雅黑"/>
      <charset val="134"/>
    </font>
    <font>
      <b/>
      <sz val="11"/>
      <color theme="1"/>
      <name val="微软雅黑"/>
      <charset val="134"/>
    </font>
    <font>
      <sz val="11"/>
      <name val="宋体"/>
      <charset val="134"/>
    </font>
    <font>
      <sz val="12"/>
      <name val="微软雅黑"/>
      <charset val="134"/>
    </font>
    <font>
      <sz val="12"/>
      <color rgb="FF000000"/>
      <name val="微软雅黑"/>
      <charset val="134"/>
    </font>
    <font>
      <sz val="14"/>
      <color rgb="FF000000"/>
      <name val="宋体"/>
      <charset val="134"/>
    </font>
    <font>
      <b/>
      <sz val="12"/>
      <color rgb="FFFF0000"/>
      <name val="微软雅黑"/>
      <charset val="134"/>
    </font>
    <font>
      <b/>
      <sz val="16"/>
      <color indexed="8"/>
      <name val="宋体"/>
      <charset val="134"/>
    </font>
    <font>
      <sz val="10"/>
      <color indexed="12"/>
      <name val="宋体"/>
      <charset val="134"/>
    </font>
    <font>
      <sz val="10"/>
      <name val="宋体"/>
      <charset val="134"/>
    </font>
    <font>
      <sz val="10"/>
      <color indexed="8"/>
      <name val="Times New Roman"/>
      <charset val="134"/>
    </font>
    <font>
      <sz val="10"/>
      <color indexed="8"/>
      <name val="宋体"/>
      <charset val="134"/>
    </font>
    <font>
      <sz val="10"/>
      <color rgb="FFFF000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11"/>
      <color rgb="FFFF0000"/>
      <name val="微软雅黑"/>
      <charset val="134"/>
    </font>
    <font>
      <b/>
      <sz val="10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8"/>
      <color theme="1"/>
      <name val="微软雅黑"/>
      <charset val="134"/>
    </font>
    <font>
      <b/>
      <sz val="10"/>
      <name val="CorpoS"/>
      <charset val="134"/>
    </font>
    <font>
      <b/>
      <sz val="10"/>
      <name val="微软雅黑"/>
      <charset val="134"/>
    </font>
    <font>
      <sz val="14"/>
      <name val="宋体"/>
      <charset val="134"/>
    </font>
    <font>
      <sz val="12"/>
      <color theme="1"/>
      <name val="宋体"/>
      <charset val="134"/>
      <scheme val="minor"/>
    </font>
    <font>
      <b/>
      <sz val="12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S Sans Serif"/>
      <charset val="134"/>
    </font>
    <font>
      <sz val="9"/>
      <name val="Arial"/>
      <charset val="134"/>
    </font>
    <font>
      <sz val="12"/>
      <name val="宋体"/>
      <charset val="134"/>
    </font>
    <font>
      <sz val="12"/>
      <name val="Times New Roman"/>
      <charset val="134"/>
    </font>
    <font>
      <b/>
      <sz val="12"/>
      <name val="仿宋体"/>
      <charset val="134"/>
    </font>
    <font>
      <sz val="11"/>
      <color indexed="8"/>
      <name val="宋体"/>
      <charset val="134"/>
    </font>
    <font>
      <b/>
      <sz val="8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1" borderId="19" applyNumberFormat="0" applyAlignment="0" applyProtection="0">
      <alignment vertical="center"/>
    </xf>
    <xf numFmtId="0" fontId="45" fillId="12" borderId="20" applyNumberFormat="0" applyAlignment="0" applyProtection="0">
      <alignment vertical="center"/>
    </xf>
    <xf numFmtId="0" fontId="46" fillId="12" borderId="19" applyNumberFormat="0" applyAlignment="0" applyProtection="0">
      <alignment vertical="center"/>
    </xf>
    <xf numFmtId="0" fontId="47" fillId="13" borderId="21" applyNumberFormat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55" fillId="0" borderId="0"/>
    <xf numFmtId="0" fontId="56" fillId="0" borderId="2" applyNumberFormat="0" applyFill="0" applyBorder="0" applyAlignment="0" applyProtection="0">
      <alignment vertical="center"/>
    </xf>
    <xf numFmtId="0" fontId="0" fillId="0" borderId="0">
      <alignment vertical="center"/>
    </xf>
    <xf numFmtId="0" fontId="57" fillId="0" borderId="0"/>
    <xf numFmtId="0" fontId="58" fillId="0" borderId="0"/>
    <xf numFmtId="1" fontId="59" fillId="0" borderId="2" applyBorder="0"/>
    <xf numFmtId="43" fontId="60" fillId="0" borderId="0" applyFont="0" applyFill="0" applyBorder="0" applyAlignment="0" applyProtection="0">
      <alignment vertical="center"/>
    </xf>
    <xf numFmtId="0" fontId="57" fillId="0" borderId="0"/>
  </cellStyleXfs>
  <cellXfs count="26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0" fontId="0" fillId="0" borderId="0" xfId="3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>
      <alignment vertical="center"/>
    </xf>
    <xf numFmtId="43" fontId="0" fillId="0" borderId="2" xfId="1" applyFont="1" applyFill="1" applyBorder="1">
      <alignment vertical="center"/>
    </xf>
    <xf numFmtId="43" fontId="0" fillId="0" borderId="2" xfId="0" applyNumberFormat="1" applyFill="1" applyBorder="1" applyAlignment="1">
      <alignment horizontal="center" vertical="center"/>
    </xf>
    <xf numFmtId="10" fontId="0" fillId="0" borderId="2" xfId="0" applyNumberForma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43" fontId="1" fillId="0" borderId="2" xfId="1" applyFont="1" applyFill="1" applyBorder="1">
      <alignment vertical="center"/>
    </xf>
    <xf numFmtId="10" fontId="0" fillId="0" borderId="2" xfId="3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2" fillId="0" borderId="8" xfId="0" applyFont="1" applyFill="1" applyBorder="1" applyAlignment="1">
      <alignment horizontal="center" vertical="center" wrapText="1"/>
    </xf>
    <xf numFmtId="43" fontId="0" fillId="0" borderId="0" xfId="1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10" fontId="4" fillId="4" borderId="2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43" fontId="5" fillId="4" borderId="2" xfId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43" fontId="10" fillId="4" borderId="2" xfId="1" applyFont="1" applyFill="1" applyBorder="1" applyAlignment="1">
      <alignment horizontal="center" vertical="center" wrapText="1"/>
    </xf>
    <xf numFmtId="43" fontId="11" fillId="5" borderId="2" xfId="0" applyNumberFormat="1" applyFont="1" applyFill="1" applyBorder="1" applyAlignment="1">
      <alignment horizontal="center" vertical="center" wrapText="1"/>
    </xf>
    <xf numFmtId="43" fontId="5" fillId="5" borderId="0" xfId="1" applyFont="1" applyFill="1" applyAlignment="1">
      <alignment horizontal="center" vertical="center" wrapText="1"/>
    </xf>
    <xf numFmtId="43" fontId="5" fillId="5" borderId="2" xfId="1" applyFont="1" applyFill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3" fontId="10" fillId="0" borderId="2" xfId="1" applyFont="1" applyBorder="1" applyAlignment="1">
      <alignment vertical="center" wrapText="1"/>
    </xf>
    <xf numFmtId="43" fontId="5" fillId="0" borderId="0" xfId="1" applyFont="1" applyAlignment="1">
      <alignment horizontal="center" vertical="center" wrapText="1"/>
    </xf>
    <xf numFmtId="43" fontId="5" fillId="0" borderId="0" xfId="0" applyNumberFormat="1" applyFont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43" fontId="5" fillId="0" borderId="6" xfId="0" applyNumberFormat="1" applyFont="1" applyBorder="1" applyAlignment="1">
      <alignment horizontal="center" vertical="center" wrapText="1"/>
    </xf>
    <xf numFmtId="43" fontId="5" fillId="0" borderId="10" xfId="0" applyNumberFormat="1" applyFont="1" applyBorder="1" applyAlignment="1">
      <alignment horizontal="center" vertical="center" wrapText="1"/>
    </xf>
    <xf numFmtId="43" fontId="5" fillId="0" borderId="7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43" fontId="3" fillId="0" borderId="0" xfId="0" applyNumberFormat="1" applyFont="1" applyBorder="1">
      <alignment vertical="center"/>
    </xf>
    <xf numFmtId="0" fontId="3" fillId="0" borderId="0" xfId="0" applyFont="1" applyFill="1">
      <alignment vertical="center"/>
    </xf>
    <xf numFmtId="176" fontId="3" fillId="0" borderId="0" xfId="0" applyNumberFormat="1" applyFont="1" applyFill="1">
      <alignment vertical="center"/>
    </xf>
    <xf numFmtId="0" fontId="12" fillId="0" borderId="0" xfId="0" applyFont="1" applyFill="1" applyAlignment="1">
      <alignment vertical="center" wrapText="1"/>
    </xf>
    <xf numFmtId="177" fontId="3" fillId="0" borderId="0" xfId="1" applyNumberFormat="1" applyFont="1" applyFill="1">
      <alignment vertical="center"/>
    </xf>
    <xf numFmtId="0" fontId="12" fillId="0" borderId="0" xfId="0" applyFont="1" applyFill="1" applyAlignment="1">
      <alignment vertical="center"/>
    </xf>
    <xf numFmtId="10" fontId="3" fillId="0" borderId="0" xfId="0" applyNumberFormat="1" applyFont="1" applyFill="1">
      <alignment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43" fontId="14" fillId="0" borderId="2" xfId="0" applyNumberFormat="1" applyFont="1" applyFill="1" applyBorder="1" applyAlignment="1">
      <alignment horizontal="center" vertical="center" wrapText="1" readingOrder="1"/>
    </xf>
    <xf numFmtId="0" fontId="3" fillId="0" borderId="10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 readingOrder="1"/>
    </xf>
    <xf numFmtId="176" fontId="15" fillId="0" borderId="2" xfId="0" applyNumberFormat="1" applyFont="1" applyFill="1" applyBorder="1" applyAlignment="1">
      <alignment horizontal="center" vertical="center" wrapText="1" readingOrder="1"/>
    </xf>
    <xf numFmtId="176" fontId="16" fillId="0" borderId="2" xfId="0" applyNumberFormat="1" applyFont="1" applyFill="1" applyBorder="1" applyAlignment="1">
      <alignment horizontal="center" vertical="center" wrapText="1" readingOrder="1"/>
    </xf>
    <xf numFmtId="0" fontId="3" fillId="0" borderId="7" xfId="0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wrapText="1" readingOrder="1"/>
    </xf>
    <xf numFmtId="43" fontId="3" fillId="0" borderId="0" xfId="1" applyFont="1" applyFill="1">
      <alignment vertical="center"/>
    </xf>
    <xf numFmtId="0" fontId="17" fillId="0" borderId="0" xfId="0" applyFont="1" applyBorder="1" applyAlignment="1">
      <alignment horizontal="center" vertical="center" wrapText="1"/>
    </xf>
    <xf numFmtId="43" fontId="3" fillId="0" borderId="0" xfId="0" applyNumberFormat="1" applyFont="1" applyFill="1">
      <alignment vertical="center"/>
    </xf>
    <xf numFmtId="178" fontId="3" fillId="0" borderId="0" xfId="3" applyNumberFormat="1" applyFont="1" applyFill="1">
      <alignment vertical="center"/>
    </xf>
    <xf numFmtId="178" fontId="3" fillId="5" borderId="0" xfId="3" applyNumberFormat="1" applyFont="1" applyFill="1">
      <alignment vertical="center"/>
    </xf>
    <xf numFmtId="0" fontId="15" fillId="0" borderId="6" xfId="0" applyFont="1" applyFill="1" applyBorder="1" applyAlignment="1">
      <alignment horizontal="center" vertical="center" wrapText="1" readingOrder="1"/>
    </xf>
    <xf numFmtId="0" fontId="15" fillId="0" borderId="10" xfId="0" applyFont="1" applyFill="1" applyBorder="1" applyAlignment="1">
      <alignment horizontal="center" vertical="center" wrapText="1" readingOrder="1"/>
    </xf>
    <xf numFmtId="0" fontId="15" fillId="0" borderId="7" xfId="0" applyFont="1" applyFill="1" applyBorder="1" applyAlignment="1">
      <alignment horizontal="center" vertical="center" wrapText="1" readingOrder="1"/>
    </xf>
    <xf numFmtId="177" fontId="15" fillId="0" borderId="2" xfId="1" applyNumberFormat="1" applyFont="1" applyFill="1" applyBorder="1" applyAlignment="1">
      <alignment horizontal="center" vertical="center" wrapText="1" readingOrder="1"/>
    </xf>
    <xf numFmtId="179" fontId="3" fillId="0" borderId="0" xfId="0" applyNumberFormat="1" applyFont="1" applyFill="1">
      <alignment vertical="center"/>
    </xf>
    <xf numFmtId="43" fontId="3" fillId="0" borderId="2" xfId="0" applyNumberFormat="1" applyFont="1" applyFill="1" applyBorder="1">
      <alignment vertical="center"/>
    </xf>
    <xf numFmtId="43" fontId="0" fillId="0" borderId="0" xfId="1" applyFont="1">
      <alignment vertical="center"/>
    </xf>
    <xf numFmtId="0" fontId="18" fillId="6" borderId="1" xfId="49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80" fontId="19" fillId="7" borderId="2" xfId="53" applyNumberFormat="1" applyFont="1" applyFill="1" applyBorder="1" applyAlignment="1">
      <alignment horizontal="center" vertical="center" wrapText="1"/>
    </xf>
    <xf numFmtId="43" fontId="19" fillId="7" borderId="2" xfId="1" applyFont="1" applyFill="1" applyBorder="1" applyAlignment="1">
      <alignment horizontal="center" vertical="center" wrapText="1"/>
    </xf>
    <xf numFmtId="0" fontId="19" fillId="7" borderId="2" xfId="49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180" fontId="20" fillId="0" borderId="2" xfId="53" applyNumberFormat="1" applyFont="1" applyFill="1" applyBorder="1" applyAlignment="1">
      <alignment horizontal="left" vertical="center"/>
    </xf>
    <xf numFmtId="43" fontId="20" fillId="4" borderId="2" xfId="1" applyFont="1" applyFill="1" applyBorder="1" applyAlignment="1">
      <alignment horizontal="center" vertical="center"/>
    </xf>
    <xf numFmtId="0" fontId="21" fillId="6" borderId="2" xfId="49" applyNumberFormat="1" applyFont="1" applyFill="1" applyBorder="1" applyAlignment="1" applyProtection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>
      <alignment vertical="center"/>
    </xf>
    <xf numFmtId="43" fontId="4" fillId="3" borderId="2" xfId="1" applyFont="1" applyFill="1" applyBorder="1" applyAlignment="1" applyProtection="1">
      <alignment horizontal="center" vertical="center"/>
    </xf>
    <xf numFmtId="0" fontId="22" fillId="6" borderId="2" xfId="49" applyNumberFormat="1" applyFont="1" applyFill="1" applyBorder="1" applyAlignment="1" applyProtection="1">
      <alignment horizontal="center" vertical="center"/>
    </xf>
    <xf numFmtId="0" fontId="0" fillId="0" borderId="10" xfId="0" applyBorder="1" applyAlignment="1">
      <alignment horizontal="center" vertical="center"/>
    </xf>
    <xf numFmtId="43" fontId="20" fillId="0" borderId="2" xfId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8" borderId="2" xfId="0" applyFill="1" applyBorder="1">
      <alignment vertical="center"/>
    </xf>
    <xf numFmtId="0" fontId="0" fillId="0" borderId="10" xfId="0" applyBorder="1" applyAlignment="1">
      <alignment horizontal="center" vertical="center" wrapText="1"/>
    </xf>
    <xf numFmtId="180" fontId="20" fillId="0" borderId="3" xfId="53" applyNumberFormat="1" applyFont="1" applyFill="1" applyBorder="1" applyAlignment="1">
      <alignment horizontal="center" vertical="center"/>
    </xf>
    <xf numFmtId="180" fontId="20" fillId="0" borderId="3" xfId="53" applyNumberFormat="1" applyFont="1" applyFill="1" applyBorder="1" applyAlignment="1">
      <alignment horizontal="left" vertical="center" wrapText="1"/>
    </xf>
    <xf numFmtId="0" fontId="21" fillId="6" borderId="2" xfId="49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>
      <alignment vertic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15" fillId="8" borderId="2" xfId="0" applyFont="1" applyFill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readingOrder="1"/>
    </xf>
    <xf numFmtId="43" fontId="10" fillId="0" borderId="2" xfId="0" applyNumberFormat="1" applyFont="1" applyBorder="1">
      <alignment vertical="center"/>
    </xf>
    <xf numFmtId="43" fontId="10" fillId="0" borderId="2" xfId="1" applyNumberFormat="1" applyFont="1" applyBorder="1">
      <alignment vertical="center"/>
    </xf>
    <xf numFmtId="43" fontId="10" fillId="0" borderId="2" xfId="1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8" borderId="0" xfId="0" applyFill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23" fillId="0" borderId="0" xfId="0" applyFont="1" applyFill="1">
      <alignment vertical="center"/>
    </xf>
    <xf numFmtId="0" fontId="11" fillId="0" borderId="0" xfId="0" applyFont="1" applyFill="1">
      <alignment vertical="center"/>
    </xf>
    <xf numFmtId="0" fontId="24" fillId="0" borderId="0" xfId="0" applyFont="1" applyFill="1">
      <alignment vertical="center"/>
    </xf>
    <xf numFmtId="43" fontId="24" fillId="0" borderId="0" xfId="1" applyFont="1" applyFill="1">
      <alignment vertical="center"/>
    </xf>
    <xf numFmtId="0" fontId="24" fillId="0" borderId="2" xfId="0" applyFont="1" applyFill="1" applyBorder="1" applyAlignment="1">
      <alignment horizontal="center" vertical="center"/>
    </xf>
    <xf numFmtId="43" fontId="24" fillId="0" borderId="3" xfId="1" applyFont="1" applyFill="1" applyBorder="1" applyAlignment="1">
      <alignment horizontal="center" vertical="center"/>
    </xf>
    <xf numFmtId="43" fontId="24" fillId="0" borderId="4" xfId="1" applyFont="1" applyFill="1" applyBorder="1" applyAlignment="1">
      <alignment horizontal="center" vertical="center"/>
    </xf>
    <xf numFmtId="43" fontId="24" fillId="0" borderId="5" xfId="1" applyFont="1" applyFill="1" applyBorder="1" applyAlignment="1">
      <alignment horizontal="center" vertical="center"/>
    </xf>
    <xf numFmtId="43" fontId="24" fillId="4" borderId="2" xfId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 wrapText="1"/>
    </xf>
    <xf numFmtId="43" fontId="26" fillId="0" borderId="6" xfId="1" applyFont="1" applyFill="1" applyBorder="1" applyAlignment="1">
      <alignment horizontal="center" vertical="center" wrapText="1"/>
    </xf>
    <xf numFmtId="43" fontId="26" fillId="0" borderId="10" xfId="1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43" fontId="26" fillId="0" borderId="7" xfId="1" applyFont="1" applyFill="1" applyBorder="1" applyAlignment="1">
      <alignment horizontal="center" vertical="center" wrapText="1"/>
    </xf>
    <xf numFmtId="0" fontId="24" fillId="0" borderId="2" xfId="0" applyFont="1" applyFill="1" applyBorder="1">
      <alignment vertical="center"/>
    </xf>
    <xf numFmtId="0" fontId="28" fillId="0" borderId="2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 wrapText="1" readingOrder="1"/>
    </xf>
    <xf numFmtId="43" fontId="24" fillId="0" borderId="2" xfId="1" applyFont="1" applyFill="1" applyBorder="1" applyAlignment="1">
      <alignment horizontal="center" vertical="center"/>
    </xf>
    <xf numFmtId="43" fontId="24" fillId="0" borderId="0" xfId="0" applyNumberFormat="1" applyFont="1" applyFill="1">
      <alignment vertical="center"/>
    </xf>
    <xf numFmtId="0" fontId="28" fillId="0" borderId="2" xfId="0" applyFont="1" applyFill="1" applyBorder="1">
      <alignment vertical="center"/>
    </xf>
    <xf numFmtId="10" fontId="24" fillId="0" borderId="2" xfId="3" applyNumberFormat="1" applyFont="1" applyFill="1" applyBorder="1" applyAlignment="1">
      <alignment horizontal="center" vertical="center"/>
    </xf>
    <xf numFmtId="10" fontId="24" fillId="0" borderId="0" xfId="0" applyNumberFormat="1" applyFont="1" applyFill="1">
      <alignment vertical="center"/>
    </xf>
    <xf numFmtId="0" fontId="23" fillId="0" borderId="2" xfId="0" applyFont="1" applyFill="1" applyBorder="1">
      <alignment vertical="center"/>
    </xf>
    <xf numFmtId="43" fontId="23" fillId="0" borderId="2" xfId="1" applyFont="1" applyFill="1" applyBorder="1">
      <alignment vertical="center"/>
    </xf>
    <xf numFmtId="0" fontId="29" fillId="0" borderId="0" xfId="0" applyFont="1" applyFill="1">
      <alignment vertical="center"/>
    </xf>
    <xf numFmtId="43" fontId="24" fillId="0" borderId="2" xfId="1" applyFont="1" applyFill="1" applyBorder="1">
      <alignment vertical="center"/>
    </xf>
    <xf numFmtId="0" fontId="11" fillId="0" borderId="2" xfId="0" applyFont="1" applyFill="1" applyBorder="1">
      <alignment vertical="center"/>
    </xf>
    <xf numFmtId="181" fontId="24" fillId="0" borderId="0" xfId="0" applyNumberFormat="1" applyFont="1" applyFill="1">
      <alignment vertical="center"/>
    </xf>
    <xf numFmtId="9" fontId="24" fillId="0" borderId="2" xfId="3" applyFont="1" applyFill="1" applyBorder="1">
      <alignment vertical="center"/>
    </xf>
    <xf numFmtId="10" fontId="24" fillId="0" borderId="2" xfId="3" applyNumberFormat="1" applyFont="1" applyFill="1" applyBorder="1">
      <alignment vertical="center"/>
    </xf>
    <xf numFmtId="43" fontId="23" fillId="0" borderId="2" xfId="1" applyFont="1" applyFill="1" applyBorder="1" applyAlignment="1">
      <alignment horizontal="center" vertical="center"/>
    </xf>
    <xf numFmtId="43" fontId="24" fillId="0" borderId="2" xfId="0" applyNumberFormat="1" applyFont="1" applyFill="1" applyBorder="1">
      <alignment vertical="center"/>
    </xf>
    <xf numFmtId="43" fontId="11" fillId="0" borderId="2" xfId="1" applyFont="1" applyFill="1" applyBorder="1">
      <alignment vertical="center"/>
    </xf>
    <xf numFmtId="43" fontId="24" fillId="0" borderId="0" xfId="1" applyFont="1" applyFill="1" applyAlignment="1">
      <alignment horizontal="center" vertical="center"/>
    </xf>
    <xf numFmtId="43" fontId="0" fillId="0" borderId="0" xfId="1" applyFont="1" applyFill="1">
      <alignment vertical="center"/>
    </xf>
    <xf numFmtId="0" fontId="11" fillId="0" borderId="0" xfId="0" applyFont="1">
      <alignment vertical="center"/>
    </xf>
    <xf numFmtId="0" fontId="24" fillId="0" borderId="0" xfId="0" applyFont="1" applyBorder="1">
      <alignment vertical="center"/>
    </xf>
    <xf numFmtId="0" fontId="24" fillId="0" borderId="0" xfId="0" applyFont="1">
      <alignment vertical="center"/>
    </xf>
    <xf numFmtId="43" fontId="24" fillId="0" borderId="0" xfId="1" applyFont="1">
      <alignment vertical="center"/>
    </xf>
    <xf numFmtId="0" fontId="30" fillId="0" borderId="1" xfId="0" applyFont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/>
    </xf>
    <xf numFmtId="43" fontId="31" fillId="0" borderId="2" xfId="1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/>
    </xf>
    <xf numFmtId="177" fontId="24" fillId="0" borderId="2" xfId="1" applyNumberFormat="1" applyFont="1" applyFill="1" applyBorder="1" applyAlignment="1">
      <alignment horizontal="center" vertical="center"/>
    </xf>
    <xf numFmtId="177" fontId="11" fillId="0" borderId="2" xfId="1" applyNumberFormat="1" applyFont="1" applyFill="1" applyBorder="1" applyAlignment="1">
      <alignment horizontal="center" vertical="center"/>
    </xf>
    <xf numFmtId="0" fontId="28" fillId="9" borderId="2" xfId="0" applyFont="1" applyFill="1" applyBorder="1">
      <alignment vertical="center"/>
    </xf>
    <xf numFmtId="177" fontId="11" fillId="9" borderId="2" xfId="1" applyNumberFormat="1" applyFont="1" applyFill="1" applyBorder="1" applyAlignment="1">
      <alignment horizontal="center" vertical="center"/>
    </xf>
    <xf numFmtId="0" fontId="32" fillId="0" borderId="2" xfId="0" applyFont="1" applyFill="1" applyBorder="1">
      <alignment vertical="center"/>
    </xf>
    <xf numFmtId="0" fontId="24" fillId="0" borderId="2" xfId="0" applyFont="1" applyBorder="1">
      <alignment vertical="center"/>
    </xf>
    <xf numFmtId="10" fontId="11" fillId="0" borderId="2" xfId="3" applyNumberFormat="1" applyFont="1" applyBorder="1" applyAlignment="1">
      <alignment vertical="center"/>
    </xf>
    <xf numFmtId="177" fontId="11" fillId="0" borderId="2" xfId="1" applyNumberFormat="1" applyFont="1" applyBorder="1" applyAlignment="1">
      <alignment horizontal="center" vertical="center"/>
    </xf>
    <xf numFmtId="177" fontId="24" fillId="0" borderId="2" xfId="1" applyNumberFormat="1" applyFont="1" applyFill="1" applyBorder="1">
      <alignment vertical="center"/>
    </xf>
    <xf numFmtId="0" fontId="32" fillId="9" borderId="2" xfId="0" applyFont="1" applyFill="1" applyBorder="1">
      <alignment vertical="center"/>
    </xf>
    <xf numFmtId="177" fontId="24" fillId="0" borderId="2" xfId="1" applyNumberFormat="1" applyFont="1" applyBorder="1" applyAlignment="1">
      <alignment horizontal="center" vertical="center"/>
    </xf>
    <xf numFmtId="10" fontId="24" fillId="0" borderId="2" xfId="3" applyNumberFormat="1" applyFont="1" applyBorder="1">
      <alignment vertical="center"/>
    </xf>
    <xf numFmtId="10" fontId="24" fillId="0" borderId="0" xfId="3" applyNumberFormat="1" applyFont="1" applyBorder="1">
      <alignment vertical="center"/>
    </xf>
    <xf numFmtId="43" fontId="24" fillId="0" borderId="0" xfId="1" applyFont="1" applyBorder="1">
      <alignment vertical="center"/>
    </xf>
    <xf numFmtId="0" fontId="24" fillId="0" borderId="2" xfId="0" applyFont="1" applyBorder="1" applyAlignment="1">
      <alignment horizontal="center" vertical="center"/>
    </xf>
    <xf numFmtId="0" fontId="28" fillId="0" borderId="2" xfId="0" applyFont="1" applyFill="1" applyBorder="1" applyAlignment="1">
      <alignment vertical="center" wrapText="1"/>
    </xf>
    <xf numFmtId="0" fontId="24" fillId="0" borderId="2" xfId="0" applyFont="1" applyFill="1" applyBorder="1" applyAlignment="1">
      <alignment vertical="center" wrapText="1"/>
    </xf>
    <xf numFmtId="43" fontId="24" fillId="0" borderId="2" xfId="1" applyFont="1" applyBorder="1">
      <alignment vertical="center"/>
    </xf>
    <xf numFmtId="177" fontId="24" fillId="0" borderId="2" xfId="1" applyNumberFormat="1" applyFont="1" applyBorder="1">
      <alignment vertical="center"/>
    </xf>
    <xf numFmtId="43" fontId="26" fillId="0" borderId="2" xfId="1" applyFont="1" applyFill="1" applyBorder="1" applyAlignment="1">
      <alignment horizontal="center" vertical="center" wrapText="1"/>
    </xf>
    <xf numFmtId="43" fontId="23" fillId="0" borderId="0" xfId="0" applyNumberFormat="1" applyFont="1" applyFill="1">
      <alignment vertical="center"/>
    </xf>
    <xf numFmtId="43" fontId="24" fillId="0" borderId="0" xfId="0" applyNumberFormat="1" applyFont="1" applyFill="1" applyBorder="1">
      <alignment vertical="center"/>
    </xf>
    <xf numFmtId="0" fontId="11" fillId="0" borderId="2" xfId="0" applyFont="1" applyBorder="1">
      <alignment vertical="center"/>
    </xf>
    <xf numFmtId="0" fontId="32" fillId="0" borderId="2" xfId="0" applyFont="1" applyBorder="1">
      <alignment vertical="center"/>
    </xf>
    <xf numFmtId="0" fontId="24" fillId="0" borderId="6" xfId="0" applyFont="1" applyBorder="1">
      <alignment vertical="center"/>
    </xf>
    <xf numFmtId="1" fontId="20" fillId="6" borderId="0" xfId="49" applyNumberFormat="1" applyFont="1" applyFill="1" applyProtection="1"/>
    <xf numFmtId="0" fontId="20" fillId="6" borderId="0" xfId="49" applyFont="1" applyFill="1" applyProtection="1"/>
    <xf numFmtId="0" fontId="33" fillId="6" borderId="0" xfId="49" applyFont="1" applyFill="1" applyAlignment="1" applyProtection="1">
      <alignment horizontal="centerContinuous"/>
    </xf>
    <xf numFmtId="0" fontId="20" fillId="6" borderId="0" xfId="49" applyFont="1" applyFill="1" applyAlignment="1">
      <alignment horizontal="centerContinuous"/>
    </xf>
    <xf numFmtId="0" fontId="20" fillId="6" borderId="0" xfId="49" applyFont="1" applyFill="1" applyAlignment="1" applyProtection="1">
      <alignment horizontal="centerContinuous"/>
    </xf>
    <xf numFmtId="9" fontId="20" fillId="6" borderId="0" xfId="49" applyNumberFormat="1" applyFont="1" applyFill="1" applyProtection="1"/>
    <xf numFmtId="0" fontId="20" fillId="6" borderId="6" xfId="49" applyFont="1" applyFill="1" applyBorder="1" applyAlignment="1" applyProtection="1">
      <alignment horizontal="center"/>
    </xf>
    <xf numFmtId="0" fontId="22" fillId="6" borderId="2" xfId="49" applyFont="1" applyFill="1" applyBorder="1" applyAlignment="1" applyProtection="1">
      <alignment horizontal="center"/>
    </xf>
    <xf numFmtId="0" fontId="22" fillId="6" borderId="4" xfId="49" applyFont="1" applyFill="1" applyBorder="1" applyAlignment="1" applyProtection="1">
      <alignment horizontal="center"/>
    </xf>
    <xf numFmtId="1" fontId="22" fillId="6" borderId="4" xfId="54" applyFont="1" applyFill="1" applyBorder="1"/>
    <xf numFmtId="1" fontId="20" fillId="6" borderId="4" xfId="54" applyFont="1" applyFill="1" applyBorder="1"/>
    <xf numFmtId="0" fontId="20" fillId="6" borderId="7" xfId="49" applyFont="1" applyFill="1" applyBorder="1" applyProtection="1"/>
    <xf numFmtId="0" fontId="20" fillId="6" borderId="2" xfId="49" applyFont="1" applyFill="1" applyBorder="1" applyAlignment="1" applyProtection="1">
      <alignment horizontal="center"/>
    </xf>
    <xf numFmtId="0" fontId="20" fillId="6" borderId="2" xfId="49" applyFont="1" applyFill="1" applyBorder="1" applyAlignment="1" applyProtection="1">
      <alignment horizontal="left"/>
    </xf>
    <xf numFmtId="0" fontId="20" fillId="9" borderId="2" xfId="49" applyFont="1" applyFill="1" applyBorder="1" applyProtection="1"/>
    <xf numFmtId="177" fontId="20" fillId="9" borderId="2" xfId="1" applyNumberFormat="1" applyFont="1" applyFill="1" applyBorder="1" applyAlignment="1" applyProtection="1"/>
    <xf numFmtId="0" fontId="20" fillId="6" borderId="2" xfId="49" applyFont="1" applyFill="1" applyBorder="1" applyProtection="1"/>
    <xf numFmtId="177" fontId="20" fillId="6" borderId="2" xfId="1" applyNumberFormat="1" applyFont="1" applyFill="1" applyBorder="1" applyAlignment="1" applyProtection="1"/>
    <xf numFmtId="0" fontId="20" fillId="6" borderId="2" xfId="49" applyNumberFormat="1" applyFont="1" applyFill="1" applyBorder="1" applyAlignment="1" applyProtection="1">
      <alignment horizontal="left"/>
    </xf>
    <xf numFmtId="1" fontId="20" fillId="6" borderId="2" xfId="49" applyNumberFormat="1" applyFont="1" applyFill="1" applyBorder="1" applyProtection="1"/>
    <xf numFmtId="1" fontId="20" fillId="6" borderId="2" xfId="49" applyNumberFormat="1" applyFont="1" applyFill="1" applyBorder="1" applyAlignment="1" applyProtection="1">
      <alignment horizontal="left"/>
    </xf>
    <xf numFmtId="0" fontId="20" fillId="6" borderId="9" xfId="49" applyFont="1" applyFill="1" applyBorder="1" applyProtection="1"/>
    <xf numFmtId="0" fontId="20" fillId="6" borderId="11" xfId="49" applyFont="1" applyFill="1" applyBorder="1" applyProtection="1"/>
    <xf numFmtId="0" fontId="20" fillId="6" borderId="12" xfId="49" applyFont="1" applyFill="1" applyBorder="1" applyProtection="1"/>
    <xf numFmtId="0" fontId="20" fillId="6" borderId="0" xfId="49" applyFont="1" applyFill="1" applyBorder="1" applyProtection="1"/>
    <xf numFmtId="182" fontId="20" fillId="6" borderId="0" xfId="49" applyNumberFormat="1" applyFont="1" applyFill="1" applyBorder="1" applyProtection="1"/>
    <xf numFmtId="10" fontId="20" fillId="6" borderId="0" xfId="49" applyNumberFormat="1" applyFont="1" applyFill="1" applyBorder="1" applyProtection="1"/>
    <xf numFmtId="1" fontId="20" fillId="6" borderId="0" xfId="49" applyNumberFormat="1" applyFont="1" applyFill="1" applyBorder="1" applyProtection="1"/>
    <xf numFmtId="0" fontId="20" fillId="6" borderId="13" xfId="49" applyFont="1" applyFill="1" applyBorder="1" applyProtection="1"/>
    <xf numFmtId="0" fontId="20" fillId="6" borderId="1" xfId="49" applyFont="1" applyFill="1" applyBorder="1" applyProtection="1"/>
    <xf numFmtId="2" fontId="20" fillId="6" borderId="1" xfId="49" applyNumberFormat="1" applyFont="1" applyFill="1" applyBorder="1" applyProtection="1"/>
    <xf numFmtId="0" fontId="20" fillId="6" borderId="5" xfId="49" applyFont="1" applyFill="1" applyBorder="1"/>
    <xf numFmtId="1" fontId="20" fillId="6" borderId="7" xfId="54" applyFont="1" applyFill="1" applyBorder="1" applyAlignment="1">
      <alignment horizontal="center"/>
    </xf>
    <xf numFmtId="0" fontId="20" fillId="6" borderId="8" xfId="49" applyFont="1" applyFill="1" applyBorder="1" applyProtection="1"/>
    <xf numFmtId="0" fontId="20" fillId="6" borderId="14" xfId="49" applyFont="1" applyFill="1" applyBorder="1" applyProtection="1"/>
    <xf numFmtId="0" fontId="20" fillId="6" borderId="15" xfId="49" applyFont="1" applyFill="1" applyBorder="1" applyProtection="1"/>
    <xf numFmtId="0" fontId="34" fillId="0" borderId="0" xfId="0" applyFont="1">
      <alignment vertical="center"/>
    </xf>
    <xf numFmtId="0" fontId="35" fillId="0" borderId="2" xfId="0" applyFont="1" applyBorder="1" applyAlignment="1">
      <alignment horizontal="center" vertical="center" wrapText="1" readingOrder="1"/>
    </xf>
    <xf numFmtId="0" fontId="34" fillId="0" borderId="0" xfId="0" applyFont="1" applyFill="1">
      <alignment vertical="center"/>
    </xf>
    <xf numFmtId="0" fontId="15" fillId="0" borderId="2" xfId="0" applyFont="1" applyBorder="1" applyAlignment="1">
      <alignment horizontal="center" vertical="center" wrapText="1" readingOrder="1"/>
    </xf>
    <xf numFmtId="0" fontId="14" fillId="0" borderId="2" xfId="0" applyFont="1" applyBorder="1" applyAlignment="1">
      <alignment horizontal="left" vertical="center" wrapText="1" readingOrder="1"/>
    </xf>
    <xf numFmtId="0" fontId="15" fillId="0" borderId="6" xfId="0" applyFont="1" applyBorder="1" applyAlignment="1">
      <alignment horizontal="center" vertical="center" wrapText="1" readingOrder="1"/>
    </xf>
    <xf numFmtId="0" fontId="14" fillId="0" borderId="2" xfId="0" applyFont="1" applyFill="1" applyBorder="1" applyAlignment="1">
      <alignment horizontal="left" vertical="center" wrapText="1" readingOrder="1"/>
    </xf>
    <xf numFmtId="0" fontId="15" fillId="0" borderId="10" xfId="0" applyFont="1" applyBorder="1" applyAlignment="1">
      <alignment horizontal="center" vertical="center" wrapText="1" readingOrder="1"/>
    </xf>
    <xf numFmtId="0" fontId="14" fillId="0" borderId="2" xfId="0" applyFont="1" applyBorder="1" applyAlignment="1">
      <alignment horizontal="center" vertical="center" wrapText="1" readingOrder="1"/>
    </xf>
    <xf numFmtId="0" fontId="14" fillId="0" borderId="0" xfId="0" applyFont="1" applyFill="1" applyBorder="1" applyAlignment="1">
      <alignment horizontal="left" vertical="center" wrapText="1" readingOrder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BOM_Level_Below3" xfId="50"/>
    <cellStyle name="常规 11 2" xfId="51"/>
    <cellStyle name="常规 2" xfId="52"/>
    <cellStyle name="常规_20061221C2项目损益分析（概念稿）" xfId="53"/>
    <cellStyle name="普通_销售收入.XLS" xfId="54"/>
    <cellStyle name="千位分隔 2 25" xfId="55"/>
    <cellStyle name="样式 1" xfId="5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487;&#34892;&#24615;&#20998;&#26512;\&#36731;&#21345;\&#19968;&#27773;&#39046;&#36884;&#36731;&#21345;&#24231;&#26885;&#39033;&#30446;&#25237;&#36164;&#25910;&#30410;&#20998;&#26512;2022.11.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假设条件"/>
      <sheetName val="损益表"/>
      <sheetName val="现金"/>
      <sheetName val="2023年"/>
      <sheetName val="2024年"/>
      <sheetName val="2025年"/>
      <sheetName val="2026年"/>
      <sheetName val="2027年"/>
      <sheetName val="项目投资"/>
      <sheetName val="销量"/>
      <sheetName val="材料成本"/>
      <sheetName val="其他"/>
      <sheetName val="标准成本"/>
    </sheetNames>
    <sheetDataSet>
      <sheetData sheetId="0"/>
      <sheetData sheetId="1"/>
      <sheetData sheetId="2"/>
      <sheetData sheetId="3">
        <row r="18">
          <cell r="I18">
            <v>0</v>
          </cell>
        </row>
      </sheetData>
      <sheetData sheetId="4"/>
      <sheetData sheetId="5"/>
      <sheetData sheetId="6"/>
      <sheetData sheetId="7"/>
      <sheetData sheetId="8">
        <row r="26">
          <cell r="G26">
            <v>0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5"/>
  <sheetViews>
    <sheetView zoomScale="80" zoomScaleNormal="80" workbookViewId="0">
      <selection activeCell="C6" sqref="C6"/>
    </sheetView>
  </sheetViews>
  <sheetFormatPr defaultColWidth="9" defaultRowHeight="14" outlineLevelCol="3"/>
  <cols>
    <col min="1" max="1" width="8.87272727272727" customWidth="1"/>
    <col min="2" max="2" width="16.3727272727273" customWidth="1"/>
    <col min="3" max="3" width="89.7545454545455" customWidth="1"/>
  </cols>
  <sheetData>
    <row r="2" s="252" customFormat="1" ht="35.25" customHeight="1" spans="1:4">
      <c r="A2" s="253" t="s">
        <v>0</v>
      </c>
      <c r="B2" s="253" t="s">
        <v>1</v>
      </c>
      <c r="C2" s="253" t="s">
        <v>2</v>
      </c>
      <c r="D2" s="254"/>
    </row>
    <row r="3" s="252" customFormat="1" ht="33.75" customHeight="1" spans="1:4">
      <c r="A3" s="255">
        <v>1</v>
      </c>
      <c r="B3" s="255" t="s">
        <v>3</v>
      </c>
      <c r="C3" s="256" t="s">
        <v>4</v>
      </c>
      <c r="D3" s="254"/>
    </row>
    <row r="4" s="252" customFormat="1" ht="33.75" customHeight="1" spans="1:3">
      <c r="A4" s="255">
        <v>2</v>
      </c>
      <c r="B4" s="255" t="s">
        <v>5</v>
      </c>
      <c r="C4" s="256" t="s">
        <v>6</v>
      </c>
    </row>
    <row r="5" s="252" customFormat="1" ht="33.75" customHeight="1" spans="1:3">
      <c r="A5" s="255">
        <v>3</v>
      </c>
      <c r="B5" s="257" t="s">
        <v>7</v>
      </c>
      <c r="C5" s="258" t="s">
        <v>8</v>
      </c>
    </row>
    <row r="6" s="252" customFormat="1" ht="33.75" customHeight="1" spans="1:3">
      <c r="A6" s="255">
        <v>4</v>
      </c>
      <c r="B6" s="259"/>
      <c r="C6" s="256" t="s">
        <v>9</v>
      </c>
    </row>
    <row r="7" s="252" customFormat="1" ht="33.75" customHeight="1" spans="1:3">
      <c r="A7" s="255">
        <v>5</v>
      </c>
      <c r="B7" s="260" t="s">
        <v>10</v>
      </c>
      <c r="C7" s="256" t="s">
        <v>11</v>
      </c>
    </row>
    <row r="8" s="252" customFormat="1" ht="33.75" customHeight="1" spans="1:3">
      <c r="A8" s="255">
        <v>6</v>
      </c>
      <c r="B8" s="257" t="s">
        <v>12</v>
      </c>
      <c r="C8" s="256" t="s">
        <v>13</v>
      </c>
    </row>
    <row r="9" s="252" customFormat="1" ht="33.75" customHeight="1" spans="1:3">
      <c r="A9" s="255">
        <v>7</v>
      </c>
      <c r="B9" s="259"/>
      <c r="C9" s="256" t="s">
        <v>14</v>
      </c>
    </row>
    <row r="10" s="252" customFormat="1" ht="33.75" customHeight="1" spans="1:3">
      <c r="A10" s="255">
        <v>8</v>
      </c>
      <c r="B10" s="259"/>
      <c r="C10" s="258" t="s">
        <v>15</v>
      </c>
    </row>
    <row r="11" s="252" customFormat="1" ht="33.75" customHeight="1" spans="1:3">
      <c r="A11" s="255">
        <v>9</v>
      </c>
      <c r="B11" s="259"/>
      <c r="C11" s="256" t="s">
        <v>16</v>
      </c>
    </row>
    <row r="12" s="252" customFormat="1" ht="33.75" customHeight="1" spans="1:3">
      <c r="A12" s="255">
        <v>10</v>
      </c>
      <c r="B12" s="260" t="s">
        <v>17</v>
      </c>
      <c r="C12" s="256" t="s">
        <v>18</v>
      </c>
    </row>
    <row r="13" ht="33.75" customHeight="1"/>
    <row r="14" ht="33.75" customHeight="1"/>
    <row r="15" ht="33.75" customHeight="1" spans="3:3">
      <c r="C15" s="261"/>
    </row>
  </sheetData>
  <mergeCells count="2">
    <mergeCell ref="B5:B6"/>
    <mergeCell ref="B8:B11"/>
  </mergeCells>
  <pageMargins left="0.7" right="0.7" top="0.75" bottom="0.75" header="0.3" footer="0.3"/>
  <pageSetup paperSize="9" scale="75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4"/>
  <sheetViews>
    <sheetView zoomScale="85" zoomScaleNormal="85" workbookViewId="0">
      <pane xSplit="2" ySplit="7" topLeftCell="C8" activePane="bottomRight" state="frozen"/>
      <selection/>
      <selection pane="topRight"/>
      <selection pane="bottomLeft"/>
      <selection pane="bottomRight" activeCell="F21" sqref="F21"/>
    </sheetView>
  </sheetViews>
  <sheetFormatPr defaultColWidth="9" defaultRowHeight="14.5"/>
  <cols>
    <col min="1" max="1" width="5.12727272727273" style="150" customWidth="1"/>
    <col min="2" max="2" width="17.5" style="150" customWidth="1"/>
    <col min="3" max="5" width="15.5454545454545" style="151" customWidth="1"/>
    <col min="6" max="6" width="16.8181818181818" style="151" customWidth="1"/>
    <col min="7" max="7" width="12.3727272727273" style="150" customWidth="1"/>
    <col min="8" max="8" width="10.1272727272727" style="150" customWidth="1"/>
    <col min="9" max="15" width="9" style="150" customWidth="1"/>
    <col min="16" max="16" width="9" style="150"/>
    <col min="17" max="17" width="9" style="150" hidden="1" customWidth="1"/>
    <col min="18" max="32" width="9" style="150"/>
    <col min="33" max="33" width="4.37272727272727" style="150" customWidth="1"/>
    <col min="34" max="34" width="13.8727272727273" style="150" customWidth="1"/>
    <col min="35" max="16384" width="9" style="150"/>
  </cols>
  <sheetData>
    <row r="1" spans="1:6">
      <c r="A1" s="152" t="s">
        <v>155</v>
      </c>
      <c r="B1" s="152"/>
      <c r="C1" s="153" t="s">
        <v>177</v>
      </c>
      <c r="D1" s="154"/>
      <c r="E1" s="154"/>
      <c r="F1" s="155"/>
    </row>
    <row r="2" spans="1:6">
      <c r="A2" s="152" t="s">
        <v>157</v>
      </c>
      <c r="B2" s="152"/>
      <c r="C2" s="156" t="s">
        <v>158</v>
      </c>
      <c r="D2" s="156"/>
      <c r="E2" s="156"/>
      <c r="F2" s="156"/>
    </row>
    <row r="3" spans="1:6">
      <c r="A3" s="152" t="s">
        <v>159</v>
      </c>
      <c r="B3" s="152"/>
      <c r="C3" s="157" t="s">
        <v>160</v>
      </c>
      <c r="D3" s="157" t="s">
        <v>161</v>
      </c>
      <c r="E3" s="157" t="s">
        <v>162</v>
      </c>
      <c r="F3" s="158" t="s">
        <v>60</v>
      </c>
    </row>
    <row r="4" spans="1:6">
      <c r="A4" s="152" t="s">
        <v>163</v>
      </c>
      <c r="B4" s="152"/>
      <c r="C4" s="79"/>
      <c r="D4" s="79"/>
      <c r="E4" s="79"/>
      <c r="F4" s="159"/>
    </row>
    <row r="5" ht="33" spans="1:35">
      <c r="A5" s="152" t="s">
        <v>164</v>
      </c>
      <c r="B5" s="152"/>
      <c r="C5" s="160" t="s">
        <v>165</v>
      </c>
      <c r="D5" s="160" t="s">
        <v>166</v>
      </c>
      <c r="E5" s="160" t="s">
        <v>167</v>
      </c>
      <c r="F5" s="161"/>
      <c r="AI5" s="150" t="s">
        <v>61</v>
      </c>
    </row>
    <row r="6" ht="16.5" spans="1:35">
      <c r="A6" s="162" t="s">
        <v>21</v>
      </c>
      <c r="B6" s="163" t="s">
        <v>168</v>
      </c>
      <c r="C6" s="164">
        <f>销量!C14</f>
        <v>10000</v>
      </c>
      <c r="D6" s="164">
        <f>销量!D14</f>
        <v>30000</v>
      </c>
      <c r="E6" s="164">
        <f>销量!E14</f>
        <v>20000</v>
      </c>
      <c r="F6" s="165">
        <f t="shared" ref="F6:F15" si="0">+SUM(C6:E6)</f>
        <v>60000</v>
      </c>
      <c r="Q6" s="163" t="s">
        <v>3</v>
      </c>
      <c r="AG6" s="162" t="s">
        <v>21</v>
      </c>
      <c r="AH6" s="163" t="s">
        <v>3</v>
      </c>
      <c r="AI6" s="150" t="s">
        <v>62</v>
      </c>
    </row>
    <row r="7" spans="1:35">
      <c r="A7" s="152">
        <v>1</v>
      </c>
      <c r="B7" s="163" t="s">
        <v>63</v>
      </c>
      <c r="C7" s="165">
        <f>C6*销量!C8</f>
        <v>10730000</v>
      </c>
      <c r="D7" s="165">
        <f>D6*销量!D8</f>
        <v>15390000</v>
      </c>
      <c r="E7" s="165">
        <f>E6*销量!E8</f>
        <v>11540000</v>
      </c>
      <c r="F7" s="165">
        <f t="shared" si="0"/>
        <v>37660000</v>
      </c>
      <c r="G7" s="151"/>
      <c r="Q7" s="163" t="s">
        <v>63</v>
      </c>
      <c r="AG7" s="162" t="s">
        <v>64</v>
      </c>
      <c r="AH7" s="163" t="s">
        <v>63</v>
      </c>
      <c r="AI7" s="150" t="s">
        <v>62</v>
      </c>
    </row>
    <row r="8" spans="1:35">
      <c r="A8" s="152">
        <v>2</v>
      </c>
      <c r="B8" s="152" t="s">
        <v>65</v>
      </c>
      <c r="C8" s="165">
        <f>C7*(1-销量!$P$12)</f>
        <v>1792210.38711183</v>
      </c>
      <c r="D8" s="165">
        <f>D7*(1-销量!$P$12)</f>
        <v>2570560.84414269</v>
      </c>
      <c r="E8" s="165">
        <f>E7*(1-销量!$P$12)</f>
        <v>1927503.06311934</v>
      </c>
      <c r="F8" s="165">
        <f t="shared" si="0"/>
        <v>6290274.29437386</v>
      </c>
      <c r="G8" s="166"/>
      <c r="Q8" s="152" t="s">
        <v>67</v>
      </c>
      <c r="AG8" s="162" t="s">
        <v>66</v>
      </c>
      <c r="AH8" s="152" t="s">
        <v>67</v>
      </c>
      <c r="AI8" s="150" t="s">
        <v>62</v>
      </c>
    </row>
    <row r="9" spans="1:35">
      <c r="A9" s="152">
        <v>3</v>
      </c>
      <c r="B9" s="163" t="s">
        <v>68</v>
      </c>
      <c r="C9" s="165">
        <f>+C7-C8</f>
        <v>8937789.61288817</v>
      </c>
      <c r="D9" s="165">
        <f>+D7-D8</f>
        <v>12819439.1558573</v>
      </c>
      <c r="E9" s="165">
        <f>+E7-E8</f>
        <v>9612496.93688066</v>
      </c>
      <c r="F9" s="165">
        <f t="shared" si="0"/>
        <v>31369725.7056261</v>
      </c>
      <c r="Q9" s="163" t="s">
        <v>68</v>
      </c>
      <c r="AG9" s="162" t="s">
        <v>69</v>
      </c>
      <c r="AH9" s="163" t="s">
        <v>68</v>
      </c>
      <c r="AI9" s="150" t="s">
        <v>70</v>
      </c>
    </row>
    <row r="10" spans="1:35">
      <c r="A10" s="152">
        <v>4</v>
      </c>
      <c r="B10" s="162" t="s">
        <v>73</v>
      </c>
      <c r="C10" s="165">
        <f>C6*C33</f>
        <v>7098288.28307781</v>
      </c>
      <c r="D10" s="165">
        <f>D6*D33</f>
        <v>8259226.99980718</v>
      </c>
      <c r="E10" s="165">
        <f>E6*E33</f>
        <v>6842126.2831245</v>
      </c>
      <c r="F10" s="165">
        <f t="shared" si="0"/>
        <v>22199641.5660095</v>
      </c>
      <c r="Q10" s="162" t="s">
        <v>73</v>
      </c>
      <c r="AG10" s="162" t="s">
        <v>72</v>
      </c>
      <c r="AH10" s="162" t="s">
        <v>73</v>
      </c>
      <c r="AI10" s="150" t="s">
        <v>74</v>
      </c>
    </row>
    <row r="11" spans="1:34">
      <c r="A11" s="152">
        <v>5</v>
      </c>
      <c r="B11" s="162" t="s">
        <v>75</v>
      </c>
      <c r="C11" s="165">
        <f>+C6*C36</f>
        <v>367282.721616473</v>
      </c>
      <c r="D11" s="165">
        <f>+D6*D36</f>
        <v>427352.517954108</v>
      </c>
      <c r="E11" s="165">
        <f>+E6*E36</f>
        <v>354028.275929636</v>
      </c>
      <c r="F11" s="165">
        <f t="shared" si="0"/>
        <v>1148663.51550022</v>
      </c>
      <c r="Q11" s="162" t="s">
        <v>75</v>
      </c>
      <c r="AG11" s="162" t="s">
        <v>76</v>
      </c>
      <c r="AH11" s="162" t="s">
        <v>75</v>
      </c>
    </row>
    <row r="12" spans="1:34">
      <c r="A12" s="152">
        <v>6</v>
      </c>
      <c r="B12" s="162" t="s">
        <v>77</v>
      </c>
      <c r="C12" s="165">
        <f>+C6*C37</f>
        <v>184919.606939152</v>
      </c>
      <c r="D12" s="165">
        <f>+D6*D37</f>
        <v>215163.564723994</v>
      </c>
      <c r="E12" s="165">
        <f>+E6*E37</f>
        <v>178246.254934411</v>
      </c>
      <c r="F12" s="165">
        <f t="shared" si="0"/>
        <v>578329.426597557</v>
      </c>
      <c r="Q12" s="162" t="s">
        <v>77</v>
      </c>
      <c r="AG12" s="162" t="s">
        <v>78</v>
      </c>
      <c r="AH12" s="162" t="s">
        <v>77</v>
      </c>
    </row>
    <row r="13" spans="1:35">
      <c r="A13" s="152">
        <v>7</v>
      </c>
      <c r="B13" s="162" t="s">
        <v>79</v>
      </c>
      <c r="C13" s="165">
        <f>+C6*C38</f>
        <v>374952.198401968</v>
      </c>
      <c r="D13" s="165">
        <f>+D6*D38</f>
        <v>436276.352435748</v>
      </c>
      <c r="E13" s="165">
        <f>+E6*E38</f>
        <v>361420.977747192</v>
      </c>
      <c r="F13" s="165">
        <f t="shared" si="0"/>
        <v>1172649.52858491</v>
      </c>
      <c r="Q13" s="162" t="s">
        <v>79</v>
      </c>
      <c r="AG13" s="162" t="s">
        <v>80</v>
      </c>
      <c r="AH13" s="162" t="s">
        <v>79</v>
      </c>
      <c r="AI13" s="150" t="s">
        <v>62</v>
      </c>
    </row>
    <row r="14" spans="1:34">
      <c r="A14" s="152">
        <v>8</v>
      </c>
      <c r="B14" s="167" t="s">
        <v>81</v>
      </c>
      <c r="C14" s="165">
        <f>SUM(C11:C13)</f>
        <v>927154.526957593</v>
      </c>
      <c r="D14" s="165">
        <f>SUM(D11:D13)</f>
        <v>1078792.43511385</v>
      </c>
      <c r="E14" s="165">
        <f>SUM(E11:E13)</f>
        <v>893695.508611238</v>
      </c>
      <c r="F14" s="165">
        <f t="shared" si="0"/>
        <v>2899642.47068268</v>
      </c>
      <c r="Q14" s="167" t="s">
        <v>81</v>
      </c>
      <c r="AG14" s="162" t="s">
        <v>82</v>
      </c>
      <c r="AH14" s="167" t="s">
        <v>81</v>
      </c>
    </row>
    <row r="15" spans="1:34">
      <c r="A15" s="152">
        <v>9</v>
      </c>
      <c r="B15" s="167" t="s">
        <v>83</v>
      </c>
      <c r="C15" s="165">
        <f>+C9-C10-C14</f>
        <v>912346.802852769</v>
      </c>
      <c r="D15" s="165">
        <f>+D9-D10-D14</f>
        <v>3481419.72093628</v>
      </c>
      <c r="E15" s="165">
        <f>+E9-E10-E14</f>
        <v>1876675.14514492</v>
      </c>
      <c r="F15" s="165">
        <f t="shared" si="0"/>
        <v>6270441.66893397</v>
      </c>
      <c r="Q15" s="167" t="s">
        <v>83</v>
      </c>
      <c r="AG15" s="162" t="s">
        <v>84</v>
      </c>
      <c r="AH15" s="167" t="s">
        <v>83</v>
      </c>
    </row>
    <row r="16" spans="1:34">
      <c r="A16" s="152">
        <v>10</v>
      </c>
      <c r="B16" s="162" t="s">
        <v>85</v>
      </c>
      <c r="C16" s="168">
        <f t="shared" ref="C16:F16" si="1">+C15/C9</f>
        <v>0.102077453416131</v>
      </c>
      <c r="D16" s="168">
        <f t="shared" si="1"/>
        <v>0.2715734813832</v>
      </c>
      <c r="E16" s="168">
        <f t="shared" si="1"/>
        <v>0.195232847143452</v>
      </c>
      <c r="F16" s="168">
        <f t="shared" si="1"/>
        <v>0.19988831677318</v>
      </c>
      <c r="G16" s="169"/>
      <c r="H16" s="169"/>
      <c r="I16" s="169"/>
      <c r="Q16" s="162" t="s">
        <v>85</v>
      </c>
      <c r="AG16" s="162" t="s">
        <v>86</v>
      </c>
      <c r="AH16" s="162" t="s">
        <v>85</v>
      </c>
    </row>
    <row r="17" spans="1:34">
      <c r="A17" s="152">
        <v>11</v>
      </c>
      <c r="B17" s="162" t="s">
        <v>87</v>
      </c>
      <c r="C17" s="165">
        <f>C6*C43+C18</f>
        <v>356776.164672541</v>
      </c>
      <c r="D17" s="165">
        <f>D6*D43+D18</f>
        <v>428696.904163614</v>
      </c>
      <c r="E17" s="165">
        <f>E6*E43+E18</f>
        <v>351556.416133116</v>
      </c>
      <c r="F17" s="165">
        <f t="shared" ref="F17:F20" si="2">+SUM(C17:E17)</f>
        <v>1137029.48496927</v>
      </c>
      <c r="G17" s="166"/>
      <c r="Q17" s="162" t="s">
        <v>87</v>
      </c>
      <c r="AG17" s="162" t="s">
        <v>88</v>
      </c>
      <c r="AH17" s="162" t="s">
        <v>87</v>
      </c>
    </row>
    <row r="18" s="148" customFormat="1" spans="1:9">
      <c r="A18" s="152">
        <v>12</v>
      </c>
      <c r="B18" s="170" t="s">
        <v>89</v>
      </c>
      <c r="C18" s="171">
        <f>$F$18/$F$6*C6</f>
        <v>7388.88888888889</v>
      </c>
      <c r="D18" s="171">
        <f>$F$18/$F$6*D6</f>
        <v>22166.6666666667</v>
      </c>
      <c r="E18" s="171">
        <f>$F$18/$F$6*E6</f>
        <v>14777.7777777778</v>
      </c>
      <c r="F18" s="165">
        <f>项目投资!J26</f>
        <v>44333.3333333333</v>
      </c>
      <c r="G18" s="172" t="s">
        <v>90</v>
      </c>
      <c r="H18" s="172"/>
      <c r="I18" s="172"/>
    </row>
    <row r="19" spans="1:35">
      <c r="A19" s="152">
        <v>13</v>
      </c>
      <c r="B19" s="162" t="s">
        <v>91</v>
      </c>
      <c r="C19" s="165">
        <f>C6*C44</f>
        <v>59651.486109404</v>
      </c>
      <c r="D19" s="165">
        <f>D6*D44</f>
        <v>69407.601523869</v>
      </c>
      <c r="E19" s="165">
        <f>E6*E44</f>
        <v>57498.791914326</v>
      </c>
      <c r="F19" s="165">
        <f t="shared" si="2"/>
        <v>186557.879547599</v>
      </c>
      <c r="G19" s="148"/>
      <c r="Q19" s="162" t="s">
        <v>91</v>
      </c>
      <c r="AG19" s="162" t="s">
        <v>92</v>
      </c>
      <c r="AH19" s="162" t="s">
        <v>91</v>
      </c>
      <c r="AI19" s="150" t="s">
        <v>62</v>
      </c>
    </row>
    <row r="20" spans="1:34">
      <c r="A20" s="152">
        <v>14</v>
      </c>
      <c r="B20" s="162" t="s">
        <v>93</v>
      </c>
      <c r="C20" s="165">
        <f>C6*C45</f>
        <v>289735.789674248</v>
      </c>
      <c r="D20" s="165">
        <f>D6*D45</f>
        <v>337122.635973078</v>
      </c>
      <c r="E20" s="165">
        <f>E6*E45</f>
        <v>279279.846441012</v>
      </c>
      <c r="F20" s="165">
        <f t="shared" si="2"/>
        <v>906138.272088338</v>
      </c>
      <c r="Q20" s="162" t="s">
        <v>93</v>
      </c>
      <c r="AG20" s="162" t="s">
        <v>94</v>
      </c>
      <c r="AH20" s="162" t="s">
        <v>93</v>
      </c>
    </row>
    <row r="21" spans="1:34">
      <c r="A21" s="152">
        <v>15</v>
      </c>
      <c r="B21" s="162" t="s">
        <v>95</v>
      </c>
      <c r="C21" s="173">
        <f>$F$21/$F$6*C6</f>
        <v>0</v>
      </c>
      <c r="D21" s="173">
        <f>$F$21/$F$6*D6</f>
        <v>0</v>
      </c>
      <c r="E21" s="173">
        <f>$F$21/$F$6*E6</f>
        <v>0</v>
      </c>
      <c r="F21" s="165">
        <f>项目投资!F27</f>
        <v>0</v>
      </c>
      <c r="Q21" s="162" t="s">
        <v>95</v>
      </c>
      <c r="AG21" s="162"/>
      <c r="AH21" s="162"/>
    </row>
    <row r="22" spans="1:34">
      <c r="A22" s="152">
        <v>16</v>
      </c>
      <c r="B22" s="162" t="s">
        <v>96</v>
      </c>
      <c r="C22" s="165">
        <f>C6*C47</f>
        <v>255649.22618316</v>
      </c>
      <c r="D22" s="165">
        <f>D6*D47</f>
        <v>297461.14938801</v>
      </c>
      <c r="E22" s="165">
        <f>E6*E47</f>
        <v>246423.39391854</v>
      </c>
      <c r="F22" s="165">
        <f t="shared" ref="F22:F26" si="3">+SUM(C22:E22)</f>
        <v>799533.76948971</v>
      </c>
      <c r="Q22" s="162" t="s">
        <v>96</v>
      </c>
      <c r="AG22" s="162" t="s">
        <v>97</v>
      </c>
      <c r="AH22" s="162" t="s">
        <v>96</v>
      </c>
    </row>
    <row r="23" spans="1:34">
      <c r="A23" s="152">
        <v>17</v>
      </c>
      <c r="B23" s="167" t="s">
        <v>98</v>
      </c>
      <c r="C23" s="173">
        <f>+C22+C21+C20+C19+C17</f>
        <v>961812.666639353</v>
      </c>
      <c r="D23" s="173">
        <f>+D22+D21+D20+D19+D17</f>
        <v>1132688.29104857</v>
      </c>
      <c r="E23" s="173">
        <f>+E22+E21+E20+E19+E17</f>
        <v>934758.448406994</v>
      </c>
      <c r="F23" s="165">
        <f t="shared" si="3"/>
        <v>3029259.40609492</v>
      </c>
      <c r="Q23" s="167" t="s">
        <v>98</v>
      </c>
      <c r="AG23" s="162" t="s">
        <v>99</v>
      </c>
      <c r="AH23" s="167" t="s">
        <v>98</v>
      </c>
    </row>
    <row r="24" spans="1:34">
      <c r="A24" s="152">
        <v>18</v>
      </c>
      <c r="B24" s="174" t="s">
        <v>100</v>
      </c>
      <c r="C24" s="173">
        <f>+C15-C23</f>
        <v>-49465.8637865839</v>
      </c>
      <c r="D24" s="173">
        <f>+D15-D23</f>
        <v>2348731.42988771</v>
      </c>
      <c r="E24" s="173">
        <f>+E15-E23</f>
        <v>941916.696737926</v>
      </c>
      <c r="F24" s="165">
        <f t="shared" si="3"/>
        <v>3241182.26283905</v>
      </c>
      <c r="H24" s="175"/>
      <c r="Q24" s="162" t="s">
        <v>100</v>
      </c>
      <c r="AG24" s="162" t="s">
        <v>101</v>
      </c>
      <c r="AH24" s="162" t="s">
        <v>100</v>
      </c>
    </row>
    <row r="25" spans="1:34">
      <c r="A25" s="152">
        <v>19</v>
      </c>
      <c r="B25" s="162" t="s">
        <v>169</v>
      </c>
      <c r="C25" s="173">
        <f>IF(C24&lt;0,0,C24*0.25)</f>
        <v>0</v>
      </c>
      <c r="D25" s="173">
        <f>IF(D24&lt;0,0,D24*0.25)</f>
        <v>587182.857471927</v>
      </c>
      <c r="E25" s="173">
        <f>IF(E24&lt;0,0,E24*0.25)</f>
        <v>235479.174184482</v>
      </c>
      <c r="F25" s="165">
        <f t="shared" si="3"/>
        <v>822662.031656409</v>
      </c>
      <c r="G25" s="2"/>
      <c r="H25" s="2"/>
      <c r="I25" s="2"/>
      <c r="Q25" s="162" t="s">
        <v>38</v>
      </c>
      <c r="AG25" s="162" t="s">
        <v>102</v>
      </c>
      <c r="AH25" s="162" t="s">
        <v>38</v>
      </c>
    </row>
    <row r="26" spans="1:34">
      <c r="A26" s="152">
        <v>20</v>
      </c>
      <c r="B26" s="162" t="s">
        <v>103</v>
      </c>
      <c r="C26" s="173">
        <f>C24-C25</f>
        <v>-49465.8637865839</v>
      </c>
      <c r="D26" s="173">
        <f>D24-D25</f>
        <v>1761548.57241578</v>
      </c>
      <c r="E26" s="173">
        <f>E24-E25</f>
        <v>706437.522553445</v>
      </c>
      <c r="F26" s="165">
        <f t="shared" si="3"/>
        <v>2418520.23118264</v>
      </c>
      <c r="G26" s="2"/>
      <c r="H26" s="2"/>
      <c r="I26" s="2"/>
      <c r="Q26" s="162" t="s">
        <v>103</v>
      </c>
      <c r="AG26" s="162" t="s">
        <v>104</v>
      </c>
      <c r="AH26" s="162" t="s">
        <v>103</v>
      </c>
    </row>
    <row r="27" spans="1:34">
      <c r="A27" s="152">
        <v>21</v>
      </c>
      <c r="B27" s="162" t="s">
        <v>107</v>
      </c>
      <c r="C27" s="176">
        <f t="shared" ref="C27:F27" si="4">C26/C7</f>
        <v>-0.00461005254301807</v>
      </c>
      <c r="D27" s="176">
        <f t="shared" si="4"/>
        <v>0.114460595998426</v>
      </c>
      <c r="E27" s="176">
        <f t="shared" si="4"/>
        <v>0.0612164230982188</v>
      </c>
      <c r="F27" s="177">
        <f t="shared" si="4"/>
        <v>0.0642198680611429</v>
      </c>
      <c r="G27" s="2"/>
      <c r="H27" s="2"/>
      <c r="I27" s="2"/>
      <c r="Q27" s="162" t="s">
        <v>107</v>
      </c>
      <c r="AG27" s="162" t="s">
        <v>106</v>
      </c>
      <c r="AH27" s="162" t="s">
        <v>107</v>
      </c>
    </row>
    <row r="28" spans="7:17">
      <c r="G28" s="2"/>
      <c r="H28" s="2"/>
      <c r="I28" s="2"/>
      <c r="Q28" s="162"/>
    </row>
    <row r="29" spans="1:33">
      <c r="A29" s="150" t="s">
        <v>108</v>
      </c>
      <c r="F29" s="151" t="s">
        <v>170</v>
      </c>
      <c r="G29" s="2"/>
      <c r="H29" s="2"/>
      <c r="I29" s="2"/>
      <c r="Q29" s="162"/>
      <c r="AG29" s="150" t="s">
        <v>108</v>
      </c>
    </row>
    <row r="30" spans="1:34">
      <c r="A30" s="162" t="s">
        <v>110</v>
      </c>
      <c r="B30" s="167" t="s">
        <v>111</v>
      </c>
      <c r="C30" s="173"/>
      <c r="D30" s="173"/>
      <c r="E30" s="173"/>
      <c r="F30" s="173"/>
      <c r="G30" s="2"/>
      <c r="H30" s="2"/>
      <c r="I30" s="2"/>
      <c r="K30" s="2"/>
      <c r="Q30" s="167" t="s">
        <v>111</v>
      </c>
      <c r="AG30" s="162" t="s">
        <v>112</v>
      </c>
      <c r="AH30" s="167" t="s">
        <v>111</v>
      </c>
    </row>
    <row r="31" spans="1:34">
      <c r="A31" s="152">
        <v>1</v>
      </c>
      <c r="B31" s="170" t="s">
        <v>113</v>
      </c>
      <c r="C31" s="178">
        <f>(C7-C8)/C6</f>
        <v>893.778961288817</v>
      </c>
      <c r="D31" s="178">
        <f>(D7-D8)/D6</f>
        <v>427.314638528577</v>
      </c>
      <c r="E31" s="178">
        <f>(E7-E8)/E6</f>
        <v>480.624846844033</v>
      </c>
      <c r="F31" s="173"/>
      <c r="G31" s="2"/>
      <c r="H31" s="2"/>
      <c r="I31" s="2"/>
      <c r="K31" s="2"/>
      <c r="Q31" s="162" t="s">
        <v>113</v>
      </c>
      <c r="AG31" s="162" t="s">
        <v>64</v>
      </c>
      <c r="AH31" s="162" t="s">
        <v>113</v>
      </c>
    </row>
    <row r="32" spans="1:34">
      <c r="A32" s="152">
        <v>2</v>
      </c>
      <c r="B32" s="162" t="s">
        <v>171</v>
      </c>
      <c r="C32" s="165">
        <f>C31*1</f>
        <v>893.778961288817</v>
      </c>
      <c r="D32" s="165">
        <f>D31*1</f>
        <v>427.314638528577</v>
      </c>
      <c r="E32" s="165">
        <f>E31*1</f>
        <v>480.624846844033</v>
      </c>
      <c r="F32" s="173"/>
      <c r="G32" s="2"/>
      <c r="H32" s="2"/>
      <c r="I32" s="2"/>
      <c r="J32" s="2"/>
      <c r="K32" s="2"/>
      <c r="L32" s="2"/>
      <c r="M32" s="2"/>
      <c r="AG32" s="162"/>
      <c r="AH32" s="162"/>
    </row>
    <row r="33" spans="1:34">
      <c r="A33" s="152">
        <v>3</v>
      </c>
      <c r="B33" s="170" t="s">
        <v>114</v>
      </c>
      <c r="C33" s="165">
        <f>材料成本!D32</f>
        <v>709.828828307781</v>
      </c>
      <c r="D33" s="165">
        <f>材料成本!E32</f>
        <v>275.307566660239</v>
      </c>
      <c r="E33" s="165">
        <f>材料成本!F32</f>
        <v>342.106314156225</v>
      </c>
      <c r="F33" s="173"/>
      <c r="H33" s="2"/>
      <c r="I33" s="2"/>
      <c r="J33" s="2"/>
      <c r="K33" s="2"/>
      <c r="L33" s="2"/>
      <c r="M33" s="2"/>
      <c r="Q33" s="162" t="s">
        <v>114</v>
      </c>
      <c r="AG33" s="162" t="s">
        <v>66</v>
      </c>
      <c r="AH33" s="162" t="s">
        <v>114</v>
      </c>
    </row>
    <row r="34" ht="17.25" customHeight="1" spans="1:34">
      <c r="A34" s="152">
        <v>4</v>
      </c>
      <c r="B34" s="162" t="s">
        <v>116</v>
      </c>
      <c r="C34" s="179">
        <f>C32-C33</f>
        <v>183.950132981036</v>
      </c>
      <c r="D34" s="179">
        <f>D32-D33</f>
        <v>152.007071868338</v>
      </c>
      <c r="E34" s="179">
        <f>E32-E33</f>
        <v>138.518532687808</v>
      </c>
      <c r="F34" s="173"/>
      <c r="H34" s="2"/>
      <c r="I34" s="2"/>
      <c r="J34" s="2"/>
      <c r="K34" s="2"/>
      <c r="L34" s="2"/>
      <c r="M34" s="2"/>
      <c r="Q34" s="162" t="s">
        <v>116</v>
      </c>
      <c r="AG34" s="162" t="s">
        <v>115</v>
      </c>
      <c r="AH34" s="162" t="s">
        <v>116</v>
      </c>
    </row>
    <row r="35" spans="1:34">
      <c r="A35" s="162" t="s">
        <v>112</v>
      </c>
      <c r="B35" s="167" t="s">
        <v>10</v>
      </c>
      <c r="C35" s="173"/>
      <c r="D35" s="173"/>
      <c r="E35" s="173"/>
      <c r="F35" s="173"/>
      <c r="G35" s="2"/>
      <c r="H35" s="2"/>
      <c r="I35" s="2"/>
      <c r="J35" s="2"/>
      <c r="K35" s="2"/>
      <c r="L35" s="2"/>
      <c r="M35" s="2"/>
      <c r="N35" s="2"/>
      <c r="O35" s="2"/>
      <c r="P35" s="2"/>
      <c r="Q35" s="167" t="s">
        <v>10</v>
      </c>
      <c r="AG35" s="162" t="s">
        <v>118</v>
      </c>
      <c r="AH35" s="167" t="s">
        <v>10</v>
      </c>
    </row>
    <row r="36" spans="1:34">
      <c r="A36" s="152">
        <v>1</v>
      </c>
      <c r="B36" s="162" t="s">
        <v>119</v>
      </c>
      <c r="C36" s="171">
        <f>标准成本!E4</f>
        <v>36.7282721616473</v>
      </c>
      <c r="D36" s="171">
        <f>标准成本!E16</f>
        <v>14.2450839318036</v>
      </c>
      <c r="E36" s="171">
        <f>标准成本!E29</f>
        <v>17.7014137964818</v>
      </c>
      <c r="F36" s="178"/>
      <c r="G36" s="2"/>
      <c r="H36" s="2"/>
      <c r="I36" s="2"/>
      <c r="J36" s="2"/>
      <c r="K36" s="2"/>
      <c r="L36" s="2"/>
      <c r="M36" s="2"/>
      <c r="N36" s="2"/>
      <c r="O36" s="2"/>
      <c r="P36" s="2"/>
      <c r="Q36" s="162" t="s">
        <v>119</v>
      </c>
      <c r="AG36" s="162" t="s">
        <v>115</v>
      </c>
      <c r="AH36" s="162" t="s">
        <v>119</v>
      </c>
    </row>
    <row r="37" spans="1:34">
      <c r="A37" s="152">
        <v>2</v>
      </c>
      <c r="B37" s="162" t="s">
        <v>120</v>
      </c>
      <c r="C37" s="171">
        <f>标准成本!E6</f>
        <v>18.4919606939152</v>
      </c>
      <c r="D37" s="171">
        <f>标准成本!E18</f>
        <v>7.17211882413313</v>
      </c>
      <c r="E37" s="171">
        <f>标准成本!E31</f>
        <v>8.91231274672053</v>
      </c>
      <c r="F37" s="178"/>
      <c r="G37" s="2"/>
      <c r="H37" s="2"/>
      <c r="I37" s="2"/>
      <c r="J37" s="2"/>
      <c r="K37" s="2"/>
      <c r="L37" s="2"/>
      <c r="M37" s="2"/>
      <c r="N37" s="2"/>
      <c r="O37" s="2"/>
      <c r="P37" s="2"/>
      <c r="Q37" s="162" t="s">
        <v>120</v>
      </c>
      <c r="AG37" s="162" t="s">
        <v>69</v>
      </c>
      <c r="AH37" s="162" t="s">
        <v>120</v>
      </c>
    </row>
    <row r="38" spans="1:34">
      <c r="A38" s="152">
        <v>3</v>
      </c>
      <c r="B38" s="162" t="s">
        <v>121</v>
      </c>
      <c r="C38" s="171">
        <f>标准成本!E10</f>
        <v>37.4952198401968</v>
      </c>
      <c r="D38" s="171">
        <f>标准成本!E22</f>
        <v>14.5425450811916</v>
      </c>
      <c r="E38" s="171">
        <f>标准成本!E35</f>
        <v>18.0710488873596</v>
      </c>
      <c r="F38" s="178"/>
      <c r="G38" s="2"/>
      <c r="H38" s="2"/>
      <c r="I38" s="2"/>
      <c r="J38" s="2"/>
      <c r="K38" s="2"/>
      <c r="L38" s="2"/>
      <c r="M38" s="2"/>
      <c r="N38" s="2"/>
      <c r="O38" s="2"/>
      <c r="P38" s="2"/>
      <c r="Q38" s="162" t="s">
        <v>121</v>
      </c>
      <c r="AG38" s="162" t="s">
        <v>76</v>
      </c>
      <c r="AH38" s="162" t="s">
        <v>121</v>
      </c>
    </row>
    <row r="39" spans="1:34">
      <c r="A39" s="162" t="s">
        <v>118</v>
      </c>
      <c r="B39" s="167" t="s">
        <v>123</v>
      </c>
      <c r="C39" s="173"/>
      <c r="D39" s="173"/>
      <c r="E39" s="173"/>
      <c r="F39" s="173"/>
      <c r="Q39" s="167" t="s">
        <v>123</v>
      </c>
      <c r="AG39" s="162" t="s">
        <v>122</v>
      </c>
      <c r="AH39" s="167" t="s">
        <v>123</v>
      </c>
    </row>
    <row r="40" spans="1:34">
      <c r="A40" s="152">
        <v>1</v>
      </c>
      <c r="B40" s="162" t="s">
        <v>125</v>
      </c>
      <c r="C40" s="173">
        <f>C34-C36-C37-C38</f>
        <v>91.2346802852768</v>
      </c>
      <c r="D40" s="173">
        <f>D34-D36-D37-D38</f>
        <v>116.047324031209</v>
      </c>
      <c r="E40" s="173">
        <f>E34-E36-E37-E38</f>
        <v>93.833757257246</v>
      </c>
      <c r="F40" s="173"/>
      <c r="Q40" s="162" t="s">
        <v>125</v>
      </c>
      <c r="AG40" s="162" t="s">
        <v>64</v>
      </c>
      <c r="AH40" s="162" t="s">
        <v>125</v>
      </c>
    </row>
    <row r="41" spans="1:34">
      <c r="A41" s="152">
        <v>2</v>
      </c>
      <c r="B41" s="162" t="s">
        <v>126</v>
      </c>
      <c r="C41" s="173"/>
      <c r="D41" s="173"/>
      <c r="E41" s="173"/>
      <c r="F41" s="173"/>
      <c r="Q41" s="162" t="s">
        <v>126</v>
      </c>
      <c r="AG41" s="162" t="s">
        <v>66</v>
      </c>
      <c r="AH41" s="162" t="s">
        <v>126</v>
      </c>
    </row>
    <row r="42" spans="1:34">
      <c r="A42" s="162" t="s">
        <v>122</v>
      </c>
      <c r="B42" s="167" t="s">
        <v>128</v>
      </c>
      <c r="C42" s="173"/>
      <c r="D42" s="173"/>
      <c r="E42" s="173"/>
      <c r="F42" s="173"/>
      <c r="Q42" s="167" t="s">
        <v>128</v>
      </c>
      <c r="AG42" s="162" t="s">
        <v>127</v>
      </c>
      <c r="AH42" s="167" t="s">
        <v>128</v>
      </c>
    </row>
    <row r="43" spans="1:34">
      <c r="A43" s="152">
        <v>1</v>
      </c>
      <c r="B43" s="174" t="s">
        <v>129</v>
      </c>
      <c r="C43" s="171">
        <f>标准成本!E5</f>
        <v>34.9387275783652</v>
      </c>
      <c r="D43" s="171">
        <f>标准成本!E17</f>
        <v>13.5510079165649</v>
      </c>
      <c r="E43" s="171">
        <f>标准成本!E30</f>
        <v>16.8389319177669</v>
      </c>
      <c r="F43" s="173"/>
      <c r="Q43" s="162" t="s">
        <v>129</v>
      </c>
      <c r="AG43" s="162" t="s">
        <v>64</v>
      </c>
      <c r="AH43" s="162" t="s">
        <v>129</v>
      </c>
    </row>
    <row r="44" spans="1:34">
      <c r="A44" s="152">
        <v>2</v>
      </c>
      <c r="B44" s="174" t="s">
        <v>130</v>
      </c>
      <c r="C44" s="171">
        <f>标准成本!E9</f>
        <v>5.9651486109404</v>
      </c>
      <c r="D44" s="171">
        <f>标准成本!E21</f>
        <v>2.3135867174623</v>
      </c>
      <c r="E44" s="171">
        <f>标准成本!E34</f>
        <v>2.8749395957163</v>
      </c>
      <c r="F44" s="173"/>
      <c r="Q44" s="162" t="s">
        <v>130</v>
      </c>
      <c r="AG44" s="162" t="s">
        <v>66</v>
      </c>
      <c r="AH44" s="162" t="s">
        <v>130</v>
      </c>
    </row>
    <row r="45" spans="1:34">
      <c r="A45" s="152">
        <v>3</v>
      </c>
      <c r="B45" s="174" t="s">
        <v>131</v>
      </c>
      <c r="C45" s="171">
        <f>标准成本!E8</f>
        <v>28.9735789674248</v>
      </c>
      <c r="D45" s="171">
        <f>标准成本!E20</f>
        <v>11.2374211991026</v>
      </c>
      <c r="E45" s="171">
        <f>标准成本!E33</f>
        <v>13.9639923220506</v>
      </c>
      <c r="F45" s="173"/>
      <c r="Q45" s="162" t="s">
        <v>131</v>
      </c>
      <c r="AG45" s="162" t="s">
        <v>115</v>
      </c>
      <c r="AH45" s="162" t="s">
        <v>131</v>
      </c>
    </row>
    <row r="46" s="149" customFormat="1" spans="1:34">
      <c r="A46" s="152">
        <v>4</v>
      </c>
      <c r="B46" s="174" t="s">
        <v>132</v>
      </c>
      <c r="C46" s="180">
        <f>C21/C6</f>
        <v>0</v>
      </c>
      <c r="D46" s="180">
        <f>D21/D6</f>
        <v>0</v>
      </c>
      <c r="E46" s="180">
        <f>E21/E6</f>
        <v>0</v>
      </c>
      <c r="F46" s="180"/>
      <c r="Q46" s="174" t="s">
        <v>134</v>
      </c>
      <c r="AG46" s="174" t="s">
        <v>72</v>
      </c>
      <c r="AH46" s="174" t="s">
        <v>134</v>
      </c>
    </row>
    <row r="47" s="149" customFormat="1" spans="1:34">
      <c r="A47" s="152">
        <v>5</v>
      </c>
      <c r="B47" s="174" t="s">
        <v>134</v>
      </c>
      <c r="C47" s="180">
        <f>标准成本!E11</f>
        <v>25.564922618316</v>
      </c>
      <c r="D47" s="180">
        <f>标准成本!E23</f>
        <v>9.915371646267</v>
      </c>
      <c r="E47" s="180">
        <f>标准成本!E36</f>
        <v>12.321169695927</v>
      </c>
      <c r="F47" s="180"/>
      <c r="Q47" s="174" t="s">
        <v>134</v>
      </c>
      <c r="AG47" s="174" t="s">
        <v>72</v>
      </c>
      <c r="AH47" s="174" t="s">
        <v>134</v>
      </c>
    </row>
    <row r="48" spans="1:34">
      <c r="A48" s="162" t="s">
        <v>127</v>
      </c>
      <c r="B48" s="167" t="s">
        <v>145</v>
      </c>
      <c r="C48" s="173">
        <f>C40-C43-C44-C45-C47-C46</f>
        <v>-4.20769748976961</v>
      </c>
      <c r="D48" s="173">
        <f>D40-D43-D44-D45-D47-D46</f>
        <v>79.0299365518122</v>
      </c>
      <c r="E48" s="173">
        <f>E40-E43-E44-E45-E47-E46</f>
        <v>47.8347237257852</v>
      </c>
      <c r="F48" s="173"/>
      <c r="Q48" s="167" t="s">
        <v>145</v>
      </c>
      <c r="AG48" s="162" t="s">
        <v>144</v>
      </c>
      <c r="AH48" s="167" t="s">
        <v>145</v>
      </c>
    </row>
    <row r="51" spans="3:5">
      <c r="C51" s="181"/>
      <c r="D51" s="181"/>
      <c r="E51" s="181"/>
    </row>
    <row r="54" spans="2:11">
      <c r="B54" s="2"/>
      <c r="C54" s="182"/>
      <c r="D54" s="182"/>
      <c r="E54" s="182"/>
      <c r="F54" s="182"/>
      <c r="G54" s="2"/>
      <c r="H54" s="2"/>
      <c r="I54" s="2"/>
      <c r="J54" s="2"/>
      <c r="K54" s="2"/>
    </row>
    <row r="55" spans="2:11">
      <c r="B55" s="2"/>
      <c r="C55" s="182"/>
      <c r="D55" s="182"/>
      <c r="E55" s="182"/>
      <c r="F55" s="182"/>
      <c r="G55" s="2"/>
      <c r="H55" s="2"/>
      <c r="I55" s="2"/>
      <c r="J55" s="2"/>
      <c r="K55" s="2"/>
    </row>
    <row r="56" spans="2:11">
      <c r="B56" s="2"/>
      <c r="C56" s="182"/>
      <c r="D56" s="182"/>
      <c r="E56" s="182"/>
      <c r="F56" s="182"/>
      <c r="G56" s="2"/>
      <c r="H56" s="2"/>
      <c r="I56" s="2"/>
      <c r="J56" s="2"/>
      <c r="K56" s="2"/>
    </row>
    <row r="57" spans="2:11">
      <c r="B57" s="2"/>
      <c r="C57" s="182"/>
      <c r="D57" s="182"/>
      <c r="E57" s="182"/>
      <c r="F57" s="182"/>
      <c r="G57" s="2"/>
      <c r="H57" s="2"/>
      <c r="I57" s="2"/>
      <c r="J57" s="2"/>
      <c r="K57" s="2"/>
    </row>
    <row r="58" spans="2:11">
      <c r="B58" s="2"/>
      <c r="C58" s="182"/>
      <c r="D58" s="182"/>
      <c r="E58" s="182"/>
      <c r="F58" s="182"/>
      <c r="G58" s="2"/>
      <c r="H58" s="2"/>
      <c r="I58" s="2"/>
      <c r="J58" s="2"/>
      <c r="K58" s="2"/>
    </row>
    <row r="59" spans="2:11">
      <c r="B59" s="2"/>
      <c r="C59" s="182"/>
      <c r="D59" s="182"/>
      <c r="E59" s="182"/>
      <c r="F59" s="182"/>
      <c r="G59" s="2"/>
      <c r="H59" s="2"/>
      <c r="I59" s="2"/>
      <c r="J59" s="2"/>
      <c r="K59" s="2"/>
    </row>
    <row r="60" spans="2:11">
      <c r="B60" s="2"/>
      <c r="C60" s="182"/>
      <c r="D60" s="182"/>
      <c r="E60" s="182"/>
      <c r="F60" s="182"/>
      <c r="G60" s="2"/>
      <c r="H60" s="2"/>
      <c r="I60" s="2"/>
      <c r="J60" s="2"/>
      <c r="K60" s="2"/>
    </row>
    <row r="61" spans="2:11">
      <c r="B61" s="2"/>
      <c r="C61" s="182"/>
      <c r="D61" s="182"/>
      <c r="E61" s="182"/>
      <c r="F61" s="182"/>
      <c r="G61" s="2"/>
      <c r="H61" s="2"/>
      <c r="I61" s="2"/>
      <c r="J61" s="2"/>
      <c r="K61" s="2"/>
    </row>
    <row r="62" spans="2:11">
      <c r="B62" s="2"/>
      <c r="C62" s="182"/>
      <c r="D62" s="182"/>
      <c r="E62" s="182"/>
      <c r="F62" s="182"/>
      <c r="G62" s="2"/>
      <c r="H62" s="2"/>
      <c r="I62" s="2"/>
      <c r="J62" s="2"/>
      <c r="K62" s="2"/>
    </row>
    <row r="63" spans="2:11">
      <c r="B63" s="2"/>
      <c r="C63" s="182"/>
      <c r="D63" s="182"/>
      <c r="E63" s="182"/>
      <c r="F63" s="182"/>
      <c r="G63" s="2"/>
      <c r="H63" s="2"/>
      <c r="I63" s="2"/>
      <c r="J63" s="2"/>
      <c r="K63" s="2"/>
    </row>
    <row r="64" spans="2:11">
      <c r="B64" s="2"/>
      <c r="C64" s="182"/>
      <c r="D64" s="182"/>
      <c r="E64" s="182"/>
      <c r="F64" s="182"/>
      <c r="G64" s="2"/>
      <c r="H64" s="2"/>
      <c r="I64" s="2"/>
      <c r="J64" s="2"/>
      <c r="K64" s="2"/>
    </row>
    <row r="65" spans="2:11">
      <c r="B65" s="2"/>
      <c r="C65" s="182"/>
      <c r="D65" s="182"/>
      <c r="E65" s="182"/>
      <c r="F65" s="182"/>
      <c r="G65" s="2"/>
      <c r="H65" s="2"/>
      <c r="I65" s="2"/>
      <c r="J65" s="2"/>
      <c r="K65" s="2"/>
    </row>
    <row r="66" spans="2:11">
      <c r="B66" s="2"/>
      <c r="C66" s="182"/>
      <c r="D66" s="182"/>
      <c r="E66" s="182"/>
      <c r="F66" s="182"/>
      <c r="G66" s="2"/>
      <c r="H66" s="2"/>
      <c r="I66" s="2"/>
      <c r="J66" s="2"/>
      <c r="K66" s="2"/>
    </row>
    <row r="67" spans="2:7">
      <c r="B67" s="2"/>
      <c r="C67" s="182"/>
      <c r="D67" s="182"/>
      <c r="E67" s="182"/>
      <c r="F67" s="182"/>
      <c r="G67" s="2"/>
    </row>
    <row r="68" spans="2:7">
      <c r="B68" s="2"/>
      <c r="C68" s="182"/>
      <c r="D68" s="182"/>
      <c r="E68" s="182"/>
      <c r="F68" s="182"/>
      <c r="G68" s="2"/>
    </row>
    <row r="69" spans="2:7">
      <c r="B69" s="2"/>
      <c r="C69" s="182"/>
      <c r="D69" s="182"/>
      <c r="E69" s="182"/>
      <c r="F69" s="182"/>
      <c r="G69" s="2"/>
    </row>
    <row r="70" spans="2:7">
      <c r="B70" s="2"/>
      <c r="C70" s="182"/>
      <c r="D70" s="182"/>
      <c r="E70" s="182"/>
      <c r="F70" s="182"/>
      <c r="G70" s="2"/>
    </row>
    <row r="71" spans="2:7">
      <c r="B71" s="2"/>
      <c r="C71" s="182"/>
      <c r="D71" s="182"/>
      <c r="E71" s="182"/>
      <c r="F71" s="182"/>
      <c r="G71" s="2"/>
    </row>
    <row r="72" spans="2:7">
      <c r="B72" s="2"/>
      <c r="C72" s="182"/>
      <c r="D72" s="182"/>
      <c r="E72" s="182"/>
      <c r="F72" s="182"/>
      <c r="G72" s="2"/>
    </row>
    <row r="73" spans="2:7">
      <c r="B73" s="2"/>
      <c r="C73" s="182"/>
      <c r="D73" s="182"/>
      <c r="E73" s="182"/>
      <c r="F73" s="182"/>
      <c r="G73" s="2"/>
    </row>
    <row r="74" spans="2:7">
      <c r="B74" s="2"/>
      <c r="C74" s="182"/>
      <c r="D74" s="182"/>
      <c r="E74" s="182"/>
      <c r="F74" s="182"/>
      <c r="G74" s="2"/>
    </row>
  </sheetData>
  <mergeCells count="8">
    <mergeCell ref="A1:B1"/>
    <mergeCell ref="C1:F1"/>
    <mergeCell ref="A2:B2"/>
    <mergeCell ref="C2:F2"/>
    <mergeCell ref="A3:B3"/>
    <mergeCell ref="A4:B4"/>
    <mergeCell ref="A5:B5"/>
    <mergeCell ref="F3:F5"/>
  </mergeCells>
  <printOptions horizontalCentered="1"/>
  <pageMargins left="0.393700787401575" right="0.31496062992126" top="0.354330708661417" bottom="0.15748031496063" header="0.31496062992126" footer="0.31496062992126"/>
  <pageSetup paperSize="9" orientation="landscape"/>
  <headerFooter/>
  <rowBreaks count="1" manualBreakCount="1">
    <brk id="28" max="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1"/>
  <sheetViews>
    <sheetView workbookViewId="0">
      <pane xSplit="6" ySplit="2" topLeftCell="G15" activePane="bottomRight" state="frozen"/>
      <selection/>
      <selection pane="topRight"/>
      <selection pane="bottomLeft"/>
      <selection pane="bottomRight" activeCell="J33" sqref="J33"/>
    </sheetView>
  </sheetViews>
  <sheetFormatPr defaultColWidth="9" defaultRowHeight="14"/>
  <cols>
    <col min="1" max="1" width="19.5" customWidth="1"/>
    <col min="2" max="2" width="14.8727272727273" style="101" customWidth="1"/>
    <col min="3" max="3" width="9.25454545454545" customWidth="1"/>
    <col min="4" max="4" width="15.5" customWidth="1"/>
    <col min="5" max="5" width="19.2545454545455" customWidth="1"/>
    <col min="6" max="6" width="15.5" customWidth="1"/>
    <col min="7" max="7" width="17.4545454545455" customWidth="1"/>
    <col min="8" max="10" width="13" customWidth="1"/>
    <col min="11" max="11" width="14.8727272727273" customWidth="1"/>
    <col min="12" max="12" width="13" customWidth="1"/>
  </cols>
  <sheetData>
    <row r="1" ht="21" spans="1:10">
      <c r="A1" s="102" t="s">
        <v>178</v>
      </c>
      <c r="B1" s="102"/>
      <c r="C1" s="102"/>
      <c r="E1" s="103" t="s">
        <v>179</v>
      </c>
      <c r="F1" s="104"/>
      <c r="G1" s="104"/>
      <c r="H1" s="105"/>
      <c r="I1" s="140"/>
      <c r="J1" s="140"/>
    </row>
    <row r="2" ht="23.45" customHeight="1" spans="1:10">
      <c r="A2" s="106" t="s">
        <v>1</v>
      </c>
      <c r="B2" s="107" t="s">
        <v>180</v>
      </c>
      <c r="C2" s="108" t="s">
        <v>181</v>
      </c>
      <c r="E2" s="109" t="s">
        <v>182</v>
      </c>
      <c r="F2" s="109" t="s">
        <v>1</v>
      </c>
      <c r="G2" s="110" t="s">
        <v>183</v>
      </c>
      <c r="H2" s="109" t="s">
        <v>181</v>
      </c>
      <c r="I2" s="141"/>
      <c r="J2" s="141"/>
    </row>
    <row r="3" ht="15.75" customHeight="1" spans="1:8">
      <c r="A3" s="111" t="s">
        <v>184</v>
      </c>
      <c r="B3" s="112"/>
      <c r="C3" s="113"/>
      <c r="E3" s="114" t="s">
        <v>185</v>
      </c>
      <c r="F3" s="115" t="s">
        <v>186</v>
      </c>
      <c r="G3" s="116">
        <v>0</v>
      </c>
      <c r="H3" s="115"/>
    </row>
    <row r="4" ht="15.75" customHeight="1" spans="1:8">
      <c r="A4" s="111" t="s">
        <v>187</v>
      </c>
      <c r="B4" s="112"/>
      <c r="C4" s="117"/>
      <c r="E4" s="118"/>
      <c r="F4" s="115" t="s">
        <v>188</v>
      </c>
      <c r="G4" s="116"/>
      <c r="H4" s="115"/>
    </row>
    <row r="5" ht="15.75" customHeight="1" spans="1:10">
      <c r="A5" s="111" t="s">
        <v>189</v>
      </c>
      <c r="B5" s="119">
        <f>SUM(G3:G4)</f>
        <v>0</v>
      </c>
      <c r="C5" s="113"/>
      <c r="E5" s="120" t="s">
        <v>190</v>
      </c>
      <c r="F5" s="121" t="s">
        <v>191</v>
      </c>
      <c r="G5" s="116"/>
      <c r="H5" s="121"/>
      <c r="I5" s="142"/>
      <c r="J5" s="142"/>
    </row>
    <row r="6" ht="15.75" customHeight="1" spans="1:12">
      <c r="A6" s="111" t="s">
        <v>192</v>
      </c>
      <c r="B6" s="112"/>
      <c r="C6" s="113"/>
      <c r="E6" s="122"/>
      <c r="F6" s="121" t="s">
        <v>193</v>
      </c>
      <c r="G6" s="116">
        <v>14</v>
      </c>
      <c r="H6" s="115"/>
      <c r="L6">
        <v>10000</v>
      </c>
    </row>
    <row r="7" ht="15.75" customHeight="1" spans="1:8">
      <c r="A7" s="123" t="s">
        <v>194</v>
      </c>
      <c r="B7" s="119">
        <f>SUM(B3:B6)</f>
        <v>0</v>
      </c>
      <c r="C7" s="113"/>
      <c r="E7" s="122"/>
      <c r="F7" s="121" t="s">
        <v>195</v>
      </c>
      <c r="G7" s="116"/>
      <c r="H7" s="115"/>
    </row>
    <row r="8" ht="15.75" customHeight="1" spans="1:8">
      <c r="A8" s="124" t="s">
        <v>196</v>
      </c>
      <c r="B8" s="119">
        <f>SUM(G5:G12)</f>
        <v>14</v>
      </c>
      <c r="C8" s="125"/>
      <c r="E8" s="122"/>
      <c r="F8" s="121" t="s">
        <v>197</v>
      </c>
      <c r="G8" s="116">
        <v>0</v>
      </c>
      <c r="H8" s="115"/>
    </row>
    <row r="9" ht="15.75" customHeight="1" spans="1:10">
      <c r="A9" s="111" t="s">
        <v>198</v>
      </c>
      <c r="B9" s="119">
        <f>SUM(G13:G21)</f>
        <v>0</v>
      </c>
      <c r="C9" s="113"/>
      <c r="E9" s="122"/>
      <c r="F9" s="115" t="s">
        <v>199</v>
      </c>
      <c r="G9" s="116"/>
      <c r="H9" s="126"/>
      <c r="I9" s="143"/>
      <c r="J9" s="143"/>
    </row>
    <row r="10" ht="15.75" customHeight="1" spans="1:8">
      <c r="A10" s="117" t="s">
        <v>60</v>
      </c>
      <c r="B10" s="119">
        <f>B7+B8+B9</f>
        <v>14</v>
      </c>
      <c r="C10" s="113"/>
      <c r="E10" s="122"/>
      <c r="F10" s="115" t="s">
        <v>200</v>
      </c>
      <c r="G10" s="116"/>
      <c r="H10" s="115"/>
    </row>
    <row r="11" ht="15.75" customHeight="1" spans="5:8">
      <c r="E11" s="122"/>
      <c r="F11" s="115" t="s">
        <v>201</v>
      </c>
      <c r="G11" s="116"/>
      <c r="H11" s="115"/>
    </row>
    <row r="12" ht="15.75" customHeight="1" spans="5:10">
      <c r="E12" s="127"/>
      <c r="F12" s="115" t="s">
        <v>202</v>
      </c>
      <c r="G12" s="116"/>
      <c r="H12" s="126"/>
      <c r="I12" s="143"/>
      <c r="J12" s="143"/>
    </row>
    <row r="13" ht="15.75" customHeight="1" spans="5:10">
      <c r="E13" s="114" t="s">
        <v>95</v>
      </c>
      <c r="F13" s="115" t="s">
        <v>203</v>
      </c>
      <c r="G13" s="116"/>
      <c r="H13" s="128"/>
      <c r="I13" s="144"/>
      <c r="J13" s="144"/>
    </row>
    <row r="14" ht="15.75" customHeight="1" spans="5:8">
      <c r="E14" s="118"/>
      <c r="F14" s="115" t="s">
        <v>204</v>
      </c>
      <c r="G14" s="116"/>
      <c r="H14" s="115"/>
    </row>
    <row r="15" ht="15.75" customHeight="1" spans="5:8">
      <c r="E15" s="118"/>
      <c r="F15" s="115" t="s">
        <v>205</v>
      </c>
      <c r="G15" s="116"/>
      <c r="H15" s="115"/>
    </row>
    <row r="16" ht="15.75" customHeight="1" spans="5:8">
      <c r="E16" s="118"/>
      <c r="F16" s="115" t="s">
        <v>206</v>
      </c>
      <c r="G16" s="116"/>
      <c r="H16" s="115"/>
    </row>
    <row r="17" ht="15.75" customHeight="1" spans="5:8">
      <c r="E17" s="118"/>
      <c r="F17" s="115" t="s">
        <v>207</v>
      </c>
      <c r="G17" s="116"/>
      <c r="H17" s="115"/>
    </row>
    <row r="18" ht="15.75" customHeight="1" spans="5:8">
      <c r="E18" s="118"/>
      <c r="F18" s="115" t="s">
        <v>208</v>
      </c>
      <c r="G18" s="116"/>
      <c r="H18" s="115"/>
    </row>
    <row r="19" ht="15.75" customHeight="1" spans="5:8">
      <c r="E19" s="118"/>
      <c r="F19" s="115" t="s">
        <v>209</v>
      </c>
      <c r="G19" s="116"/>
      <c r="H19" s="115"/>
    </row>
    <row r="20" ht="15.75" customHeight="1" spans="5:8">
      <c r="E20" s="118"/>
      <c r="F20" s="115" t="s">
        <v>210</v>
      </c>
      <c r="G20" s="116"/>
      <c r="H20" s="115"/>
    </row>
    <row r="21" ht="15.75" customHeight="1" spans="5:8">
      <c r="E21" s="129"/>
      <c r="F21" s="115" t="s">
        <v>39</v>
      </c>
      <c r="G21" s="116"/>
      <c r="H21" s="115"/>
    </row>
    <row r="22" ht="15.75" customHeight="1" spans="5:8">
      <c r="E22" s="109" t="s">
        <v>60</v>
      </c>
      <c r="F22" s="115"/>
      <c r="G22" s="110">
        <f>SUM(G3:G21)</f>
        <v>14</v>
      </c>
      <c r="H22" s="115"/>
    </row>
    <row r="23" ht="30.75" customHeight="1" spans="5:10">
      <c r="E23" s="130" t="s">
        <v>211</v>
      </c>
      <c r="F23" s="130"/>
      <c r="G23" s="130"/>
      <c r="H23" s="130"/>
      <c r="I23" s="145"/>
      <c r="J23" s="145"/>
    </row>
    <row r="25" ht="16.5" spans="1:12">
      <c r="A25" s="131" t="s">
        <v>1</v>
      </c>
      <c r="B25" s="131" t="s">
        <v>180</v>
      </c>
      <c r="C25" s="131" t="s">
        <v>212</v>
      </c>
      <c r="D25" s="132" t="s">
        <v>213</v>
      </c>
      <c r="E25" s="132" t="s">
        <v>109</v>
      </c>
      <c r="F25" s="132" t="s">
        <v>55</v>
      </c>
      <c r="G25" s="132" t="s">
        <v>56</v>
      </c>
      <c r="H25" s="132" t="s">
        <v>57</v>
      </c>
      <c r="I25" s="132" t="s">
        <v>58</v>
      </c>
      <c r="J25" s="132" t="s">
        <v>214</v>
      </c>
      <c r="K25" s="132" t="s">
        <v>60</v>
      </c>
      <c r="L25" s="146" t="s">
        <v>215</v>
      </c>
    </row>
    <row r="26" spans="1:12">
      <c r="A26" s="133" t="s">
        <v>89</v>
      </c>
      <c r="B26" s="134">
        <f>(B5+B8)*10000</f>
        <v>140000</v>
      </c>
      <c r="C26" s="135">
        <v>0.05</v>
      </c>
      <c r="D26" s="136">
        <f>B26*(1-C26)/3</f>
        <v>44333.3333333333</v>
      </c>
      <c r="E26" s="136">
        <f>D26</f>
        <v>44333.3333333333</v>
      </c>
      <c r="F26" s="136">
        <f>E26</f>
        <v>44333.3333333333</v>
      </c>
      <c r="G26" s="136">
        <f>F26</f>
        <v>44333.3333333333</v>
      </c>
      <c r="H26" s="136">
        <f>G26</f>
        <v>44333.3333333333</v>
      </c>
      <c r="I26" s="136">
        <f>H26</f>
        <v>44333.3333333333</v>
      </c>
      <c r="J26" s="136">
        <f>I26</f>
        <v>44333.3333333333</v>
      </c>
      <c r="K26" s="136">
        <f>SUM(D26:J26)</f>
        <v>310333.333333333</v>
      </c>
      <c r="L26" s="136">
        <f>B26*0.05</f>
        <v>7000</v>
      </c>
    </row>
    <row r="27" spans="1:12">
      <c r="A27" s="133" t="s">
        <v>216</v>
      </c>
      <c r="B27" s="134">
        <f>B9*10000</f>
        <v>0</v>
      </c>
      <c r="C27" s="136"/>
      <c r="D27" s="136">
        <f>B27/3</f>
        <v>0</v>
      </c>
      <c r="E27" s="136">
        <f t="shared" ref="E26:F27" si="0">D27</f>
        <v>0</v>
      </c>
      <c r="F27" s="136">
        <f t="shared" si="0"/>
        <v>0</v>
      </c>
      <c r="G27" s="136">
        <f>F27</f>
        <v>0</v>
      </c>
      <c r="H27" s="136">
        <f>G27</f>
        <v>0</v>
      </c>
      <c r="I27" s="136">
        <f>H27</f>
        <v>0</v>
      </c>
      <c r="J27" s="136">
        <f>I27</f>
        <v>0</v>
      </c>
      <c r="K27" s="136">
        <f>SUM(D27:J27)</f>
        <v>0</v>
      </c>
      <c r="L27" s="136"/>
    </row>
    <row r="28" spans="1:12">
      <c r="A28" s="137" t="s">
        <v>153</v>
      </c>
      <c r="B28" s="138"/>
      <c r="C28" s="139"/>
      <c r="D28" s="136">
        <f>SUM(D26:D27)</f>
        <v>44333.3333333333</v>
      </c>
      <c r="E28" s="136">
        <f t="shared" ref="E28:H28" si="1">SUM(E26:E27)</f>
        <v>44333.3333333333</v>
      </c>
      <c r="F28" s="136">
        <f t="shared" si="1"/>
        <v>44333.3333333333</v>
      </c>
      <c r="G28" s="136">
        <f t="shared" si="1"/>
        <v>44333.3333333333</v>
      </c>
      <c r="H28" s="136">
        <f>SUM(H26:H27)</f>
        <v>44333.3333333333</v>
      </c>
      <c r="I28" s="136">
        <f>SUM(I26:I27)</f>
        <v>44333.3333333333</v>
      </c>
      <c r="J28" s="136">
        <f>SUM(J26:J27)</f>
        <v>44333.3333333333</v>
      </c>
      <c r="K28" s="136">
        <f>SUM(K26:K27)</f>
        <v>310333.333333333</v>
      </c>
      <c r="L28" s="147"/>
    </row>
    <row r="41" ht="37.5" customHeight="1"/>
  </sheetData>
  <mergeCells count="7">
    <mergeCell ref="A1:C1"/>
    <mergeCell ref="E1:H1"/>
    <mergeCell ref="E23:H23"/>
    <mergeCell ref="A28:C28"/>
    <mergeCell ref="E3:E4"/>
    <mergeCell ref="E5:E12"/>
    <mergeCell ref="E13:E21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zoomScale="85" zoomScaleNormal="85" workbookViewId="0">
      <selection activeCell="T19" sqref="T19"/>
    </sheetView>
  </sheetViews>
  <sheetFormatPr defaultColWidth="9" defaultRowHeight="16.5"/>
  <cols>
    <col min="1" max="1" width="14" style="69" customWidth="1"/>
    <col min="2" max="2" width="14.1272727272727" style="69" customWidth="1"/>
    <col min="3" max="3" width="14.7545454545455" style="69" customWidth="1"/>
    <col min="4" max="4" width="15.9363636363636" style="69" customWidth="1"/>
    <col min="5" max="5" width="12.8727272727273" style="69" customWidth="1"/>
    <col min="6" max="6" width="11.1272727272727" style="69" customWidth="1"/>
    <col min="7" max="7" width="13.2545454545455" style="69" hidden="1" customWidth="1"/>
    <col min="8" max="8" width="12.1272727272727" style="69" hidden="1" customWidth="1"/>
    <col min="9" max="9" width="13.1272727272727" style="69" hidden="1" customWidth="1"/>
    <col min="10" max="12" width="12.1272727272727" style="69" hidden="1" customWidth="1"/>
    <col min="13" max="13" width="11.6272727272727" style="69" customWidth="1"/>
    <col min="14" max="14" width="9.25454545454545" style="69" customWidth="1"/>
    <col min="15" max="15" width="9.12727272727273" style="70" customWidth="1"/>
    <col min="16" max="16" width="12.8727272727273" style="70"/>
    <col min="17" max="17" width="18.3636363636364" style="69" customWidth="1"/>
    <col min="18" max="19" width="20.1818181818182" style="69"/>
    <col min="20" max="20" width="15.6363636363636" style="69"/>
    <col min="21" max="16384" width="9" style="69"/>
  </cols>
  <sheetData>
    <row r="1" ht="29.25" customHeight="1" spans="1:13">
      <c r="A1" s="71" t="s">
        <v>217</v>
      </c>
      <c r="E1" s="72"/>
      <c r="F1" s="72"/>
      <c r="G1" s="72"/>
      <c r="H1" s="72"/>
      <c r="I1" s="72"/>
      <c r="J1" s="72"/>
      <c r="K1" s="72"/>
      <c r="L1" s="72"/>
      <c r="M1" s="72"/>
    </row>
    <row r="2" ht="24" customHeight="1" spans="1:13">
      <c r="A2" s="73" t="s">
        <v>218</v>
      </c>
      <c r="E2" s="72"/>
      <c r="F2" s="72"/>
      <c r="G2" s="72"/>
      <c r="H2" s="72"/>
      <c r="I2" s="72"/>
      <c r="J2" s="72"/>
      <c r="K2" s="72"/>
      <c r="L2" s="72"/>
      <c r="M2" s="72"/>
    </row>
    <row r="3" spans="3:5">
      <c r="C3" s="69" t="s">
        <v>219</v>
      </c>
      <c r="D3" s="69" t="s">
        <v>220</v>
      </c>
      <c r="E3" s="74">
        <v>0.03</v>
      </c>
    </row>
    <row r="5" ht="45" customHeight="1" spans="1:13">
      <c r="A5" s="75" t="s">
        <v>221</v>
      </c>
      <c r="B5" s="76" t="s">
        <v>159</v>
      </c>
      <c r="C5" s="77" t="s">
        <v>160</v>
      </c>
      <c r="D5" s="77" t="s">
        <v>161</v>
      </c>
      <c r="E5" s="77" t="s">
        <v>162</v>
      </c>
      <c r="F5" s="78"/>
      <c r="G5" s="21"/>
      <c r="H5" s="21"/>
      <c r="I5" s="21"/>
      <c r="J5" s="21"/>
      <c r="K5" s="21"/>
      <c r="L5" s="21"/>
      <c r="M5" s="95" t="s">
        <v>60</v>
      </c>
    </row>
    <row r="6" ht="31.5" customHeight="1" spans="1:19">
      <c r="A6" s="75"/>
      <c r="B6" s="76" t="s">
        <v>163</v>
      </c>
      <c r="C6" s="79"/>
      <c r="D6" s="79"/>
      <c r="E6" s="23"/>
      <c r="F6" s="23"/>
      <c r="G6" s="23"/>
      <c r="H6" s="23"/>
      <c r="I6" s="23"/>
      <c r="J6" s="23"/>
      <c r="K6" s="23"/>
      <c r="L6" s="23"/>
      <c r="M6" s="96"/>
      <c r="O6" s="70">
        <v>100</v>
      </c>
      <c r="Q6" s="75" t="s">
        <v>222</v>
      </c>
      <c r="R6" s="75"/>
      <c r="S6" s="75"/>
    </row>
    <row r="7" ht="51" customHeight="1" spans="1:19">
      <c r="A7" s="75"/>
      <c r="B7" s="23" t="s">
        <v>223</v>
      </c>
      <c r="C7" s="80" t="s">
        <v>165</v>
      </c>
      <c r="D7" s="80" t="s">
        <v>166</v>
      </c>
      <c r="E7" s="80" t="s">
        <v>167</v>
      </c>
      <c r="F7" s="23"/>
      <c r="G7" s="78"/>
      <c r="H7" s="78"/>
      <c r="I7" s="23"/>
      <c r="J7" s="23"/>
      <c r="K7" s="23"/>
      <c r="L7" s="23"/>
      <c r="M7" s="97"/>
      <c r="N7" s="69">
        <v>2025</v>
      </c>
      <c r="O7" s="70">
        <f>O6*(1-$E$3)</f>
        <v>97</v>
      </c>
      <c r="P7" s="92">
        <f t="shared" ref="P7:P12" si="0">O7/$O$6</f>
        <v>0.97</v>
      </c>
      <c r="Q7" s="100">
        <f>C8*P7</f>
        <v>1040.81</v>
      </c>
      <c r="R7" s="100">
        <f>D8*P7</f>
        <v>497.61</v>
      </c>
      <c r="S7" s="100">
        <f>E8*P7</f>
        <v>559.69</v>
      </c>
    </row>
    <row r="8" ht="33" spans="1:19">
      <c r="A8" s="75"/>
      <c r="B8" s="23" t="s">
        <v>224</v>
      </c>
      <c r="C8" s="80">
        <v>1073</v>
      </c>
      <c r="D8" s="80">
        <v>513</v>
      </c>
      <c r="E8" s="80">
        <v>577</v>
      </c>
      <c r="F8" s="81"/>
      <c r="G8" s="81"/>
      <c r="H8" s="81"/>
      <c r="I8" s="81"/>
      <c r="J8" s="81"/>
      <c r="K8" s="81"/>
      <c r="L8" s="81"/>
      <c r="M8" s="98">
        <f>SUM(C8:L8)</f>
        <v>2163</v>
      </c>
      <c r="N8" s="69">
        <v>2026</v>
      </c>
      <c r="O8" s="70">
        <f>O7*(1-$E$3)</f>
        <v>94.09</v>
      </c>
      <c r="P8" s="92">
        <f t="shared" si="0"/>
        <v>0.9409</v>
      </c>
      <c r="Q8" s="100">
        <f>C8*$P$8</f>
        <v>1009.5857</v>
      </c>
      <c r="R8" s="100">
        <f>D8*$P$8</f>
        <v>482.6817</v>
      </c>
      <c r="S8" s="100">
        <f>E8*$P$8</f>
        <v>542.8993</v>
      </c>
    </row>
    <row r="9" spans="1:19">
      <c r="A9" s="82" t="s">
        <v>225</v>
      </c>
      <c r="B9" s="23" t="s">
        <v>213</v>
      </c>
      <c r="C9" s="83">
        <v>1000</v>
      </c>
      <c r="D9" s="83">
        <v>3500</v>
      </c>
      <c r="E9" s="83">
        <v>2500</v>
      </c>
      <c r="F9" s="81"/>
      <c r="G9" s="81"/>
      <c r="H9" s="81"/>
      <c r="I9" s="81"/>
      <c r="J9" s="81"/>
      <c r="K9" s="81"/>
      <c r="L9" s="81"/>
      <c r="M9" s="98">
        <f>SUM(C9:L9)</f>
        <v>7000</v>
      </c>
      <c r="N9" s="69">
        <v>2027</v>
      </c>
      <c r="O9" s="70">
        <f>O8*(1-$E$3)</f>
        <v>91.2673</v>
      </c>
      <c r="P9" s="92">
        <f t="shared" si="0"/>
        <v>0.912673</v>
      </c>
      <c r="Q9" s="100">
        <f>C8*$P$9</f>
        <v>979.298129</v>
      </c>
      <c r="R9" s="100">
        <f>D8*$P$9</f>
        <v>468.201249</v>
      </c>
      <c r="S9" s="100">
        <f>E8*$P$9</f>
        <v>526.612321</v>
      </c>
    </row>
    <row r="10" spans="1:19">
      <c r="A10" s="84"/>
      <c r="B10" s="85" t="s">
        <v>109</v>
      </c>
      <c r="C10" s="83">
        <v>10000</v>
      </c>
      <c r="D10" s="83">
        <v>20000</v>
      </c>
      <c r="E10" s="83">
        <v>10000</v>
      </c>
      <c r="F10" s="86"/>
      <c r="G10" s="86"/>
      <c r="H10" s="86"/>
      <c r="I10" s="86"/>
      <c r="J10" s="86"/>
      <c r="K10" s="86"/>
      <c r="L10" s="86"/>
      <c r="M10" s="98">
        <f t="shared" ref="M10:M15" si="1">SUM(C10:L10)</f>
        <v>40000</v>
      </c>
      <c r="N10" s="69">
        <v>2028</v>
      </c>
      <c r="O10" s="70">
        <f>O9*(1-$E$3)</f>
        <v>88.529281</v>
      </c>
      <c r="P10" s="92">
        <f t="shared" si="0"/>
        <v>0.88529281</v>
      </c>
      <c r="Q10" s="100">
        <f>C8*$P$10</f>
        <v>949.91918513</v>
      </c>
      <c r="R10" s="100">
        <f>D8*$P$10</f>
        <v>454.15521153</v>
      </c>
      <c r="S10" s="100">
        <f>E8*$P$10</f>
        <v>510.81395137</v>
      </c>
    </row>
    <row r="11" spans="1:19">
      <c r="A11" s="84"/>
      <c r="B11" s="85" t="s">
        <v>55</v>
      </c>
      <c r="C11" s="83">
        <v>10000</v>
      </c>
      <c r="D11" s="83">
        <v>25000</v>
      </c>
      <c r="E11" s="83">
        <v>15000</v>
      </c>
      <c r="F11" s="86"/>
      <c r="G11" s="86"/>
      <c r="H11" s="86"/>
      <c r="I11" s="86"/>
      <c r="J11" s="86"/>
      <c r="K11" s="86"/>
      <c r="L11" s="86"/>
      <c r="M11" s="98">
        <f t="shared" si="1"/>
        <v>50000</v>
      </c>
      <c r="N11" s="69">
        <v>2029</v>
      </c>
      <c r="O11" s="70">
        <f>O10*(1-$E$3)</f>
        <v>85.87340257</v>
      </c>
      <c r="P11" s="92">
        <f t="shared" si="0"/>
        <v>0.8587340257</v>
      </c>
      <c r="Q11" s="100">
        <f>C8*$P$11</f>
        <v>921.4216095761</v>
      </c>
      <c r="R11" s="100">
        <f>D8*$P$11</f>
        <v>440.5305551841</v>
      </c>
      <c r="S11" s="100">
        <f>E8*$P$11</f>
        <v>495.4895328289</v>
      </c>
    </row>
    <row r="12" spans="1:19">
      <c r="A12" s="84"/>
      <c r="B12" s="85" t="s">
        <v>56</v>
      </c>
      <c r="C12" s="83">
        <v>10000</v>
      </c>
      <c r="D12" s="83">
        <v>30000</v>
      </c>
      <c r="E12" s="83">
        <v>20000</v>
      </c>
      <c r="F12" s="86"/>
      <c r="G12" s="86"/>
      <c r="H12" s="86"/>
      <c r="I12" s="86"/>
      <c r="J12" s="86"/>
      <c r="K12" s="86"/>
      <c r="L12" s="86"/>
      <c r="M12" s="98">
        <f t="shared" si="1"/>
        <v>60000</v>
      </c>
      <c r="N12" s="69">
        <v>2030</v>
      </c>
      <c r="O12" s="70">
        <f>O11*(1-$E$3)</f>
        <v>83.2972004929</v>
      </c>
      <c r="P12" s="92">
        <f t="shared" si="0"/>
        <v>0.832972004929</v>
      </c>
      <c r="Q12" s="100">
        <f>C8*$P$12</f>
        <v>893.778961288817</v>
      </c>
      <c r="R12" s="100">
        <f>D8*$P$12</f>
        <v>427.314638528577</v>
      </c>
      <c r="S12" s="100">
        <f>E8*$P$12</f>
        <v>480.624846844033</v>
      </c>
    </row>
    <row r="13" spans="1:17">
      <c r="A13" s="84"/>
      <c r="B13" s="85" t="s">
        <v>57</v>
      </c>
      <c r="C13" s="83">
        <v>10000</v>
      </c>
      <c r="D13" s="83">
        <v>30000</v>
      </c>
      <c r="E13" s="83">
        <v>20000</v>
      </c>
      <c r="F13" s="86"/>
      <c r="G13" s="86"/>
      <c r="H13" s="86"/>
      <c r="I13" s="86"/>
      <c r="J13" s="86"/>
      <c r="K13" s="86"/>
      <c r="L13" s="86"/>
      <c r="M13" s="98">
        <f>SUM(C13:H13)</f>
        <v>60000</v>
      </c>
      <c r="Q13" s="92"/>
    </row>
    <row r="14" ht="17.5" spans="1:20">
      <c r="A14" s="84"/>
      <c r="B14" s="85" t="s">
        <v>58</v>
      </c>
      <c r="C14" s="83">
        <v>10000</v>
      </c>
      <c r="D14" s="83">
        <v>30000</v>
      </c>
      <c r="E14" s="83">
        <v>20000</v>
      </c>
      <c r="F14" s="86"/>
      <c r="G14" s="86"/>
      <c r="H14" s="87"/>
      <c r="I14" s="87"/>
      <c r="J14" s="87"/>
      <c r="K14" s="87"/>
      <c r="L14" s="87"/>
      <c r="M14" s="98">
        <f>SUM(C14:H14)</f>
        <v>60000</v>
      </c>
      <c r="P14" s="99">
        <v>2025</v>
      </c>
      <c r="Q14" s="92">
        <f>($C$8-Q7)*C10</f>
        <v>321900.000000001</v>
      </c>
      <c r="R14" s="92">
        <f>($D$8-R7)*D10</f>
        <v>307800</v>
      </c>
      <c r="S14" s="92">
        <f>($E$8-S7)*E10</f>
        <v>173100.000000001</v>
      </c>
      <c r="T14" s="92">
        <f t="shared" ref="T14:T19" si="2">SUM(Q14:S14)</f>
        <v>802800.000000001</v>
      </c>
    </row>
    <row r="15" ht="17.5" spans="1:20">
      <c r="A15" s="88"/>
      <c r="B15" s="85" t="s">
        <v>214</v>
      </c>
      <c r="C15" s="83">
        <v>10000</v>
      </c>
      <c r="D15" s="83">
        <v>30000</v>
      </c>
      <c r="E15" s="83">
        <v>20000</v>
      </c>
      <c r="F15" s="86"/>
      <c r="G15" s="86"/>
      <c r="H15" s="87"/>
      <c r="I15" s="87"/>
      <c r="J15" s="87"/>
      <c r="K15" s="87"/>
      <c r="L15" s="87"/>
      <c r="M15" s="98">
        <f t="shared" si="1"/>
        <v>60000</v>
      </c>
      <c r="P15" s="99">
        <v>2026</v>
      </c>
      <c r="Q15" s="92">
        <f>(C8-Q8)*C11</f>
        <v>634142.999999999</v>
      </c>
      <c r="R15" s="92">
        <f>(D8-R8)*D11</f>
        <v>757957.499999999</v>
      </c>
      <c r="S15" s="92">
        <f>(E8-S8)*E11</f>
        <v>511510.499999999</v>
      </c>
      <c r="T15" s="92">
        <f t="shared" si="2"/>
        <v>1903611</v>
      </c>
    </row>
    <row r="16" spans="1:20">
      <c r="A16" s="85" t="s">
        <v>60</v>
      </c>
      <c r="B16" s="85"/>
      <c r="C16" s="89">
        <f>SUM(C9:C15)</f>
        <v>61000</v>
      </c>
      <c r="D16" s="89">
        <f>SUM(D9:D15)</f>
        <v>168500</v>
      </c>
      <c r="E16" s="89">
        <f>SUM(E9:E15)</f>
        <v>107500</v>
      </c>
      <c r="F16" s="89">
        <f t="shared" ref="C16:N16" si="3">SUM(F10:F14)</f>
        <v>0</v>
      </c>
      <c r="G16" s="89">
        <f t="shared" si="3"/>
        <v>0</v>
      </c>
      <c r="H16" s="89">
        <f t="shared" si="3"/>
        <v>0</v>
      </c>
      <c r="I16" s="89">
        <f t="shared" si="3"/>
        <v>0</v>
      </c>
      <c r="J16" s="89">
        <f t="shared" si="3"/>
        <v>0</v>
      </c>
      <c r="K16" s="89">
        <f t="shared" si="3"/>
        <v>0</v>
      </c>
      <c r="L16" s="89">
        <f t="shared" si="3"/>
        <v>0</v>
      </c>
      <c r="M16" s="89">
        <f t="shared" si="3"/>
        <v>270000</v>
      </c>
      <c r="P16" s="99">
        <v>2027</v>
      </c>
      <c r="Q16" s="92">
        <f>(C8-Q9)*C12</f>
        <v>937018.71</v>
      </c>
      <c r="R16" s="92">
        <f>(D8-R9)*D12</f>
        <v>1343962.53</v>
      </c>
      <c r="S16" s="92">
        <f>(E8-S9)*E12</f>
        <v>1007753.58</v>
      </c>
      <c r="T16" s="92">
        <f t="shared" si="2"/>
        <v>3288734.82</v>
      </c>
    </row>
    <row r="17" ht="33" spans="1:20">
      <c r="A17" s="90"/>
      <c r="B17" s="90"/>
      <c r="C17" s="91" t="s">
        <v>52</v>
      </c>
      <c r="P17" s="99">
        <v>2028</v>
      </c>
      <c r="Q17" s="92">
        <f>(C8-Q10)*C13</f>
        <v>1230808.1487</v>
      </c>
      <c r="R17" s="92">
        <f>(D8-R10)*D13</f>
        <v>1765343.6541</v>
      </c>
      <c r="S17" s="92">
        <f>(E8-S10)*E13</f>
        <v>1323720.9726</v>
      </c>
      <c r="T17" s="92">
        <f t="shared" si="2"/>
        <v>4319872.7754</v>
      </c>
    </row>
    <row r="18" spans="2:20">
      <c r="B18" s="69" t="s">
        <v>226</v>
      </c>
      <c r="C18" s="92">
        <f>材料成本!D24</f>
        <v>852.1640872772</v>
      </c>
      <c r="D18" s="92">
        <f>材料成本!E24</f>
        <v>330.5123882089</v>
      </c>
      <c r="E18" s="92">
        <f>材料成本!F24</f>
        <v>410.7056565309</v>
      </c>
      <c r="F18" s="92">
        <f>材料成本!G24</f>
        <v>0</v>
      </c>
      <c r="G18" s="92">
        <f>材料成本!H24</f>
        <v>0</v>
      </c>
      <c r="H18" s="92">
        <f>材料成本!I24</f>
        <v>0</v>
      </c>
      <c r="I18" s="92">
        <f>材料成本!J24</f>
        <v>0</v>
      </c>
      <c r="J18" s="92">
        <f>材料成本!K24</f>
        <v>0</v>
      </c>
      <c r="K18" s="92">
        <f>材料成本!L24</f>
        <v>0</v>
      </c>
      <c r="L18" s="92">
        <f>材料成本!M24</f>
        <v>0</v>
      </c>
      <c r="M18" s="90">
        <f>SUM(C18:L18)</f>
        <v>1593.382132017</v>
      </c>
      <c r="P18" s="99">
        <v>2029</v>
      </c>
      <c r="Q18" s="92">
        <f>(C8-Q11)*C14</f>
        <v>1515783.904239</v>
      </c>
      <c r="R18" s="92">
        <f>(D8-R11)*D14</f>
        <v>2174083.344477</v>
      </c>
      <c r="S18" s="92">
        <f>(E8-S11)*E14</f>
        <v>1630209.343422</v>
      </c>
      <c r="T18" s="92">
        <f t="shared" si="2"/>
        <v>5320076.592138</v>
      </c>
    </row>
    <row r="19" spans="2:20">
      <c r="B19" s="69" t="s">
        <v>111</v>
      </c>
      <c r="C19" s="92">
        <f>C8-C18</f>
        <v>220.8359127228</v>
      </c>
      <c r="D19" s="92">
        <f t="shared" ref="D19:M19" si="4">D8-D18</f>
        <v>182.4876117911</v>
      </c>
      <c r="E19" s="92">
        <f t="shared" si="4"/>
        <v>166.2943434691</v>
      </c>
      <c r="F19" s="92">
        <f t="shared" si="4"/>
        <v>0</v>
      </c>
      <c r="G19" s="92">
        <f t="shared" si="4"/>
        <v>0</v>
      </c>
      <c r="H19" s="92">
        <f t="shared" si="4"/>
        <v>0</v>
      </c>
      <c r="I19" s="92">
        <f t="shared" si="4"/>
        <v>0</v>
      </c>
      <c r="J19" s="92">
        <f t="shared" si="4"/>
        <v>0</v>
      </c>
      <c r="K19" s="92">
        <f t="shared" si="4"/>
        <v>0</v>
      </c>
      <c r="L19" s="92">
        <f t="shared" si="4"/>
        <v>0</v>
      </c>
      <c r="M19" s="90">
        <f>SUM(C19:L19)</f>
        <v>569.617867983</v>
      </c>
      <c r="P19" s="99">
        <v>2030</v>
      </c>
      <c r="Q19" s="92">
        <f>(C8-Q12)*C15</f>
        <v>1792210.38711183</v>
      </c>
      <c r="R19" s="92">
        <f>(D8-R12)*D15</f>
        <v>2570560.84414269</v>
      </c>
      <c r="S19" s="92">
        <f>(E8-S12)*E15</f>
        <v>1927503.06311934</v>
      </c>
      <c r="T19" s="92">
        <f t="shared" si="2"/>
        <v>6290274.29437386</v>
      </c>
    </row>
    <row r="20" spans="2:20">
      <c r="B20" s="69" t="s">
        <v>227</v>
      </c>
      <c r="C20" s="93">
        <f>C19/C8</f>
        <v>0.205811661437838</v>
      </c>
      <c r="D20" s="93">
        <f t="shared" ref="D20:N20" si="5">D19/D8</f>
        <v>0.355726338774074</v>
      </c>
      <c r="E20" s="93">
        <f t="shared" si="5"/>
        <v>0.288205101332929</v>
      </c>
      <c r="F20" s="93" t="e">
        <f t="shared" si="5"/>
        <v>#DIV/0!</v>
      </c>
      <c r="G20" s="94" t="e">
        <f t="shared" si="5"/>
        <v>#DIV/0!</v>
      </c>
      <c r="H20" s="94" t="e">
        <f t="shared" si="5"/>
        <v>#DIV/0!</v>
      </c>
      <c r="I20" s="94" t="e">
        <f t="shared" si="5"/>
        <v>#DIV/0!</v>
      </c>
      <c r="J20" s="94" t="e">
        <f t="shared" si="5"/>
        <v>#DIV/0!</v>
      </c>
      <c r="K20" s="93" t="e">
        <f t="shared" si="5"/>
        <v>#DIV/0!</v>
      </c>
      <c r="L20" s="93" t="e">
        <f t="shared" si="5"/>
        <v>#DIV/0!</v>
      </c>
      <c r="M20" s="93">
        <f t="shared" si="5"/>
        <v>0.26334621728294</v>
      </c>
      <c r="Q20" s="92"/>
      <c r="R20" s="92"/>
      <c r="S20" s="92"/>
      <c r="T20" s="92"/>
    </row>
  </sheetData>
  <mergeCells count="5">
    <mergeCell ref="Q6:S6"/>
    <mergeCell ref="A16:B16"/>
    <mergeCell ref="A5:A8"/>
    <mergeCell ref="A9:A15"/>
    <mergeCell ref="M5:M7"/>
  </mergeCells>
  <printOptions horizontalCentered="1"/>
  <pageMargins left="0.118110236220472" right="0.118110236220472" top="0.354330708661417" bottom="0.354330708661417" header="0.31496062992126" footer="0.31496062992126"/>
  <pageSetup paperSize="9" scale="71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"/>
  <sheetViews>
    <sheetView workbookViewId="0">
      <pane xSplit="3" ySplit="5" topLeftCell="D18" activePane="bottomRight" state="frozen"/>
      <selection/>
      <selection pane="topRight"/>
      <selection pane="bottomLeft"/>
      <selection pane="bottomRight" activeCell="D31" sqref="D31"/>
    </sheetView>
  </sheetViews>
  <sheetFormatPr defaultColWidth="9" defaultRowHeight="16.5"/>
  <cols>
    <col min="1" max="2" width="4.37272727272727" style="33" customWidth="1"/>
    <col min="3" max="3" width="8.12727272727273" style="33" customWidth="1"/>
    <col min="4" max="6" width="13.0909090909091" style="34" customWidth="1"/>
    <col min="7" max="8" width="12" style="34" customWidth="1"/>
    <col min="9" max="9" width="12.7272727272727" style="34" customWidth="1"/>
    <col min="10" max="14" width="12" style="34" customWidth="1"/>
    <col min="15" max="15" width="12.2545454545455" style="33" customWidth="1"/>
    <col min="16" max="16" width="13.2545454545455" style="33" customWidth="1"/>
    <col min="17" max="17" width="16" style="33" customWidth="1"/>
    <col min="18" max="16384" width="9" style="33"/>
  </cols>
  <sheetData>
    <row r="1" s="32" customFormat="1" ht="28.5" customHeight="1" spans="1:17">
      <c r="A1" s="35" t="s">
        <v>7</v>
      </c>
      <c r="B1" s="35"/>
      <c r="C1" s="35"/>
      <c r="D1" s="36" t="s">
        <v>52</v>
      </c>
      <c r="E1" s="37"/>
      <c r="F1" s="37"/>
      <c r="G1" s="37"/>
      <c r="H1" s="37"/>
      <c r="I1" s="37"/>
      <c r="J1" s="37"/>
      <c r="K1" s="37"/>
      <c r="L1" s="37"/>
      <c r="M1" s="37"/>
      <c r="N1" s="37"/>
      <c r="Q1" s="68"/>
    </row>
    <row r="2" spans="1:14">
      <c r="A2" s="38" t="s">
        <v>228</v>
      </c>
      <c r="B2" s="38"/>
      <c r="C2" s="39"/>
      <c r="D2" s="40"/>
      <c r="E2" s="41" t="s">
        <v>229</v>
      </c>
      <c r="F2" s="42"/>
      <c r="G2" s="42"/>
      <c r="H2" s="42"/>
      <c r="I2" s="42"/>
      <c r="J2" s="42"/>
      <c r="K2" s="42"/>
      <c r="L2" s="42"/>
      <c r="M2" s="42"/>
      <c r="N2" s="62"/>
    </row>
    <row r="3" ht="33" spans="1:14">
      <c r="A3" s="43" t="s">
        <v>21</v>
      </c>
      <c r="B3" s="43" t="s">
        <v>230</v>
      </c>
      <c r="C3" s="43" t="s">
        <v>231</v>
      </c>
      <c r="D3" s="44" t="s">
        <v>158</v>
      </c>
      <c r="E3" s="44"/>
      <c r="F3" s="40" t="s">
        <v>232</v>
      </c>
      <c r="G3" s="45" t="s">
        <v>233</v>
      </c>
      <c r="H3" s="46"/>
      <c r="I3" s="46"/>
      <c r="J3" s="46"/>
      <c r="K3" s="46"/>
      <c r="L3" s="46"/>
      <c r="M3" s="46"/>
      <c r="N3" s="63" t="s">
        <v>181</v>
      </c>
    </row>
    <row r="4" ht="33" spans="1:14">
      <c r="A4" s="43"/>
      <c r="B4" s="43"/>
      <c r="C4" s="43" t="s">
        <v>159</v>
      </c>
      <c r="D4" s="47" t="s">
        <v>160</v>
      </c>
      <c r="E4" s="47" t="s">
        <v>161</v>
      </c>
      <c r="F4" s="47" t="s">
        <v>162</v>
      </c>
      <c r="G4" s="47"/>
      <c r="H4" s="48"/>
      <c r="I4" s="48"/>
      <c r="J4" s="48"/>
      <c r="K4" s="48"/>
      <c r="L4" s="48"/>
      <c r="M4" s="48"/>
      <c r="N4" s="64"/>
    </row>
    <row r="5" ht="33" spans="1:14">
      <c r="A5" s="43"/>
      <c r="B5" s="43"/>
      <c r="C5" s="43" t="s">
        <v>163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65"/>
    </row>
    <row r="6" ht="26" spans="1:14">
      <c r="A6" s="49">
        <v>1</v>
      </c>
      <c r="B6" s="50" t="s">
        <v>234</v>
      </c>
      <c r="C6" s="51"/>
      <c r="D6" s="48" t="s">
        <v>165</v>
      </c>
      <c r="E6" s="48" t="s">
        <v>166</v>
      </c>
      <c r="F6" s="48" t="s">
        <v>167</v>
      </c>
      <c r="G6" s="48"/>
      <c r="H6" s="48"/>
      <c r="I6" s="48"/>
      <c r="J6" s="48"/>
      <c r="K6" s="48"/>
      <c r="L6" s="48"/>
      <c r="M6" s="48"/>
      <c r="N6" s="66"/>
    </row>
    <row r="7" spans="1:14">
      <c r="A7" s="49">
        <v>2</v>
      </c>
      <c r="B7" s="50" t="s">
        <v>235</v>
      </c>
      <c r="C7" s="51"/>
      <c r="D7" s="52"/>
      <c r="E7" s="48"/>
      <c r="F7" s="48"/>
      <c r="G7" s="48"/>
      <c r="H7" s="48"/>
      <c r="I7" s="48"/>
      <c r="J7" s="48"/>
      <c r="K7" s="48"/>
      <c r="L7" s="48"/>
      <c r="M7" s="48"/>
      <c r="N7" s="66"/>
    </row>
    <row r="8" spans="1:14">
      <c r="A8" s="49">
        <v>3</v>
      </c>
      <c r="B8" s="50" t="s">
        <v>236</v>
      </c>
      <c r="C8" s="51"/>
      <c r="D8" s="52"/>
      <c r="E8" s="52"/>
      <c r="F8" s="52"/>
      <c r="G8" s="52"/>
      <c r="H8" s="52"/>
      <c r="I8" s="52"/>
      <c r="J8" s="52"/>
      <c r="K8" s="52"/>
      <c r="L8" s="52"/>
      <c r="M8" s="52"/>
      <c r="N8" s="66"/>
    </row>
    <row r="9" spans="1:14">
      <c r="A9" s="49">
        <v>4</v>
      </c>
      <c r="B9" s="50" t="s">
        <v>237</v>
      </c>
      <c r="C9" s="51"/>
      <c r="D9" s="52"/>
      <c r="E9" s="48"/>
      <c r="F9" s="48"/>
      <c r="G9" s="48"/>
      <c r="H9" s="48"/>
      <c r="I9" s="48"/>
      <c r="J9" s="48"/>
      <c r="K9" s="48"/>
      <c r="L9" s="48"/>
      <c r="M9" s="48"/>
      <c r="N9" s="66"/>
    </row>
    <row r="10" spans="1:14">
      <c r="A10" s="49">
        <v>5</v>
      </c>
      <c r="B10" s="50" t="s">
        <v>238</v>
      </c>
      <c r="C10" s="51"/>
      <c r="D10" s="52"/>
      <c r="E10" s="48"/>
      <c r="F10" s="48"/>
      <c r="G10" s="48"/>
      <c r="H10" s="48"/>
      <c r="I10" s="48"/>
      <c r="J10" s="48"/>
      <c r="K10" s="48"/>
      <c r="L10" s="48"/>
      <c r="M10" s="48"/>
      <c r="N10" s="66"/>
    </row>
    <row r="11" spans="1:14">
      <c r="A11" s="49">
        <v>6</v>
      </c>
      <c r="B11" s="50" t="s">
        <v>239</v>
      </c>
      <c r="C11" s="51"/>
      <c r="D11" s="52"/>
      <c r="E11" s="48"/>
      <c r="F11" s="48"/>
      <c r="G11" s="48"/>
      <c r="H11" s="48"/>
      <c r="I11" s="48"/>
      <c r="J11" s="48"/>
      <c r="K11" s="48"/>
      <c r="L11" s="48"/>
      <c r="M11" s="48"/>
      <c r="N11" s="66"/>
    </row>
    <row r="12" spans="1:14">
      <c r="A12" s="49">
        <v>7</v>
      </c>
      <c r="B12" s="50" t="s">
        <v>240</v>
      </c>
      <c r="C12" s="51"/>
      <c r="D12" s="52"/>
      <c r="E12" s="48"/>
      <c r="F12" s="48"/>
      <c r="G12" s="48"/>
      <c r="H12" s="48"/>
      <c r="I12" s="48"/>
      <c r="J12" s="48"/>
      <c r="K12" s="48"/>
      <c r="L12" s="48"/>
      <c r="M12" s="48"/>
      <c r="N12" s="66"/>
    </row>
    <row r="13" spans="1:14">
      <c r="A13" s="49">
        <v>8</v>
      </c>
      <c r="B13" s="50" t="s">
        <v>241</v>
      </c>
      <c r="C13" s="51"/>
      <c r="D13" s="52"/>
      <c r="E13" s="48"/>
      <c r="F13" s="48"/>
      <c r="G13" s="48"/>
      <c r="H13" s="48"/>
      <c r="I13" s="48"/>
      <c r="J13" s="48"/>
      <c r="K13" s="48"/>
      <c r="L13" s="48"/>
      <c r="M13" s="48"/>
      <c r="N13" s="66"/>
    </row>
    <row r="14" spans="1:14">
      <c r="A14" s="49">
        <v>9</v>
      </c>
      <c r="B14" s="50" t="s">
        <v>242</v>
      </c>
      <c r="C14" s="51"/>
      <c r="D14" s="52"/>
      <c r="E14" s="48"/>
      <c r="F14" s="48"/>
      <c r="G14" s="48"/>
      <c r="H14" s="48"/>
      <c r="I14" s="48"/>
      <c r="J14" s="48"/>
      <c r="K14" s="48"/>
      <c r="L14" s="48"/>
      <c r="M14" s="48"/>
      <c r="N14" s="66"/>
    </row>
    <row r="15" spans="1:14">
      <c r="A15" s="49">
        <v>10</v>
      </c>
      <c r="B15" s="50" t="s">
        <v>243</v>
      </c>
      <c r="C15" s="51"/>
      <c r="D15" s="52"/>
      <c r="E15" s="48"/>
      <c r="F15" s="48"/>
      <c r="G15" s="48"/>
      <c r="H15" s="48"/>
      <c r="I15" s="48"/>
      <c r="J15" s="48"/>
      <c r="K15" s="48"/>
      <c r="L15" s="48"/>
      <c r="M15" s="48"/>
      <c r="N15" s="66"/>
    </row>
    <row r="16" spans="1:14">
      <c r="A16" s="49">
        <v>11</v>
      </c>
      <c r="B16" s="50" t="s">
        <v>244</v>
      </c>
      <c r="C16" s="51"/>
      <c r="D16" s="52"/>
      <c r="E16" s="48"/>
      <c r="F16" s="48"/>
      <c r="G16" s="48"/>
      <c r="H16" s="48"/>
      <c r="I16" s="48"/>
      <c r="J16" s="48"/>
      <c r="K16" s="48"/>
      <c r="L16" s="48"/>
      <c r="M16" s="48"/>
      <c r="N16" s="66"/>
    </row>
    <row r="17" spans="1:14">
      <c r="A17" s="49">
        <v>12</v>
      </c>
      <c r="B17" s="50" t="s">
        <v>245</v>
      </c>
      <c r="C17" s="51"/>
      <c r="D17" s="52"/>
      <c r="E17" s="48"/>
      <c r="F17" s="48"/>
      <c r="G17" s="48"/>
      <c r="H17" s="48"/>
      <c r="I17" s="48"/>
      <c r="J17" s="48"/>
      <c r="K17" s="48"/>
      <c r="L17" s="48"/>
      <c r="M17" s="48"/>
      <c r="N17" s="66"/>
    </row>
    <row r="18" spans="1:14">
      <c r="A18" s="49">
        <v>13</v>
      </c>
      <c r="B18" s="50" t="s">
        <v>246</v>
      </c>
      <c r="C18" s="51"/>
      <c r="D18" s="52"/>
      <c r="E18" s="48"/>
      <c r="F18" s="48"/>
      <c r="G18" s="48"/>
      <c r="H18" s="48"/>
      <c r="I18" s="48"/>
      <c r="J18" s="48"/>
      <c r="K18" s="48"/>
      <c r="L18" s="48"/>
      <c r="M18" s="48"/>
      <c r="N18" s="66"/>
    </row>
    <row r="19" spans="1:14">
      <c r="A19" s="49">
        <v>14</v>
      </c>
      <c r="B19" s="50" t="s">
        <v>247</v>
      </c>
      <c r="C19" s="51"/>
      <c r="D19" s="52"/>
      <c r="E19" s="48"/>
      <c r="F19" s="48"/>
      <c r="G19" s="48"/>
      <c r="H19" s="48"/>
      <c r="I19" s="48"/>
      <c r="J19" s="48"/>
      <c r="K19" s="48"/>
      <c r="L19" s="48"/>
      <c r="M19" s="48"/>
      <c r="N19" s="66"/>
    </row>
    <row r="20" spans="1:14">
      <c r="A20" s="49">
        <v>15</v>
      </c>
      <c r="B20" s="50" t="s">
        <v>248</v>
      </c>
      <c r="C20" s="51"/>
      <c r="D20" s="52"/>
      <c r="E20" s="48"/>
      <c r="F20" s="48"/>
      <c r="G20" s="48"/>
      <c r="H20" s="48"/>
      <c r="I20" s="48"/>
      <c r="J20" s="48"/>
      <c r="K20" s="48"/>
      <c r="L20" s="48"/>
      <c r="M20" s="48"/>
      <c r="N20" s="66"/>
    </row>
    <row r="21" spans="1:14">
      <c r="A21" s="49">
        <v>16</v>
      </c>
      <c r="B21" s="50" t="s">
        <v>249</v>
      </c>
      <c r="C21" s="51"/>
      <c r="D21" s="52"/>
      <c r="E21" s="48"/>
      <c r="F21" s="48"/>
      <c r="G21" s="48"/>
      <c r="H21" s="48"/>
      <c r="I21" s="48"/>
      <c r="J21" s="48"/>
      <c r="K21" s="48"/>
      <c r="L21" s="48"/>
      <c r="M21" s="48"/>
      <c r="N21" s="66"/>
    </row>
    <row r="22" spans="1:14">
      <c r="A22" s="49">
        <v>17</v>
      </c>
      <c r="B22" s="50" t="s">
        <v>39</v>
      </c>
      <c r="C22" s="51"/>
      <c r="D22" s="52"/>
      <c r="E22" s="48"/>
      <c r="F22" s="48"/>
      <c r="G22" s="48"/>
      <c r="H22" s="48"/>
      <c r="I22" s="48"/>
      <c r="J22" s="48"/>
      <c r="K22" s="48"/>
      <c r="L22" s="48"/>
      <c r="M22" s="48"/>
      <c r="N22" s="66"/>
    </row>
    <row r="23" spans="1:14">
      <c r="A23" s="49">
        <v>18</v>
      </c>
      <c r="B23" s="50" t="s">
        <v>250</v>
      </c>
      <c r="C23" s="51"/>
      <c r="D23" s="53">
        <f>852.1640872772</f>
        <v>852.1640872772</v>
      </c>
      <c r="E23" s="53">
        <v>330.5123882089</v>
      </c>
      <c r="F23" s="53">
        <v>410.7056565309</v>
      </c>
      <c r="G23" s="54"/>
      <c r="H23" s="55"/>
      <c r="I23" s="55"/>
      <c r="J23" s="55"/>
      <c r="K23" s="55"/>
      <c r="L23" s="55"/>
      <c r="M23" s="55"/>
      <c r="N23" s="67"/>
    </row>
    <row r="24" ht="31.5" customHeight="1" spans="1:14">
      <c r="A24" s="56" t="s">
        <v>251</v>
      </c>
      <c r="B24" s="57"/>
      <c r="C24" s="58"/>
      <c r="D24" s="59">
        <f t="shared" ref="D24:M24" si="0">SUM(D6:D23)</f>
        <v>852.1640872772</v>
      </c>
      <c r="E24" s="59">
        <f t="shared" si="0"/>
        <v>330.5123882089</v>
      </c>
      <c r="F24" s="59">
        <f t="shared" si="0"/>
        <v>410.7056565309</v>
      </c>
      <c r="G24" s="59">
        <f t="shared" si="0"/>
        <v>0</v>
      </c>
      <c r="H24" s="59">
        <f t="shared" si="0"/>
        <v>0</v>
      </c>
      <c r="I24" s="59">
        <f t="shared" si="0"/>
        <v>0</v>
      </c>
      <c r="J24" s="59">
        <f t="shared" si="0"/>
        <v>0</v>
      </c>
      <c r="K24" s="59">
        <f t="shared" si="0"/>
        <v>0</v>
      </c>
      <c r="L24" s="59">
        <f t="shared" si="0"/>
        <v>0</v>
      </c>
      <c r="M24" s="59">
        <f t="shared" si="0"/>
        <v>0</v>
      </c>
      <c r="N24" s="67"/>
    </row>
    <row r="25" spans="3:13">
      <c r="C25" s="33" t="s">
        <v>252</v>
      </c>
      <c r="D25" s="60"/>
      <c r="E25" s="60"/>
      <c r="F25" s="60"/>
      <c r="G25" s="60"/>
      <c r="H25" s="60"/>
      <c r="I25" s="60"/>
      <c r="J25" s="60"/>
      <c r="K25" s="60"/>
      <c r="L25" s="60"/>
      <c r="M25" s="60"/>
    </row>
    <row r="27" spans="3:13">
      <c r="C27" s="33" t="s">
        <v>109</v>
      </c>
      <c r="D27" s="61">
        <f t="shared" ref="D27:F27" si="1">D24*0.97</f>
        <v>826.599164658884</v>
      </c>
      <c r="E27" s="61">
        <f t="shared" si="1"/>
        <v>320.597016562633</v>
      </c>
      <c r="F27" s="61">
        <f t="shared" si="1"/>
        <v>398.384486834973</v>
      </c>
      <c r="G27" s="61">
        <f t="shared" ref="D27:M27" si="2">G24*0.94</f>
        <v>0</v>
      </c>
      <c r="H27" s="61">
        <f t="shared" si="2"/>
        <v>0</v>
      </c>
      <c r="I27" s="61">
        <f t="shared" si="2"/>
        <v>0</v>
      </c>
      <c r="J27" s="61">
        <f t="shared" si="2"/>
        <v>0</v>
      </c>
      <c r="K27" s="61">
        <f t="shared" si="2"/>
        <v>0</v>
      </c>
      <c r="L27" s="61">
        <f t="shared" si="2"/>
        <v>0</v>
      </c>
      <c r="M27" s="61">
        <f t="shared" si="2"/>
        <v>0</v>
      </c>
    </row>
    <row r="28" spans="3:13">
      <c r="C28" s="33" t="s">
        <v>55</v>
      </c>
      <c r="D28" s="61">
        <f t="shared" ref="D28:F28" si="3">D27*0.97</f>
        <v>801.801189719117</v>
      </c>
      <c r="E28" s="61">
        <f t="shared" si="3"/>
        <v>310.979106065754</v>
      </c>
      <c r="F28" s="61">
        <f t="shared" si="3"/>
        <v>386.432952229924</v>
      </c>
      <c r="G28" s="61">
        <f t="shared" ref="D28:M28" si="4">G27*0.94</f>
        <v>0</v>
      </c>
      <c r="H28" s="61">
        <f t="shared" si="4"/>
        <v>0</v>
      </c>
      <c r="I28" s="61">
        <f t="shared" si="4"/>
        <v>0</v>
      </c>
      <c r="J28" s="61">
        <f t="shared" si="4"/>
        <v>0</v>
      </c>
      <c r="K28" s="61">
        <f t="shared" si="4"/>
        <v>0</v>
      </c>
      <c r="L28" s="61">
        <f t="shared" si="4"/>
        <v>0</v>
      </c>
      <c r="M28" s="61">
        <f t="shared" si="4"/>
        <v>0</v>
      </c>
    </row>
    <row r="29" spans="3:6">
      <c r="C29" s="33" t="s">
        <v>56</v>
      </c>
      <c r="D29" s="61">
        <f t="shared" ref="D29:F29" si="5">D28*0.97</f>
        <v>777.747154027544</v>
      </c>
      <c r="E29" s="61">
        <f t="shared" si="5"/>
        <v>301.649732883781</v>
      </c>
      <c r="F29" s="61">
        <f t="shared" si="5"/>
        <v>374.839963663026</v>
      </c>
    </row>
    <row r="30" spans="3:6">
      <c r="C30" s="33" t="s">
        <v>57</v>
      </c>
      <c r="D30" s="61">
        <f>D29*0.97</f>
        <v>754.414739406718</v>
      </c>
      <c r="E30" s="61">
        <f t="shared" ref="D30:F30" si="6">E29*0.97</f>
        <v>292.600240897268</v>
      </c>
      <c r="F30" s="61">
        <f t="shared" si="6"/>
        <v>363.594764753135</v>
      </c>
    </row>
    <row r="31" spans="3:6">
      <c r="C31" s="33" t="s">
        <v>58</v>
      </c>
      <c r="D31" s="61">
        <f t="shared" ref="D31:F31" si="7">D30*0.97</f>
        <v>731.782297224516</v>
      </c>
      <c r="E31" s="61">
        <f t="shared" si="7"/>
        <v>283.82223367035</v>
      </c>
      <c r="F31" s="61">
        <f t="shared" si="7"/>
        <v>352.686921810541</v>
      </c>
    </row>
    <row r="32" spans="3:6">
      <c r="C32" s="33" t="s">
        <v>214</v>
      </c>
      <c r="D32" s="61">
        <f t="shared" ref="D32:F32" si="8">D31*0.97</f>
        <v>709.828828307781</v>
      </c>
      <c r="E32" s="61">
        <f t="shared" si="8"/>
        <v>275.307566660239</v>
      </c>
      <c r="F32" s="61">
        <f t="shared" si="8"/>
        <v>342.106314156225</v>
      </c>
    </row>
  </sheetData>
  <mergeCells count="27">
    <mergeCell ref="A1:B1"/>
    <mergeCell ref="A2:D2"/>
    <mergeCell ref="E2:N2"/>
    <mergeCell ref="D3:E3"/>
    <mergeCell ref="G3:H3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C24"/>
    <mergeCell ref="A3:A5"/>
    <mergeCell ref="B3:B5"/>
    <mergeCell ref="N3:N5"/>
  </mergeCells>
  <pageMargins left="0.708661417322835" right="0.118110236220472" top="0.354330708661417" bottom="0.354330708661417" header="0.31496062992126" footer="0.31496062992126"/>
  <pageSetup paperSize="9" orientation="portrait"/>
  <headerFooter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pane xSplit="2" ySplit="1" topLeftCell="C2" activePane="bottomRight" state="frozen"/>
      <selection/>
      <selection pane="topRight"/>
      <selection pane="bottomLeft"/>
      <selection pane="bottomRight" activeCell="D8" sqref="D8"/>
    </sheetView>
  </sheetViews>
  <sheetFormatPr defaultColWidth="9" defaultRowHeight="14" outlineLevelCol="3"/>
  <cols>
    <col min="1" max="1" width="9" style="24"/>
    <col min="2" max="2" width="29.6272727272727" style="24" customWidth="1"/>
    <col min="3" max="3" width="25.5" style="24" customWidth="1"/>
    <col min="4" max="4" width="22" style="24" customWidth="1"/>
    <col min="5" max="16384" width="9" style="24"/>
  </cols>
  <sheetData>
    <row r="1" ht="27" customHeight="1" spans="1:4">
      <c r="A1" s="25" t="s">
        <v>21</v>
      </c>
      <c r="B1" s="25" t="s">
        <v>253</v>
      </c>
      <c r="C1" s="25" t="s">
        <v>254</v>
      </c>
      <c r="D1" s="25" t="s">
        <v>255</v>
      </c>
    </row>
    <row r="2" ht="19.5" customHeight="1" spans="1:4">
      <c r="A2" s="25">
        <v>1</v>
      </c>
      <c r="B2" s="26" t="s">
        <v>256</v>
      </c>
      <c r="C2" s="27"/>
      <c r="D2" s="25"/>
    </row>
    <row r="3" ht="36" customHeight="1" spans="1:4">
      <c r="A3" s="25">
        <v>2</v>
      </c>
      <c r="B3" s="26" t="s">
        <v>257</v>
      </c>
      <c r="C3" s="28"/>
      <c r="D3" s="25" t="s">
        <v>258</v>
      </c>
    </row>
    <row r="4" ht="19.5" customHeight="1" spans="1:4">
      <c r="A4" s="25">
        <v>3</v>
      </c>
      <c r="B4" s="26" t="s">
        <v>259</v>
      </c>
      <c r="C4" s="27"/>
      <c r="D4" s="25"/>
    </row>
    <row r="5" ht="42.75" customHeight="1" spans="1:4">
      <c r="A5" s="25">
        <v>4</v>
      </c>
      <c r="B5" s="26" t="s">
        <v>260</v>
      </c>
      <c r="C5" s="27"/>
      <c r="D5" s="25"/>
    </row>
    <row r="6" ht="39" customHeight="1" spans="1:4">
      <c r="A6" s="25">
        <v>5</v>
      </c>
      <c r="B6" s="26" t="s">
        <v>261</v>
      </c>
      <c r="C6" s="27"/>
      <c r="D6" s="25"/>
    </row>
    <row r="7" ht="27.75" customHeight="1" spans="1:3">
      <c r="A7" s="25">
        <v>6</v>
      </c>
      <c r="B7" s="25" t="s">
        <v>262</v>
      </c>
      <c r="C7" s="28"/>
    </row>
    <row r="8" ht="36" customHeight="1" spans="1:4">
      <c r="A8" s="25">
        <v>7</v>
      </c>
      <c r="B8" s="26" t="s">
        <v>263</v>
      </c>
      <c r="C8" s="29"/>
      <c r="D8" s="25"/>
    </row>
    <row r="9" ht="34.5" customHeight="1" spans="1:4">
      <c r="A9" s="25">
        <v>8</v>
      </c>
      <c r="B9" s="25" t="s">
        <v>264</v>
      </c>
      <c r="C9" s="30"/>
      <c r="D9" s="25"/>
    </row>
    <row r="10" ht="34.5" customHeight="1" spans="1:4">
      <c r="A10" s="25">
        <v>9</v>
      </c>
      <c r="B10" s="25" t="s">
        <v>265</v>
      </c>
      <c r="C10" s="29"/>
      <c r="D10" s="25"/>
    </row>
    <row r="11" ht="34.5" customHeight="1" spans="1:4">
      <c r="A11" s="25">
        <v>10</v>
      </c>
      <c r="B11" s="25" t="s">
        <v>266</v>
      </c>
      <c r="C11" s="29"/>
      <c r="D11" s="25" t="s">
        <v>267</v>
      </c>
    </row>
    <row r="12" ht="34.5" customHeight="1" spans="1:4">
      <c r="A12" s="25">
        <v>11</v>
      </c>
      <c r="B12" s="25" t="s">
        <v>268</v>
      </c>
      <c r="C12" s="29"/>
      <c r="D12" s="25"/>
    </row>
    <row r="13" ht="24" customHeight="1" spans="1:4">
      <c r="A13" s="25">
        <v>12</v>
      </c>
      <c r="B13" s="26" t="s">
        <v>269</v>
      </c>
      <c r="C13" s="29"/>
      <c r="D13" s="25"/>
    </row>
    <row r="14" ht="24" customHeight="1" spans="1:4">
      <c r="A14" s="25">
        <v>13</v>
      </c>
      <c r="B14" s="26" t="s">
        <v>270</v>
      </c>
      <c r="C14" s="29"/>
      <c r="D14" s="25"/>
    </row>
    <row r="15" ht="24" customHeight="1" spans="1:4">
      <c r="A15" s="25">
        <v>14</v>
      </c>
      <c r="B15" s="26" t="s">
        <v>271</v>
      </c>
      <c r="C15" s="29"/>
      <c r="D15" s="25"/>
    </row>
    <row r="16" ht="24" customHeight="1" spans="1:4">
      <c r="A16" s="25">
        <v>15</v>
      </c>
      <c r="B16" s="25" t="s">
        <v>39</v>
      </c>
      <c r="C16" s="25"/>
      <c r="D16" s="25"/>
    </row>
    <row r="17" ht="16.5" spans="2:2">
      <c r="B17" s="31" t="s">
        <v>272</v>
      </c>
    </row>
  </sheetData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127"/>
  <sheetViews>
    <sheetView zoomScale="85" zoomScaleNormal="85" topLeftCell="A15" workbookViewId="0">
      <selection activeCell="E32" sqref="E32:E36"/>
    </sheetView>
  </sheetViews>
  <sheetFormatPr defaultColWidth="9" defaultRowHeight="14"/>
  <cols>
    <col min="1" max="2" width="9" style="2"/>
    <col min="3" max="5" width="15.7545454545455" style="2" customWidth="1"/>
    <col min="6" max="8" width="11.1272727272727" style="2" customWidth="1"/>
    <col min="9" max="9" width="18.5" style="3" customWidth="1"/>
    <col min="10" max="16384" width="9" style="2"/>
  </cols>
  <sheetData>
    <row r="1" s="1" customFormat="1" ht="18.75" customHeight="1" spans="7:9">
      <c r="G1" s="4" t="s">
        <v>273</v>
      </c>
      <c r="H1" s="4"/>
      <c r="I1" s="21"/>
    </row>
    <row r="2" ht="39" customHeight="1" spans="1:9">
      <c r="A2" s="5" t="s">
        <v>274</v>
      </c>
      <c r="B2" s="5"/>
      <c r="C2" s="6" t="s">
        <v>275</v>
      </c>
      <c r="D2" s="7"/>
      <c r="E2" s="7"/>
      <c r="F2" s="7"/>
      <c r="G2" s="7"/>
      <c r="H2" s="8"/>
      <c r="I2" s="3" t="s">
        <v>276</v>
      </c>
    </row>
    <row r="3" ht="34.5" customHeight="1" spans="1:9">
      <c r="A3" s="5"/>
      <c r="B3" s="5"/>
      <c r="C3" s="9" t="s">
        <v>277</v>
      </c>
      <c r="D3" s="9" t="s">
        <v>278</v>
      </c>
      <c r="E3" s="9" t="s">
        <v>279</v>
      </c>
      <c r="F3" s="10" t="s">
        <v>280</v>
      </c>
      <c r="G3" s="10" t="s">
        <v>281</v>
      </c>
      <c r="H3" s="10" t="s">
        <v>282</v>
      </c>
      <c r="I3" s="22">
        <f>材料成本!D23</f>
        <v>852.1640872772</v>
      </c>
    </row>
    <row r="4" ht="24" customHeight="1" spans="1:9">
      <c r="A4" s="11" t="s">
        <v>283</v>
      </c>
      <c r="B4" s="11"/>
      <c r="C4" s="12"/>
      <c r="D4" s="13"/>
      <c r="E4" s="14">
        <f>I3*I4</f>
        <v>36.7282721616473</v>
      </c>
      <c r="F4" s="14"/>
      <c r="G4" s="14"/>
      <c r="H4" s="15">
        <v>0.0448</v>
      </c>
      <c r="I4" s="3">
        <v>0.0431</v>
      </c>
    </row>
    <row r="5" ht="24" customHeight="1" spans="1:9">
      <c r="A5" s="11" t="s">
        <v>284</v>
      </c>
      <c r="B5" s="11" t="s">
        <v>285</v>
      </c>
      <c r="C5" s="12"/>
      <c r="D5" s="13"/>
      <c r="E5" s="14">
        <f>$I$3*I5</f>
        <v>34.9387275783652</v>
      </c>
      <c r="F5" s="14"/>
      <c r="G5" s="14"/>
      <c r="H5" s="15">
        <v>0.0404</v>
      </c>
      <c r="I5" s="3">
        <v>0.041</v>
      </c>
    </row>
    <row r="6" ht="24" customHeight="1" spans="1:9">
      <c r="A6" s="11"/>
      <c r="B6" s="11" t="s">
        <v>286</v>
      </c>
      <c r="C6" s="12"/>
      <c r="D6" s="13"/>
      <c r="E6" s="14">
        <f>$I$3*I6</f>
        <v>18.4919606939152</v>
      </c>
      <c r="F6" s="14"/>
      <c r="G6" s="14"/>
      <c r="H6" s="15">
        <v>0.0166</v>
      </c>
      <c r="I6" s="3">
        <v>0.0217</v>
      </c>
    </row>
    <row r="7" ht="24" customHeight="1" spans="1:9">
      <c r="A7" s="6" t="s">
        <v>287</v>
      </c>
      <c r="B7" s="8"/>
      <c r="C7" s="16"/>
      <c r="D7" s="17"/>
      <c r="E7" s="14">
        <f t="shared" ref="E7:E11" si="0">$I$3*I7</f>
        <v>90.1589604339278</v>
      </c>
      <c r="F7" s="14"/>
      <c r="G7" s="14"/>
      <c r="H7" s="18">
        <f>SUM(H4:H6)</f>
        <v>0.1018</v>
      </c>
      <c r="I7" s="3">
        <f>SUM(I4:I6)</f>
        <v>0.1058</v>
      </c>
    </row>
    <row r="8" ht="24" customHeight="1" spans="1:9">
      <c r="A8" s="11" t="s">
        <v>93</v>
      </c>
      <c r="B8" s="11"/>
      <c r="C8" s="12"/>
      <c r="D8" s="13"/>
      <c r="E8" s="14">
        <f t="shared" si="0"/>
        <v>28.9735789674248</v>
      </c>
      <c r="F8" s="14"/>
      <c r="G8" s="14"/>
      <c r="H8" s="15">
        <f>1.97%+0.75%</f>
        <v>0.0272</v>
      </c>
      <c r="I8" s="3">
        <v>0.034</v>
      </c>
    </row>
    <row r="9" ht="24" customHeight="1" spans="1:9">
      <c r="A9" s="19" t="s">
        <v>288</v>
      </c>
      <c r="B9" s="11" t="s">
        <v>285</v>
      </c>
      <c r="C9" s="12"/>
      <c r="D9" s="13"/>
      <c r="E9" s="14">
        <f t="shared" si="0"/>
        <v>5.9651486109404</v>
      </c>
      <c r="F9" s="14"/>
      <c r="G9" s="14"/>
      <c r="H9" s="15">
        <v>0.0053</v>
      </c>
      <c r="I9" s="3">
        <v>0.007</v>
      </c>
    </row>
    <row r="10" ht="24" customHeight="1" spans="1:9">
      <c r="A10" s="20"/>
      <c r="B10" s="11" t="s">
        <v>286</v>
      </c>
      <c r="C10" s="12"/>
      <c r="D10" s="13"/>
      <c r="E10" s="14">
        <f t="shared" si="0"/>
        <v>37.4952198401968</v>
      </c>
      <c r="F10" s="14"/>
      <c r="G10" s="14"/>
      <c r="H10" s="15">
        <v>0.0341</v>
      </c>
      <c r="I10" s="3">
        <f>2.8%+1.6%</f>
        <v>0.044</v>
      </c>
    </row>
    <row r="11" ht="24" customHeight="1" spans="1:9">
      <c r="A11" s="11" t="s">
        <v>96</v>
      </c>
      <c r="B11" s="11"/>
      <c r="C11" s="12"/>
      <c r="D11" s="13"/>
      <c r="E11" s="14">
        <f t="shared" si="0"/>
        <v>25.564922618316</v>
      </c>
      <c r="F11" s="14"/>
      <c r="G11" s="14"/>
      <c r="H11" s="15">
        <v>0.011</v>
      </c>
      <c r="I11" s="3">
        <v>0.03</v>
      </c>
    </row>
    <row r="13" s="1" customFormat="1" ht="18.75" customHeight="1" spans="7:9">
      <c r="G13" s="4" t="s">
        <v>273</v>
      </c>
      <c r="H13" s="4"/>
      <c r="I13" s="23"/>
    </row>
    <row r="14" ht="39" customHeight="1" spans="1:9">
      <c r="A14" s="5" t="s">
        <v>274</v>
      </c>
      <c r="B14" s="5"/>
      <c r="C14" s="6" t="s">
        <v>275</v>
      </c>
      <c r="D14" s="7"/>
      <c r="E14" s="7"/>
      <c r="F14" s="7"/>
      <c r="G14" s="7"/>
      <c r="H14" s="8"/>
      <c r="I14" s="3" t="s">
        <v>276</v>
      </c>
    </row>
    <row r="15" ht="34.5" customHeight="1" spans="1:9">
      <c r="A15" s="5"/>
      <c r="B15" s="5"/>
      <c r="C15" s="9" t="s">
        <v>277</v>
      </c>
      <c r="D15" s="9" t="s">
        <v>278</v>
      </c>
      <c r="E15" s="9" t="s">
        <v>279</v>
      </c>
      <c r="F15" s="10" t="s">
        <v>280</v>
      </c>
      <c r="G15" s="10" t="s">
        <v>281</v>
      </c>
      <c r="H15" s="10" t="s">
        <v>282</v>
      </c>
      <c r="I15" s="22">
        <f>材料成本!E23</f>
        <v>330.5123882089</v>
      </c>
    </row>
    <row r="16" ht="24" customHeight="1" spans="1:9">
      <c r="A16" s="11" t="s">
        <v>283</v>
      </c>
      <c r="B16" s="11"/>
      <c r="C16" s="12"/>
      <c r="D16" s="13"/>
      <c r="E16" s="14">
        <f>I15*I16</f>
        <v>14.2450839318036</v>
      </c>
      <c r="F16" s="14"/>
      <c r="G16" s="14"/>
      <c r="H16" s="15">
        <v>0.0448</v>
      </c>
      <c r="I16" s="3">
        <v>0.0431</v>
      </c>
    </row>
    <row r="17" ht="24" customHeight="1" spans="1:9">
      <c r="A17" s="11" t="s">
        <v>284</v>
      </c>
      <c r="B17" s="11" t="s">
        <v>285</v>
      </c>
      <c r="C17" s="12"/>
      <c r="D17" s="13"/>
      <c r="E17" s="14">
        <f>$I$15*I17</f>
        <v>13.5510079165649</v>
      </c>
      <c r="F17" s="14"/>
      <c r="G17" s="14"/>
      <c r="H17" s="15">
        <v>0.0404</v>
      </c>
      <c r="I17" s="3">
        <v>0.041</v>
      </c>
    </row>
    <row r="18" ht="24" customHeight="1" spans="1:9">
      <c r="A18" s="11"/>
      <c r="B18" s="11" t="s">
        <v>286</v>
      </c>
      <c r="C18" s="12"/>
      <c r="D18" s="13"/>
      <c r="E18" s="14">
        <f t="shared" ref="E18:E23" si="1">$I$15*I18</f>
        <v>7.17211882413313</v>
      </c>
      <c r="F18" s="14"/>
      <c r="G18" s="14"/>
      <c r="H18" s="15">
        <v>0.0166</v>
      </c>
      <c r="I18" s="3">
        <v>0.0217</v>
      </c>
    </row>
    <row r="19" ht="24" customHeight="1" spans="1:9">
      <c r="A19" s="6" t="s">
        <v>287</v>
      </c>
      <c r="B19" s="8"/>
      <c r="C19" s="16"/>
      <c r="D19" s="17"/>
      <c r="E19" s="14">
        <f t="shared" si="1"/>
        <v>34.9682106725016</v>
      </c>
      <c r="F19" s="14"/>
      <c r="G19" s="14"/>
      <c r="H19" s="18">
        <f>SUM(H16:H18)</f>
        <v>0.1018</v>
      </c>
      <c r="I19" s="3">
        <f>SUM(I16:I18)</f>
        <v>0.1058</v>
      </c>
    </row>
    <row r="20" ht="24" customHeight="1" spans="1:9">
      <c r="A20" s="11" t="s">
        <v>93</v>
      </c>
      <c r="B20" s="11"/>
      <c r="C20" s="12"/>
      <c r="D20" s="13"/>
      <c r="E20" s="14">
        <f t="shared" si="1"/>
        <v>11.2374211991026</v>
      </c>
      <c r="F20" s="14"/>
      <c r="G20" s="14"/>
      <c r="H20" s="15">
        <f>1.97%+0.75%</f>
        <v>0.0272</v>
      </c>
      <c r="I20" s="3">
        <v>0.034</v>
      </c>
    </row>
    <row r="21" ht="24" customHeight="1" spans="1:9">
      <c r="A21" s="19" t="s">
        <v>288</v>
      </c>
      <c r="B21" s="11" t="s">
        <v>285</v>
      </c>
      <c r="C21" s="12"/>
      <c r="D21" s="13"/>
      <c r="E21" s="14">
        <f t="shared" si="1"/>
        <v>2.3135867174623</v>
      </c>
      <c r="F21" s="14"/>
      <c r="G21" s="14"/>
      <c r="H21" s="15">
        <v>0.0053</v>
      </c>
      <c r="I21" s="3">
        <v>0.007</v>
      </c>
    </row>
    <row r="22" ht="24" customHeight="1" spans="1:9">
      <c r="A22" s="20"/>
      <c r="B22" s="11" t="s">
        <v>286</v>
      </c>
      <c r="C22" s="12"/>
      <c r="D22" s="13"/>
      <c r="E22" s="14">
        <f t="shared" si="1"/>
        <v>14.5425450811916</v>
      </c>
      <c r="F22" s="14"/>
      <c r="G22" s="14"/>
      <c r="H22" s="15">
        <v>0.0341</v>
      </c>
      <c r="I22" s="3">
        <f>2.8%+1.6%</f>
        <v>0.044</v>
      </c>
    </row>
    <row r="23" ht="24" customHeight="1" spans="1:9">
      <c r="A23" s="11" t="s">
        <v>96</v>
      </c>
      <c r="B23" s="11"/>
      <c r="C23" s="12"/>
      <c r="D23" s="13"/>
      <c r="E23" s="14">
        <f t="shared" si="1"/>
        <v>9.915371646267</v>
      </c>
      <c r="F23" s="14"/>
      <c r="G23" s="14"/>
      <c r="H23" s="15">
        <v>0.011</v>
      </c>
      <c r="I23" s="3">
        <v>0.03</v>
      </c>
    </row>
    <row r="26" s="1" customFormat="1" ht="18.75" customHeight="1" spans="7:9">
      <c r="G26" s="4" t="s">
        <v>273</v>
      </c>
      <c r="H26" s="4"/>
      <c r="I26" s="23"/>
    </row>
    <row r="27" ht="39" customHeight="1" spans="1:9">
      <c r="A27" s="5" t="s">
        <v>274</v>
      </c>
      <c r="B27" s="5"/>
      <c r="C27" s="6" t="s">
        <v>275</v>
      </c>
      <c r="D27" s="7"/>
      <c r="E27" s="7"/>
      <c r="F27" s="7"/>
      <c r="G27" s="7"/>
      <c r="H27" s="8"/>
      <c r="I27" s="3" t="s">
        <v>276</v>
      </c>
    </row>
    <row r="28" ht="34.5" customHeight="1" spans="1:9">
      <c r="A28" s="5"/>
      <c r="B28" s="5"/>
      <c r="C28" s="9" t="s">
        <v>277</v>
      </c>
      <c r="D28" s="9" t="s">
        <v>278</v>
      </c>
      <c r="E28" s="9" t="s">
        <v>279</v>
      </c>
      <c r="F28" s="10" t="s">
        <v>280</v>
      </c>
      <c r="G28" s="10" t="s">
        <v>281</v>
      </c>
      <c r="H28" s="10" t="s">
        <v>282</v>
      </c>
      <c r="I28" s="22">
        <f>材料成本!F23</f>
        <v>410.7056565309</v>
      </c>
    </row>
    <row r="29" ht="24" customHeight="1" spans="1:9">
      <c r="A29" s="11" t="s">
        <v>283</v>
      </c>
      <c r="B29" s="11"/>
      <c r="C29" s="12"/>
      <c r="D29" s="13"/>
      <c r="E29" s="14">
        <f>I28*I29</f>
        <v>17.7014137964818</v>
      </c>
      <c r="F29" s="14"/>
      <c r="G29" s="14"/>
      <c r="H29" s="15">
        <v>0.0448</v>
      </c>
      <c r="I29" s="3">
        <v>0.0431</v>
      </c>
    </row>
    <row r="30" ht="24" customHeight="1" spans="1:9">
      <c r="A30" s="11" t="s">
        <v>284</v>
      </c>
      <c r="B30" s="11" t="s">
        <v>285</v>
      </c>
      <c r="C30" s="12"/>
      <c r="D30" s="13"/>
      <c r="E30" s="14">
        <f t="shared" ref="E30:E36" si="2">$I$28*I30</f>
        <v>16.8389319177669</v>
      </c>
      <c r="F30" s="14"/>
      <c r="G30" s="14"/>
      <c r="H30" s="15">
        <v>0.0404</v>
      </c>
      <c r="I30" s="3">
        <v>0.041</v>
      </c>
    </row>
    <row r="31" ht="24" customHeight="1" spans="1:9">
      <c r="A31" s="11"/>
      <c r="B31" s="11" t="s">
        <v>286</v>
      </c>
      <c r="C31" s="12"/>
      <c r="D31" s="13"/>
      <c r="E31" s="14">
        <f t="shared" si="2"/>
        <v>8.91231274672053</v>
      </c>
      <c r="F31" s="14"/>
      <c r="G31" s="14"/>
      <c r="H31" s="15">
        <v>0.0166</v>
      </c>
      <c r="I31" s="3">
        <v>0.0217</v>
      </c>
    </row>
    <row r="32" ht="24" customHeight="1" spans="1:9">
      <c r="A32" s="6" t="s">
        <v>287</v>
      </c>
      <c r="B32" s="8"/>
      <c r="C32" s="16"/>
      <c r="D32" s="17"/>
      <c r="E32" s="14">
        <f t="shared" si="2"/>
        <v>43.4526584609692</v>
      </c>
      <c r="F32" s="14"/>
      <c r="G32" s="14"/>
      <c r="H32" s="18">
        <f>SUM(H29:H31)</f>
        <v>0.1018</v>
      </c>
      <c r="I32" s="3">
        <f>SUM(I29:I31)</f>
        <v>0.1058</v>
      </c>
    </row>
    <row r="33" ht="24" customHeight="1" spans="1:9">
      <c r="A33" s="11" t="s">
        <v>93</v>
      </c>
      <c r="B33" s="11"/>
      <c r="C33" s="12"/>
      <c r="D33" s="13"/>
      <c r="E33" s="14">
        <f t="shared" si="2"/>
        <v>13.9639923220506</v>
      </c>
      <c r="F33" s="14"/>
      <c r="G33" s="14"/>
      <c r="H33" s="15">
        <f>1.97%+0.75%</f>
        <v>0.0272</v>
      </c>
      <c r="I33" s="3">
        <v>0.034</v>
      </c>
    </row>
    <row r="34" ht="24" customHeight="1" spans="1:9">
      <c r="A34" s="19" t="s">
        <v>288</v>
      </c>
      <c r="B34" s="11" t="s">
        <v>285</v>
      </c>
      <c r="C34" s="12"/>
      <c r="D34" s="13"/>
      <c r="E34" s="14">
        <f t="shared" si="2"/>
        <v>2.8749395957163</v>
      </c>
      <c r="F34" s="14"/>
      <c r="G34" s="14"/>
      <c r="H34" s="15">
        <v>0.0053</v>
      </c>
      <c r="I34" s="3">
        <v>0.007</v>
      </c>
    </row>
    <row r="35" ht="24" customHeight="1" spans="1:9">
      <c r="A35" s="20"/>
      <c r="B35" s="11" t="s">
        <v>286</v>
      </c>
      <c r="C35" s="12"/>
      <c r="D35" s="13"/>
      <c r="E35" s="14">
        <f t="shared" si="2"/>
        <v>18.0710488873596</v>
      </c>
      <c r="F35" s="14"/>
      <c r="G35" s="14"/>
      <c r="H35" s="15">
        <v>0.0341</v>
      </c>
      <c r="I35" s="3">
        <f>2.8%+1.6%</f>
        <v>0.044</v>
      </c>
    </row>
    <row r="36" ht="24" customHeight="1" spans="1:9">
      <c r="A36" s="11" t="s">
        <v>96</v>
      </c>
      <c r="B36" s="11"/>
      <c r="C36" s="12"/>
      <c r="D36" s="13"/>
      <c r="E36" s="14">
        <f t="shared" si="2"/>
        <v>12.321169695927</v>
      </c>
      <c r="F36" s="14"/>
      <c r="G36" s="14"/>
      <c r="H36" s="15">
        <v>0.011</v>
      </c>
      <c r="I36" s="3">
        <v>0.03</v>
      </c>
    </row>
    <row r="39" s="1" customFormat="1" ht="18.75" customHeight="1" spans="7:9">
      <c r="G39" s="4" t="s">
        <v>273</v>
      </c>
      <c r="H39" s="4"/>
      <c r="I39" s="23"/>
    </row>
    <row r="40" ht="39" customHeight="1" spans="1:9">
      <c r="A40" s="5" t="s">
        <v>274</v>
      </c>
      <c r="B40" s="5"/>
      <c r="C40" s="6" t="s">
        <v>275</v>
      </c>
      <c r="D40" s="7"/>
      <c r="E40" s="7"/>
      <c r="F40" s="7"/>
      <c r="G40" s="7"/>
      <c r="H40" s="8"/>
      <c r="I40" s="3" t="s">
        <v>276</v>
      </c>
    </row>
    <row r="41" ht="34.5" customHeight="1" spans="1:9">
      <c r="A41" s="5"/>
      <c r="B41" s="5"/>
      <c r="C41" s="9" t="s">
        <v>277</v>
      </c>
      <c r="D41" s="9" t="s">
        <v>278</v>
      </c>
      <c r="E41" s="9" t="s">
        <v>279</v>
      </c>
      <c r="F41" s="10" t="s">
        <v>280</v>
      </c>
      <c r="G41" s="10" t="s">
        <v>281</v>
      </c>
      <c r="H41" s="10" t="s">
        <v>282</v>
      </c>
      <c r="I41" s="22"/>
    </row>
    <row r="42" ht="24" customHeight="1" spans="1:9">
      <c r="A42" s="11" t="s">
        <v>283</v>
      </c>
      <c r="B42" s="11"/>
      <c r="C42" s="12"/>
      <c r="D42" s="13"/>
      <c r="E42" s="14">
        <f>I41*I42</f>
        <v>0</v>
      </c>
      <c r="F42" s="14"/>
      <c r="G42" s="14"/>
      <c r="H42" s="15">
        <v>0.0448</v>
      </c>
      <c r="I42" s="3">
        <v>0.0431</v>
      </c>
    </row>
    <row r="43" ht="24" customHeight="1" spans="1:9">
      <c r="A43" s="11" t="s">
        <v>284</v>
      </c>
      <c r="B43" s="11" t="s">
        <v>285</v>
      </c>
      <c r="C43" s="12"/>
      <c r="D43" s="13"/>
      <c r="E43" s="14">
        <f>$I$28*I43</f>
        <v>16.8389319177669</v>
      </c>
      <c r="F43" s="14"/>
      <c r="G43" s="14"/>
      <c r="H43" s="15">
        <v>0.0404</v>
      </c>
      <c r="I43" s="3">
        <v>0.041</v>
      </c>
    </row>
    <row r="44" ht="24" customHeight="1" spans="1:9">
      <c r="A44" s="11"/>
      <c r="B44" s="11" t="s">
        <v>286</v>
      </c>
      <c r="C44" s="12"/>
      <c r="D44" s="13"/>
      <c r="E44" s="14">
        <f t="shared" ref="E44:E49" si="3">$I$28*I44</f>
        <v>8.91231274672053</v>
      </c>
      <c r="F44" s="14"/>
      <c r="G44" s="14"/>
      <c r="H44" s="15">
        <v>0.0166</v>
      </c>
      <c r="I44" s="3">
        <v>0.0217</v>
      </c>
    </row>
    <row r="45" ht="24" customHeight="1" spans="1:9">
      <c r="A45" s="6" t="s">
        <v>287</v>
      </c>
      <c r="B45" s="8"/>
      <c r="C45" s="16"/>
      <c r="D45" s="17"/>
      <c r="E45" s="14">
        <f t="shared" si="3"/>
        <v>43.4526584609692</v>
      </c>
      <c r="F45" s="14"/>
      <c r="G45" s="14"/>
      <c r="H45" s="18">
        <f>SUM(H42:H44)</f>
        <v>0.1018</v>
      </c>
      <c r="I45" s="3">
        <f>SUM(I42:I44)</f>
        <v>0.1058</v>
      </c>
    </row>
    <row r="46" ht="24" customHeight="1" spans="1:9">
      <c r="A46" s="11" t="s">
        <v>93</v>
      </c>
      <c r="B46" s="11"/>
      <c r="C46" s="12"/>
      <c r="D46" s="13"/>
      <c r="E46" s="14">
        <f t="shared" si="3"/>
        <v>13.9639923220506</v>
      </c>
      <c r="F46" s="14"/>
      <c r="G46" s="14"/>
      <c r="H46" s="15">
        <f>1.97%+0.75%</f>
        <v>0.0272</v>
      </c>
      <c r="I46" s="3">
        <v>0.034</v>
      </c>
    </row>
    <row r="47" ht="24" customHeight="1" spans="1:9">
      <c r="A47" s="19" t="s">
        <v>288</v>
      </c>
      <c r="B47" s="11" t="s">
        <v>285</v>
      </c>
      <c r="C47" s="12"/>
      <c r="D47" s="13"/>
      <c r="E47" s="14">
        <f t="shared" si="3"/>
        <v>2.8749395957163</v>
      </c>
      <c r="F47" s="14"/>
      <c r="G47" s="14"/>
      <c r="H47" s="15">
        <v>0.0053</v>
      </c>
      <c r="I47" s="3">
        <v>0.007</v>
      </c>
    </row>
    <row r="48" ht="24" customHeight="1" spans="1:9">
      <c r="A48" s="20"/>
      <c r="B48" s="11" t="s">
        <v>286</v>
      </c>
      <c r="C48" s="12"/>
      <c r="D48" s="13"/>
      <c r="E48" s="14">
        <f t="shared" si="3"/>
        <v>18.0710488873596</v>
      </c>
      <c r="F48" s="14"/>
      <c r="G48" s="14"/>
      <c r="H48" s="15">
        <v>0.0341</v>
      </c>
      <c r="I48" s="3">
        <f>2.8%+1.6%</f>
        <v>0.044</v>
      </c>
    </row>
    <row r="49" ht="24" customHeight="1" spans="1:9">
      <c r="A49" s="11" t="s">
        <v>96</v>
      </c>
      <c r="B49" s="11"/>
      <c r="C49" s="12"/>
      <c r="D49" s="13"/>
      <c r="E49" s="14">
        <f t="shared" si="3"/>
        <v>12.321169695927</v>
      </c>
      <c r="F49" s="14"/>
      <c r="G49" s="14"/>
      <c r="H49" s="15">
        <v>0.011</v>
      </c>
      <c r="I49" s="3">
        <v>0.03</v>
      </c>
    </row>
    <row r="52" s="1" customFormat="1" ht="18.75" customHeight="1" spans="7:9">
      <c r="G52" s="4" t="s">
        <v>273</v>
      </c>
      <c r="H52" s="4"/>
      <c r="I52" s="23"/>
    </row>
    <row r="53" ht="39" customHeight="1" spans="1:9">
      <c r="A53" s="5" t="s">
        <v>274</v>
      </c>
      <c r="B53" s="5"/>
      <c r="C53" s="6" t="s">
        <v>275</v>
      </c>
      <c r="D53" s="7"/>
      <c r="E53" s="7"/>
      <c r="F53" s="7"/>
      <c r="G53" s="7"/>
      <c r="H53" s="8"/>
      <c r="I53" s="3" t="s">
        <v>276</v>
      </c>
    </row>
    <row r="54" ht="34.5" customHeight="1" spans="1:9">
      <c r="A54" s="5"/>
      <c r="B54" s="5"/>
      <c r="C54" s="9" t="s">
        <v>277</v>
      </c>
      <c r="D54" s="9" t="s">
        <v>278</v>
      </c>
      <c r="E54" s="9" t="s">
        <v>279</v>
      </c>
      <c r="F54" s="10" t="s">
        <v>280</v>
      </c>
      <c r="G54" s="10" t="s">
        <v>281</v>
      </c>
      <c r="H54" s="10" t="s">
        <v>282</v>
      </c>
      <c r="I54" s="22"/>
    </row>
    <row r="55" ht="24" customHeight="1" spans="1:9">
      <c r="A55" s="11" t="s">
        <v>283</v>
      </c>
      <c r="B55" s="11"/>
      <c r="C55" s="12"/>
      <c r="D55" s="13"/>
      <c r="E55" s="14">
        <f>I54*I55</f>
        <v>0</v>
      </c>
      <c r="F55" s="14"/>
      <c r="G55" s="14"/>
      <c r="H55" s="15">
        <v>0.0448</v>
      </c>
      <c r="I55" s="3">
        <v>0.0431</v>
      </c>
    </row>
    <row r="56" ht="24" customHeight="1" spans="1:9">
      <c r="A56" s="11" t="s">
        <v>284</v>
      </c>
      <c r="B56" s="11" t="s">
        <v>285</v>
      </c>
      <c r="C56" s="12"/>
      <c r="D56" s="13"/>
      <c r="E56" s="14">
        <f>$I$54*I56</f>
        <v>0</v>
      </c>
      <c r="F56" s="14"/>
      <c r="G56" s="14"/>
      <c r="H56" s="15">
        <v>0.0404</v>
      </c>
      <c r="I56" s="3">
        <v>0.041</v>
      </c>
    </row>
    <row r="57" ht="24" customHeight="1" spans="1:9">
      <c r="A57" s="11"/>
      <c r="B57" s="11" t="s">
        <v>286</v>
      </c>
      <c r="C57" s="12"/>
      <c r="D57" s="13"/>
      <c r="E57" s="14">
        <f t="shared" ref="E57:E62" si="4">$I$54*I57</f>
        <v>0</v>
      </c>
      <c r="F57" s="14"/>
      <c r="G57" s="14"/>
      <c r="H57" s="15">
        <v>0.0166</v>
      </c>
      <c r="I57" s="3">
        <v>0.0217</v>
      </c>
    </row>
    <row r="58" ht="24" customHeight="1" spans="1:9">
      <c r="A58" s="6" t="s">
        <v>287</v>
      </c>
      <c r="B58" s="8"/>
      <c r="C58" s="16"/>
      <c r="D58" s="17"/>
      <c r="E58" s="14">
        <f t="shared" si="4"/>
        <v>0</v>
      </c>
      <c r="F58" s="14"/>
      <c r="G58" s="14"/>
      <c r="H58" s="18">
        <f>SUM(H55:H57)</f>
        <v>0.1018</v>
      </c>
      <c r="I58" s="3">
        <f>SUM(I55:I57)</f>
        <v>0.1058</v>
      </c>
    </row>
    <row r="59" ht="24" customHeight="1" spans="1:9">
      <c r="A59" s="11" t="s">
        <v>93</v>
      </c>
      <c r="B59" s="11"/>
      <c r="C59" s="12"/>
      <c r="D59" s="13"/>
      <c r="E59" s="14">
        <f t="shared" si="4"/>
        <v>0</v>
      </c>
      <c r="F59" s="14"/>
      <c r="G59" s="14"/>
      <c r="H59" s="15">
        <f>1.97%+0.75%</f>
        <v>0.0272</v>
      </c>
      <c r="I59" s="3">
        <v>0.034</v>
      </c>
    </row>
    <row r="60" ht="24" customHeight="1" spans="1:9">
      <c r="A60" s="19" t="s">
        <v>288</v>
      </c>
      <c r="B60" s="11" t="s">
        <v>285</v>
      </c>
      <c r="C60" s="12"/>
      <c r="D60" s="13"/>
      <c r="E60" s="14">
        <f t="shared" si="4"/>
        <v>0</v>
      </c>
      <c r="F60" s="14"/>
      <c r="G60" s="14"/>
      <c r="H60" s="15">
        <v>0.0053</v>
      </c>
      <c r="I60" s="3">
        <v>0.007</v>
      </c>
    </row>
    <row r="61" ht="24" customHeight="1" spans="1:9">
      <c r="A61" s="20"/>
      <c r="B61" s="11" t="s">
        <v>286</v>
      </c>
      <c r="C61" s="12"/>
      <c r="D61" s="13"/>
      <c r="E61" s="14">
        <f t="shared" si="4"/>
        <v>0</v>
      </c>
      <c r="F61" s="14"/>
      <c r="G61" s="14"/>
      <c r="H61" s="15">
        <v>0.0341</v>
      </c>
      <c r="I61" s="3">
        <f>2.8%+1.6%</f>
        <v>0.044</v>
      </c>
    </row>
    <row r="62" ht="24" customHeight="1" spans="1:9">
      <c r="A62" s="11" t="s">
        <v>96</v>
      </c>
      <c r="B62" s="11"/>
      <c r="C62" s="12"/>
      <c r="D62" s="13"/>
      <c r="E62" s="14">
        <f t="shared" si="4"/>
        <v>0</v>
      </c>
      <c r="F62" s="14"/>
      <c r="G62" s="14"/>
      <c r="H62" s="15">
        <v>0.011</v>
      </c>
      <c r="I62" s="3">
        <v>0.03</v>
      </c>
    </row>
    <row r="65" s="1" customFormat="1" ht="18.75" customHeight="1" spans="7:9">
      <c r="G65" s="4" t="s">
        <v>273</v>
      </c>
      <c r="H65" s="4"/>
      <c r="I65" s="23"/>
    </row>
    <row r="66" ht="39" customHeight="1" spans="1:9">
      <c r="A66" s="5" t="s">
        <v>274</v>
      </c>
      <c r="B66" s="5"/>
      <c r="C66" s="6" t="s">
        <v>275</v>
      </c>
      <c r="D66" s="7"/>
      <c r="E66" s="7"/>
      <c r="F66" s="7"/>
      <c r="G66" s="7"/>
      <c r="H66" s="8"/>
      <c r="I66" s="3" t="s">
        <v>276</v>
      </c>
    </row>
    <row r="67" ht="34.5" customHeight="1" spans="1:9">
      <c r="A67" s="5"/>
      <c r="B67" s="5"/>
      <c r="C67" s="9" t="s">
        <v>277</v>
      </c>
      <c r="D67" s="9" t="s">
        <v>278</v>
      </c>
      <c r="E67" s="9" t="s">
        <v>279</v>
      </c>
      <c r="F67" s="10" t="s">
        <v>280</v>
      </c>
      <c r="G67" s="10" t="s">
        <v>281</v>
      </c>
      <c r="H67" s="10" t="s">
        <v>282</v>
      </c>
      <c r="I67" s="22"/>
    </row>
    <row r="68" ht="24" customHeight="1" spans="1:9">
      <c r="A68" s="11" t="s">
        <v>283</v>
      </c>
      <c r="B68" s="11"/>
      <c r="C68" s="12"/>
      <c r="D68" s="13"/>
      <c r="E68" s="14">
        <f>I67*I68</f>
        <v>0</v>
      </c>
      <c r="F68" s="14"/>
      <c r="G68" s="14"/>
      <c r="H68" s="15">
        <v>0.0448</v>
      </c>
      <c r="I68" s="3">
        <v>0.0431</v>
      </c>
    </row>
    <row r="69" ht="24" customHeight="1" spans="1:9">
      <c r="A69" s="11" t="s">
        <v>284</v>
      </c>
      <c r="B69" s="11" t="s">
        <v>285</v>
      </c>
      <c r="C69" s="12"/>
      <c r="D69" s="13"/>
      <c r="E69" s="14">
        <f t="shared" ref="E69:E75" si="5">$I$67*I69</f>
        <v>0</v>
      </c>
      <c r="F69" s="14"/>
      <c r="G69" s="14"/>
      <c r="H69" s="15">
        <v>0.0404</v>
      </c>
      <c r="I69" s="3">
        <v>0.041</v>
      </c>
    </row>
    <row r="70" ht="24" customHeight="1" spans="1:9">
      <c r="A70" s="11"/>
      <c r="B70" s="11" t="s">
        <v>286</v>
      </c>
      <c r="C70" s="12"/>
      <c r="D70" s="13"/>
      <c r="E70" s="14">
        <f t="shared" si="5"/>
        <v>0</v>
      </c>
      <c r="F70" s="14"/>
      <c r="G70" s="14"/>
      <c r="H70" s="15">
        <v>0.0166</v>
      </c>
      <c r="I70" s="3">
        <v>0.0217</v>
      </c>
    </row>
    <row r="71" ht="24" customHeight="1" spans="1:9">
      <c r="A71" s="6" t="s">
        <v>287</v>
      </c>
      <c r="B71" s="8"/>
      <c r="C71" s="16"/>
      <c r="D71" s="17"/>
      <c r="E71" s="14">
        <f t="shared" si="5"/>
        <v>0</v>
      </c>
      <c r="F71" s="14"/>
      <c r="G71" s="14"/>
      <c r="H71" s="18">
        <f>SUM(H68:H70)</f>
        <v>0.1018</v>
      </c>
      <c r="I71" s="3">
        <f>SUM(I68:I70)</f>
        <v>0.1058</v>
      </c>
    </row>
    <row r="72" ht="24" customHeight="1" spans="1:9">
      <c r="A72" s="11" t="s">
        <v>93</v>
      </c>
      <c r="B72" s="11"/>
      <c r="C72" s="12"/>
      <c r="D72" s="13"/>
      <c r="E72" s="14">
        <f t="shared" si="5"/>
        <v>0</v>
      </c>
      <c r="F72" s="14"/>
      <c r="G72" s="14"/>
      <c r="H72" s="15">
        <f>1.97%+0.75%</f>
        <v>0.0272</v>
      </c>
      <c r="I72" s="3">
        <v>0.034</v>
      </c>
    </row>
    <row r="73" ht="24" customHeight="1" spans="1:9">
      <c r="A73" s="19" t="s">
        <v>288</v>
      </c>
      <c r="B73" s="11" t="s">
        <v>285</v>
      </c>
      <c r="C73" s="12"/>
      <c r="D73" s="13"/>
      <c r="E73" s="14">
        <f t="shared" si="5"/>
        <v>0</v>
      </c>
      <c r="F73" s="14"/>
      <c r="G73" s="14"/>
      <c r="H73" s="15">
        <v>0.0053</v>
      </c>
      <c r="I73" s="3">
        <v>0.007</v>
      </c>
    </row>
    <row r="74" ht="24" customHeight="1" spans="1:9">
      <c r="A74" s="20"/>
      <c r="B74" s="11" t="s">
        <v>286</v>
      </c>
      <c r="C74" s="12"/>
      <c r="D74" s="13"/>
      <c r="E74" s="14">
        <f t="shared" si="5"/>
        <v>0</v>
      </c>
      <c r="F74" s="14"/>
      <c r="G74" s="14"/>
      <c r="H74" s="15">
        <v>0.0341</v>
      </c>
      <c r="I74" s="3">
        <f>2.8%+1.6%</f>
        <v>0.044</v>
      </c>
    </row>
    <row r="75" ht="24" customHeight="1" spans="1:9">
      <c r="A75" s="11" t="s">
        <v>96</v>
      </c>
      <c r="B75" s="11"/>
      <c r="C75" s="12"/>
      <c r="D75" s="13"/>
      <c r="E75" s="14">
        <f t="shared" si="5"/>
        <v>0</v>
      </c>
      <c r="F75" s="14"/>
      <c r="G75" s="14"/>
      <c r="H75" s="15">
        <v>0.011</v>
      </c>
      <c r="I75" s="3">
        <v>0.03</v>
      </c>
    </row>
    <row r="78" s="1" customFormat="1" ht="18.75" customHeight="1" spans="7:9">
      <c r="G78" s="4" t="s">
        <v>273</v>
      </c>
      <c r="H78" s="4"/>
      <c r="I78" s="23"/>
    </row>
    <row r="79" ht="39" customHeight="1" spans="1:9">
      <c r="A79" s="5" t="s">
        <v>274</v>
      </c>
      <c r="B79" s="5"/>
      <c r="C79" s="6" t="s">
        <v>275</v>
      </c>
      <c r="D79" s="7"/>
      <c r="E79" s="7"/>
      <c r="F79" s="7"/>
      <c r="G79" s="7"/>
      <c r="H79" s="8"/>
      <c r="I79" s="3" t="s">
        <v>276</v>
      </c>
    </row>
    <row r="80" ht="34.5" customHeight="1" spans="1:9">
      <c r="A80" s="5"/>
      <c r="B80" s="5"/>
      <c r="C80" s="9" t="s">
        <v>277</v>
      </c>
      <c r="D80" s="9" t="s">
        <v>278</v>
      </c>
      <c r="E80" s="9" t="s">
        <v>279</v>
      </c>
      <c r="F80" s="10" t="s">
        <v>280</v>
      </c>
      <c r="G80" s="10" t="s">
        <v>281</v>
      </c>
      <c r="H80" s="10" t="s">
        <v>282</v>
      </c>
      <c r="I80" s="22"/>
    </row>
    <row r="81" ht="24" customHeight="1" spans="1:9">
      <c r="A81" s="11" t="s">
        <v>283</v>
      </c>
      <c r="B81" s="11"/>
      <c r="C81" s="12"/>
      <c r="D81" s="13"/>
      <c r="E81" s="14">
        <f>I80*I81</f>
        <v>0</v>
      </c>
      <c r="F81" s="14"/>
      <c r="G81" s="14"/>
      <c r="H81" s="15">
        <v>0.0448</v>
      </c>
      <c r="I81" s="3">
        <v>0.0431</v>
      </c>
    </row>
    <row r="82" ht="24" customHeight="1" spans="1:9">
      <c r="A82" s="11" t="s">
        <v>284</v>
      </c>
      <c r="B82" s="11" t="s">
        <v>285</v>
      </c>
      <c r="C82" s="12"/>
      <c r="D82" s="13"/>
      <c r="E82" s="14">
        <f t="shared" ref="E82:E88" si="6">$I$80*I82</f>
        <v>0</v>
      </c>
      <c r="F82" s="14"/>
      <c r="G82" s="14"/>
      <c r="H82" s="15">
        <v>0.0404</v>
      </c>
      <c r="I82" s="3">
        <v>0.041</v>
      </c>
    </row>
    <row r="83" ht="24" customHeight="1" spans="1:9">
      <c r="A83" s="11"/>
      <c r="B83" s="11" t="s">
        <v>286</v>
      </c>
      <c r="C83" s="12"/>
      <c r="D83" s="13"/>
      <c r="E83" s="14">
        <f t="shared" si="6"/>
        <v>0</v>
      </c>
      <c r="F83" s="14"/>
      <c r="G83" s="14"/>
      <c r="H83" s="15">
        <v>0.0166</v>
      </c>
      <c r="I83" s="3">
        <v>0.0217</v>
      </c>
    </row>
    <row r="84" ht="24" customHeight="1" spans="1:9">
      <c r="A84" s="6" t="s">
        <v>287</v>
      </c>
      <c r="B84" s="8"/>
      <c r="C84" s="16"/>
      <c r="D84" s="17"/>
      <c r="E84" s="14">
        <f t="shared" si="6"/>
        <v>0</v>
      </c>
      <c r="F84" s="14"/>
      <c r="G84" s="14"/>
      <c r="H84" s="18">
        <f>SUM(H81:H83)</f>
        <v>0.1018</v>
      </c>
      <c r="I84" s="3">
        <f>SUM(I81:I83)</f>
        <v>0.1058</v>
      </c>
    </row>
    <row r="85" ht="24" customHeight="1" spans="1:9">
      <c r="A85" s="11" t="s">
        <v>93</v>
      </c>
      <c r="B85" s="11"/>
      <c r="C85" s="12"/>
      <c r="D85" s="13"/>
      <c r="E85" s="14">
        <f t="shared" si="6"/>
        <v>0</v>
      </c>
      <c r="F85" s="14"/>
      <c r="G85" s="14"/>
      <c r="H85" s="15">
        <f>1.97%+0.75%</f>
        <v>0.0272</v>
      </c>
      <c r="I85" s="3">
        <v>0.034</v>
      </c>
    </row>
    <row r="86" ht="24" customHeight="1" spans="1:9">
      <c r="A86" s="19" t="s">
        <v>288</v>
      </c>
      <c r="B86" s="11" t="s">
        <v>285</v>
      </c>
      <c r="C86" s="12"/>
      <c r="D86" s="13"/>
      <c r="E86" s="14">
        <f t="shared" si="6"/>
        <v>0</v>
      </c>
      <c r="F86" s="14"/>
      <c r="G86" s="14"/>
      <c r="H86" s="15">
        <v>0.0053</v>
      </c>
      <c r="I86" s="3">
        <v>0.007</v>
      </c>
    </row>
    <row r="87" ht="24" customHeight="1" spans="1:9">
      <c r="A87" s="20"/>
      <c r="B87" s="11" t="s">
        <v>286</v>
      </c>
      <c r="C87" s="12"/>
      <c r="D87" s="13"/>
      <c r="E87" s="14">
        <f t="shared" si="6"/>
        <v>0</v>
      </c>
      <c r="F87" s="14"/>
      <c r="G87" s="14"/>
      <c r="H87" s="15">
        <v>0.0341</v>
      </c>
      <c r="I87" s="3">
        <f>2.8%+1.6%</f>
        <v>0.044</v>
      </c>
    </row>
    <row r="88" ht="24" customHeight="1" spans="1:9">
      <c r="A88" s="11" t="s">
        <v>96</v>
      </c>
      <c r="B88" s="11"/>
      <c r="C88" s="12"/>
      <c r="D88" s="13"/>
      <c r="E88" s="14">
        <f t="shared" si="6"/>
        <v>0</v>
      </c>
      <c r="F88" s="14"/>
      <c r="G88" s="14"/>
      <c r="H88" s="15">
        <v>0.011</v>
      </c>
      <c r="I88" s="3">
        <v>0.03</v>
      </c>
    </row>
    <row r="91" s="1" customFormat="1" ht="18.75" customHeight="1" spans="7:9">
      <c r="G91" s="4" t="s">
        <v>273</v>
      </c>
      <c r="H91" s="4"/>
      <c r="I91" s="23"/>
    </row>
    <row r="92" ht="39" customHeight="1" spans="1:9">
      <c r="A92" s="5" t="s">
        <v>274</v>
      </c>
      <c r="B92" s="5"/>
      <c r="C92" s="6" t="s">
        <v>275</v>
      </c>
      <c r="D92" s="7"/>
      <c r="E92" s="7"/>
      <c r="F92" s="7"/>
      <c r="G92" s="7"/>
      <c r="H92" s="8"/>
      <c r="I92" s="3" t="s">
        <v>276</v>
      </c>
    </row>
    <row r="93" ht="34.5" customHeight="1" spans="1:9">
      <c r="A93" s="5"/>
      <c r="B93" s="5"/>
      <c r="C93" s="9" t="s">
        <v>277</v>
      </c>
      <c r="D93" s="9" t="s">
        <v>278</v>
      </c>
      <c r="E93" s="9" t="s">
        <v>279</v>
      </c>
      <c r="F93" s="10" t="s">
        <v>280</v>
      </c>
      <c r="G93" s="10" t="s">
        <v>281</v>
      </c>
      <c r="H93" s="10" t="s">
        <v>282</v>
      </c>
      <c r="I93" s="22"/>
    </row>
    <row r="94" ht="24" customHeight="1" spans="1:9">
      <c r="A94" s="11" t="s">
        <v>283</v>
      </c>
      <c r="B94" s="11"/>
      <c r="C94" s="12"/>
      <c r="D94" s="13"/>
      <c r="E94" s="14">
        <f>I93*I94</f>
        <v>0</v>
      </c>
      <c r="F94" s="14"/>
      <c r="G94" s="14"/>
      <c r="H94" s="15">
        <v>0.0448</v>
      </c>
      <c r="I94" s="3">
        <v>0.0431</v>
      </c>
    </row>
    <row r="95" ht="24" customHeight="1" spans="1:9">
      <c r="A95" s="11" t="s">
        <v>284</v>
      </c>
      <c r="B95" s="11" t="s">
        <v>285</v>
      </c>
      <c r="C95" s="12"/>
      <c r="D95" s="13"/>
      <c r="E95" s="14">
        <f>$I$93*I95</f>
        <v>0</v>
      </c>
      <c r="F95" s="14"/>
      <c r="G95" s="14"/>
      <c r="H95" s="15">
        <v>0.0404</v>
      </c>
      <c r="I95" s="3">
        <v>0.041</v>
      </c>
    </row>
    <row r="96" ht="24" customHeight="1" spans="1:9">
      <c r="A96" s="11"/>
      <c r="B96" s="11" t="s">
        <v>286</v>
      </c>
      <c r="C96" s="12"/>
      <c r="D96" s="13"/>
      <c r="E96" s="14">
        <f t="shared" ref="E96:E101" si="7">$I$93*I96</f>
        <v>0</v>
      </c>
      <c r="F96" s="14"/>
      <c r="G96" s="14"/>
      <c r="H96" s="15">
        <v>0.0166</v>
      </c>
      <c r="I96" s="3">
        <v>0.0217</v>
      </c>
    </row>
    <row r="97" ht="24" customHeight="1" spans="1:9">
      <c r="A97" s="6" t="s">
        <v>287</v>
      </c>
      <c r="B97" s="8"/>
      <c r="C97" s="16"/>
      <c r="D97" s="17"/>
      <c r="E97" s="14">
        <f t="shared" si="7"/>
        <v>0</v>
      </c>
      <c r="F97" s="14"/>
      <c r="G97" s="14"/>
      <c r="H97" s="18">
        <f>SUM(H94:H96)</f>
        <v>0.1018</v>
      </c>
      <c r="I97" s="3">
        <f>SUM(I94:I96)</f>
        <v>0.1058</v>
      </c>
    </row>
    <row r="98" ht="24" customHeight="1" spans="1:9">
      <c r="A98" s="11" t="s">
        <v>93</v>
      </c>
      <c r="B98" s="11"/>
      <c r="C98" s="12"/>
      <c r="D98" s="13"/>
      <c r="E98" s="14">
        <f t="shared" si="7"/>
        <v>0</v>
      </c>
      <c r="F98" s="14"/>
      <c r="G98" s="14"/>
      <c r="H98" s="15">
        <f>1.97%+0.75%</f>
        <v>0.0272</v>
      </c>
      <c r="I98" s="3">
        <v>0.034</v>
      </c>
    </row>
    <row r="99" ht="24" customHeight="1" spans="1:9">
      <c r="A99" s="19" t="s">
        <v>288</v>
      </c>
      <c r="B99" s="11" t="s">
        <v>285</v>
      </c>
      <c r="C99" s="12"/>
      <c r="D99" s="13"/>
      <c r="E99" s="14">
        <f t="shared" si="7"/>
        <v>0</v>
      </c>
      <c r="F99" s="14"/>
      <c r="G99" s="14"/>
      <c r="H99" s="15">
        <v>0.0053</v>
      </c>
      <c r="I99" s="3">
        <v>0.007</v>
      </c>
    </row>
    <row r="100" ht="24" customHeight="1" spans="1:9">
      <c r="A100" s="20"/>
      <c r="B100" s="11" t="s">
        <v>286</v>
      </c>
      <c r="C100" s="12"/>
      <c r="D100" s="13"/>
      <c r="E100" s="14">
        <f t="shared" si="7"/>
        <v>0</v>
      </c>
      <c r="F100" s="14"/>
      <c r="G100" s="14"/>
      <c r="H100" s="15">
        <v>0.0341</v>
      </c>
      <c r="I100" s="3">
        <f>2.8%+1.6%</f>
        <v>0.044</v>
      </c>
    </row>
    <row r="101" ht="24" customHeight="1" spans="1:9">
      <c r="A101" s="11" t="s">
        <v>96</v>
      </c>
      <c r="B101" s="11"/>
      <c r="C101" s="12"/>
      <c r="D101" s="13"/>
      <c r="E101" s="14">
        <f t="shared" si="7"/>
        <v>0</v>
      </c>
      <c r="F101" s="14"/>
      <c r="G101" s="14"/>
      <c r="H101" s="15">
        <v>0.011</v>
      </c>
      <c r="I101" s="3">
        <v>0.03</v>
      </c>
    </row>
    <row r="104" s="1" customFormat="1" ht="18.75" customHeight="1" spans="7:9">
      <c r="G104" s="4" t="s">
        <v>273</v>
      </c>
      <c r="H104" s="4"/>
      <c r="I104" s="23"/>
    </row>
    <row r="105" ht="39" customHeight="1" spans="1:9">
      <c r="A105" s="5" t="s">
        <v>274</v>
      </c>
      <c r="B105" s="5"/>
      <c r="C105" s="6" t="s">
        <v>275</v>
      </c>
      <c r="D105" s="7"/>
      <c r="E105" s="7"/>
      <c r="F105" s="7"/>
      <c r="G105" s="7"/>
      <c r="H105" s="8"/>
      <c r="I105" s="3" t="s">
        <v>276</v>
      </c>
    </row>
    <row r="106" ht="34.5" customHeight="1" spans="1:9">
      <c r="A106" s="5"/>
      <c r="B106" s="5"/>
      <c r="C106" s="9" t="s">
        <v>277</v>
      </c>
      <c r="D106" s="9" t="s">
        <v>278</v>
      </c>
      <c r="E106" s="9" t="s">
        <v>279</v>
      </c>
      <c r="F106" s="10" t="s">
        <v>280</v>
      </c>
      <c r="G106" s="10" t="s">
        <v>281</v>
      </c>
      <c r="H106" s="10" t="s">
        <v>282</v>
      </c>
      <c r="I106" s="22"/>
    </row>
    <row r="107" ht="24" customHeight="1" spans="1:9">
      <c r="A107" s="11" t="s">
        <v>283</v>
      </c>
      <c r="B107" s="11"/>
      <c r="C107" s="12"/>
      <c r="D107" s="13"/>
      <c r="E107" s="14">
        <f>I106*I107</f>
        <v>0</v>
      </c>
      <c r="F107" s="14"/>
      <c r="G107" s="14"/>
      <c r="H107" s="15">
        <v>0.0448</v>
      </c>
      <c r="I107" s="3">
        <v>0.0431</v>
      </c>
    </row>
    <row r="108" ht="24" customHeight="1" spans="1:9">
      <c r="A108" s="11" t="s">
        <v>284</v>
      </c>
      <c r="B108" s="11" t="s">
        <v>285</v>
      </c>
      <c r="C108" s="12"/>
      <c r="D108" s="13"/>
      <c r="E108" s="14">
        <f>$I$106*I108</f>
        <v>0</v>
      </c>
      <c r="F108" s="14"/>
      <c r="G108" s="14"/>
      <c r="H108" s="15">
        <v>0.0404</v>
      </c>
      <c r="I108" s="3">
        <v>0.041</v>
      </c>
    </row>
    <row r="109" ht="24" customHeight="1" spans="1:9">
      <c r="A109" s="11"/>
      <c r="B109" s="11" t="s">
        <v>286</v>
      </c>
      <c r="C109" s="12"/>
      <c r="D109" s="13"/>
      <c r="E109" s="14">
        <f t="shared" ref="E109:E114" si="8">$I$106*I109</f>
        <v>0</v>
      </c>
      <c r="F109" s="14"/>
      <c r="G109" s="14"/>
      <c r="H109" s="15">
        <v>0.0166</v>
      </c>
      <c r="I109" s="3">
        <v>0.0217</v>
      </c>
    </row>
    <row r="110" ht="24" customHeight="1" spans="1:9">
      <c r="A110" s="6" t="s">
        <v>287</v>
      </c>
      <c r="B110" s="8"/>
      <c r="C110" s="16"/>
      <c r="D110" s="17"/>
      <c r="E110" s="14">
        <f t="shared" si="8"/>
        <v>0</v>
      </c>
      <c r="F110" s="14"/>
      <c r="G110" s="14"/>
      <c r="H110" s="18">
        <f>SUM(H107:H109)</f>
        <v>0.1018</v>
      </c>
      <c r="I110" s="3">
        <f>SUM(I107:I109)</f>
        <v>0.1058</v>
      </c>
    </row>
    <row r="111" ht="24" customHeight="1" spans="1:9">
      <c r="A111" s="11" t="s">
        <v>93</v>
      </c>
      <c r="B111" s="11"/>
      <c r="C111" s="12"/>
      <c r="D111" s="13"/>
      <c r="E111" s="14">
        <f t="shared" si="8"/>
        <v>0</v>
      </c>
      <c r="F111" s="14"/>
      <c r="G111" s="14"/>
      <c r="H111" s="15">
        <f>1.97%+0.75%</f>
        <v>0.0272</v>
      </c>
      <c r="I111" s="3">
        <v>0.034</v>
      </c>
    </row>
    <row r="112" ht="24" customHeight="1" spans="1:9">
      <c r="A112" s="19" t="s">
        <v>288</v>
      </c>
      <c r="B112" s="11" t="s">
        <v>285</v>
      </c>
      <c r="C112" s="12"/>
      <c r="D112" s="13"/>
      <c r="E112" s="14">
        <f t="shared" si="8"/>
        <v>0</v>
      </c>
      <c r="F112" s="14"/>
      <c r="G112" s="14"/>
      <c r="H112" s="15">
        <v>0.0053</v>
      </c>
      <c r="I112" s="3">
        <v>0.007</v>
      </c>
    </row>
    <row r="113" ht="24" customHeight="1" spans="1:9">
      <c r="A113" s="20"/>
      <c r="B113" s="11" t="s">
        <v>286</v>
      </c>
      <c r="C113" s="12"/>
      <c r="D113" s="13"/>
      <c r="E113" s="14">
        <f t="shared" si="8"/>
        <v>0</v>
      </c>
      <c r="F113" s="14"/>
      <c r="G113" s="14"/>
      <c r="H113" s="15">
        <v>0.0341</v>
      </c>
      <c r="I113" s="3">
        <f>2.8%+1.6%</f>
        <v>0.044</v>
      </c>
    </row>
    <row r="114" ht="24" customHeight="1" spans="1:9">
      <c r="A114" s="11" t="s">
        <v>96</v>
      </c>
      <c r="B114" s="11"/>
      <c r="C114" s="12"/>
      <c r="D114" s="13"/>
      <c r="E114" s="14">
        <f t="shared" si="8"/>
        <v>0</v>
      </c>
      <c r="F114" s="14"/>
      <c r="G114" s="14"/>
      <c r="H114" s="15">
        <v>0.011</v>
      </c>
      <c r="I114" s="3">
        <v>0.03</v>
      </c>
    </row>
    <row r="117" s="1" customFormat="1" ht="18.75" customHeight="1" spans="7:9">
      <c r="G117" s="4" t="s">
        <v>273</v>
      </c>
      <c r="H117" s="4"/>
      <c r="I117" s="23"/>
    </row>
    <row r="118" ht="39" customHeight="1" spans="1:9">
      <c r="A118" s="5" t="s">
        <v>274</v>
      </c>
      <c r="B118" s="5"/>
      <c r="C118" s="6" t="s">
        <v>275</v>
      </c>
      <c r="D118" s="7"/>
      <c r="E118" s="7"/>
      <c r="F118" s="7"/>
      <c r="G118" s="7"/>
      <c r="H118" s="8"/>
      <c r="I118" s="3" t="s">
        <v>276</v>
      </c>
    </row>
    <row r="119" ht="34.5" customHeight="1" spans="1:9">
      <c r="A119" s="5"/>
      <c r="B119" s="5"/>
      <c r="C119" s="9" t="s">
        <v>277</v>
      </c>
      <c r="D119" s="9" t="s">
        <v>278</v>
      </c>
      <c r="E119" s="9" t="s">
        <v>279</v>
      </c>
      <c r="F119" s="10" t="s">
        <v>280</v>
      </c>
      <c r="G119" s="10" t="s">
        <v>281</v>
      </c>
      <c r="H119" s="10" t="s">
        <v>282</v>
      </c>
      <c r="I119" s="22"/>
    </row>
    <row r="120" ht="24" customHeight="1" spans="1:9">
      <c r="A120" s="11" t="s">
        <v>283</v>
      </c>
      <c r="B120" s="11"/>
      <c r="C120" s="12"/>
      <c r="D120" s="13"/>
      <c r="E120" s="14">
        <f>I119*I120</f>
        <v>0</v>
      </c>
      <c r="F120" s="14"/>
      <c r="G120" s="14"/>
      <c r="H120" s="15">
        <v>0.0448</v>
      </c>
      <c r="I120" s="3">
        <v>0.0431</v>
      </c>
    </row>
    <row r="121" ht="24" customHeight="1" spans="1:9">
      <c r="A121" s="11" t="s">
        <v>284</v>
      </c>
      <c r="B121" s="11" t="s">
        <v>285</v>
      </c>
      <c r="C121" s="12"/>
      <c r="D121" s="13"/>
      <c r="E121" s="14">
        <f>$I$119*I121</f>
        <v>0</v>
      </c>
      <c r="F121" s="14"/>
      <c r="G121" s="14"/>
      <c r="H121" s="15">
        <v>0.0404</v>
      </c>
      <c r="I121" s="3">
        <v>0.041</v>
      </c>
    </row>
    <row r="122" ht="24" customHeight="1" spans="1:9">
      <c r="A122" s="11"/>
      <c r="B122" s="11" t="s">
        <v>286</v>
      </c>
      <c r="C122" s="12"/>
      <c r="D122" s="13"/>
      <c r="E122" s="14">
        <f t="shared" ref="E122:E127" si="9">$I$119*I122</f>
        <v>0</v>
      </c>
      <c r="F122" s="14"/>
      <c r="G122" s="14"/>
      <c r="H122" s="15">
        <v>0.0166</v>
      </c>
      <c r="I122" s="3">
        <v>0.0217</v>
      </c>
    </row>
    <row r="123" ht="24" customHeight="1" spans="1:9">
      <c r="A123" s="6" t="s">
        <v>287</v>
      </c>
      <c r="B123" s="8"/>
      <c r="C123" s="16"/>
      <c r="D123" s="17"/>
      <c r="E123" s="14">
        <f t="shared" si="9"/>
        <v>0</v>
      </c>
      <c r="F123" s="14"/>
      <c r="G123" s="14"/>
      <c r="H123" s="18">
        <f>SUM(H120:H122)</f>
        <v>0.1018</v>
      </c>
      <c r="I123" s="3">
        <f>SUM(I120:I122)</f>
        <v>0.1058</v>
      </c>
    </row>
    <row r="124" ht="24" customHeight="1" spans="1:9">
      <c r="A124" s="11" t="s">
        <v>93</v>
      </c>
      <c r="B124" s="11"/>
      <c r="C124" s="12"/>
      <c r="D124" s="13"/>
      <c r="E124" s="14">
        <f t="shared" si="9"/>
        <v>0</v>
      </c>
      <c r="F124" s="14"/>
      <c r="G124" s="14"/>
      <c r="H124" s="15">
        <f>1.97%+0.75%</f>
        <v>0.0272</v>
      </c>
      <c r="I124" s="3">
        <v>0.034</v>
      </c>
    </row>
    <row r="125" ht="24" customHeight="1" spans="1:9">
      <c r="A125" s="19" t="s">
        <v>288</v>
      </c>
      <c r="B125" s="11" t="s">
        <v>285</v>
      </c>
      <c r="C125" s="12"/>
      <c r="D125" s="13"/>
      <c r="E125" s="14">
        <f t="shared" si="9"/>
        <v>0</v>
      </c>
      <c r="F125" s="14"/>
      <c r="G125" s="14"/>
      <c r="H125" s="15">
        <v>0.0053</v>
      </c>
      <c r="I125" s="3">
        <v>0.007</v>
      </c>
    </row>
    <row r="126" ht="24" customHeight="1" spans="1:9">
      <c r="A126" s="20"/>
      <c r="B126" s="11" t="s">
        <v>286</v>
      </c>
      <c r="C126" s="12"/>
      <c r="D126" s="13"/>
      <c r="E126" s="14">
        <f t="shared" si="9"/>
        <v>0</v>
      </c>
      <c r="F126" s="14"/>
      <c r="G126" s="14"/>
      <c r="H126" s="15">
        <v>0.0341</v>
      </c>
      <c r="I126" s="3">
        <f>2.8%+1.6%</f>
        <v>0.044</v>
      </c>
    </row>
    <row r="127" ht="24" customHeight="1" spans="1:9">
      <c r="A127" s="11" t="s">
        <v>96</v>
      </c>
      <c r="B127" s="11"/>
      <c r="C127" s="12"/>
      <c r="D127" s="13"/>
      <c r="E127" s="14">
        <f t="shared" si="9"/>
        <v>0</v>
      </c>
      <c r="F127" s="14"/>
      <c r="G127" s="14"/>
      <c r="H127" s="15">
        <v>0.011</v>
      </c>
      <c r="I127" s="3">
        <v>0.03</v>
      </c>
    </row>
  </sheetData>
  <mergeCells count="90">
    <mergeCell ref="G1:H1"/>
    <mergeCell ref="C2:H2"/>
    <mergeCell ref="A4:B4"/>
    <mergeCell ref="A7:B7"/>
    <mergeCell ref="A8:B8"/>
    <mergeCell ref="A11:B11"/>
    <mergeCell ref="G13:H13"/>
    <mergeCell ref="C14:H14"/>
    <mergeCell ref="A16:B16"/>
    <mergeCell ref="A19:B19"/>
    <mergeCell ref="A20:B20"/>
    <mergeCell ref="A23:B23"/>
    <mergeCell ref="G26:H26"/>
    <mergeCell ref="C27:H27"/>
    <mergeCell ref="A29:B29"/>
    <mergeCell ref="A32:B32"/>
    <mergeCell ref="A33:B33"/>
    <mergeCell ref="A36:B36"/>
    <mergeCell ref="G39:H39"/>
    <mergeCell ref="C40:H40"/>
    <mergeCell ref="A42:B42"/>
    <mergeCell ref="A45:B45"/>
    <mergeCell ref="A46:B46"/>
    <mergeCell ref="A49:B49"/>
    <mergeCell ref="G52:H52"/>
    <mergeCell ref="C53:H53"/>
    <mergeCell ref="A55:B55"/>
    <mergeCell ref="A58:B58"/>
    <mergeCell ref="A59:B59"/>
    <mergeCell ref="A62:B62"/>
    <mergeCell ref="G65:H65"/>
    <mergeCell ref="C66:H66"/>
    <mergeCell ref="A68:B68"/>
    <mergeCell ref="A71:B71"/>
    <mergeCell ref="A72:B72"/>
    <mergeCell ref="A75:B75"/>
    <mergeCell ref="G78:H78"/>
    <mergeCell ref="C79:H79"/>
    <mergeCell ref="A81:B81"/>
    <mergeCell ref="A84:B84"/>
    <mergeCell ref="A85:B85"/>
    <mergeCell ref="A88:B88"/>
    <mergeCell ref="G91:H91"/>
    <mergeCell ref="C92:H92"/>
    <mergeCell ref="A94:B94"/>
    <mergeCell ref="A97:B97"/>
    <mergeCell ref="A98:B98"/>
    <mergeCell ref="A101:B101"/>
    <mergeCell ref="G104:H104"/>
    <mergeCell ref="C105:H105"/>
    <mergeCell ref="A107:B107"/>
    <mergeCell ref="A110:B110"/>
    <mergeCell ref="A111:B111"/>
    <mergeCell ref="A114:B114"/>
    <mergeCell ref="G117:H117"/>
    <mergeCell ref="C118:H118"/>
    <mergeCell ref="A120:B120"/>
    <mergeCell ref="A123:B123"/>
    <mergeCell ref="A124:B124"/>
    <mergeCell ref="A127:B127"/>
    <mergeCell ref="A5:A6"/>
    <mergeCell ref="A9:A10"/>
    <mergeCell ref="A17:A18"/>
    <mergeCell ref="A21:A22"/>
    <mergeCell ref="A30:A31"/>
    <mergeCell ref="A34:A35"/>
    <mergeCell ref="A43:A44"/>
    <mergeCell ref="A47:A48"/>
    <mergeCell ref="A56:A57"/>
    <mergeCell ref="A60:A61"/>
    <mergeCell ref="A69:A70"/>
    <mergeCell ref="A73:A74"/>
    <mergeCell ref="A82:A83"/>
    <mergeCell ref="A86:A87"/>
    <mergeCell ref="A95:A96"/>
    <mergeCell ref="A99:A100"/>
    <mergeCell ref="A108:A109"/>
    <mergeCell ref="A112:A113"/>
    <mergeCell ref="A121:A122"/>
    <mergeCell ref="A125:A126"/>
    <mergeCell ref="A2:B3"/>
    <mergeCell ref="A14:B15"/>
    <mergeCell ref="A27:B28"/>
    <mergeCell ref="A40:B41"/>
    <mergeCell ref="A53:B54"/>
    <mergeCell ref="A66:B67"/>
    <mergeCell ref="A79:B80"/>
    <mergeCell ref="A92:B93"/>
    <mergeCell ref="A105:B106"/>
    <mergeCell ref="A118:B11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B11" sqref="B11:B15"/>
    </sheetView>
  </sheetViews>
  <sheetFormatPr defaultColWidth="9.12727272727273" defaultRowHeight="19.9" customHeight="1"/>
  <cols>
    <col min="1" max="1" width="8" style="217" customWidth="1"/>
    <col min="2" max="2" width="28.5" style="217" customWidth="1"/>
    <col min="3" max="4" width="9.12727272727273" style="217"/>
    <col min="5" max="5" width="13.8727272727273" style="217" customWidth="1"/>
    <col min="6" max="12" width="16.1272727272727" style="217" customWidth="1"/>
    <col min="13" max="13" width="10.6272727272727" style="217" customWidth="1"/>
    <col min="14" max="254" width="9.12727272727273" style="217"/>
    <col min="255" max="255" width="8" style="217" customWidth="1"/>
    <col min="256" max="256" width="28.5" style="217" customWidth="1"/>
    <col min="257" max="268" width="9.12727272727273" style="217"/>
    <col min="269" max="269" width="10.6272727272727" style="217" customWidth="1"/>
    <col min="270" max="510" width="9.12727272727273" style="217"/>
    <col min="511" max="511" width="8" style="217" customWidth="1"/>
    <col min="512" max="512" width="28.5" style="217" customWidth="1"/>
    <col min="513" max="524" width="9.12727272727273" style="217"/>
    <col min="525" max="525" width="10.6272727272727" style="217" customWidth="1"/>
    <col min="526" max="766" width="9.12727272727273" style="217"/>
    <col min="767" max="767" width="8" style="217" customWidth="1"/>
    <col min="768" max="768" width="28.5" style="217" customWidth="1"/>
    <col min="769" max="780" width="9.12727272727273" style="217"/>
    <col min="781" max="781" width="10.6272727272727" style="217" customWidth="1"/>
    <col min="782" max="1022" width="9.12727272727273" style="217"/>
    <col min="1023" max="1023" width="8" style="217" customWidth="1"/>
    <col min="1024" max="1024" width="28.5" style="217" customWidth="1"/>
    <col min="1025" max="1036" width="9.12727272727273" style="217"/>
    <col min="1037" max="1037" width="10.6272727272727" style="217" customWidth="1"/>
    <col min="1038" max="1278" width="9.12727272727273" style="217"/>
    <col min="1279" max="1279" width="8" style="217" customWidth="1"/>
    <col min="1280" max="1280" width="28.5" style="217" customWidth="1"/>
    <col min="1281" max="1292" width="9.12727272727273" style="217"/>
    <col min="1293" max="1293" width="10.6272727272727" style="217" customWidth="1"/>
    <col min="1294" max="1534" width="9.12727272727273" style="217"/>
    <col min="1535" max="1535" width="8" style="217" customWidth="1"/>
    <col min="1536" max="1536" width="28.5" style="217" customWidth="1"/>
    <col min="1537" max="1548" width="9.12727272727273" style="217"/>
    <col min="1549" max="1549" width="10.6272727272727" style="217" customWidth="1"/>
    <col min="1550" max="1790" width="9.12727272727273" style="217"/>
    <col min="1791" max="1791" width="8" style="217" customWidth="1"/>
    <col min="1792" max="1792" width="28.5" style="217" customWidth="1"/>
    <col min="1793" max="1804" width="9.12727272727273" style="217"/>
    <col min="1805" max="1805" width="10.6272727272727" style="217" customWidth="1"/>
    <col min="1806" max="2046" width="9.12727272727273" style="217"/>
    <col min="2047" max="2047" width="8" style="217" customWidth="1"/>
    <col min="2048" max="2048" width="28.5" style="217" customWidth="1"/>
    <col min="2049" max="2060" width="9.12727272727273" style="217"/>
    <col min="2061" max="2061" width="10.6272727272727" style="217" customWidth="1"/>
    <col min="2062" max="2302" width="9.12727272727273" style="217"/>
    <col min="2303" max="2303" width="8" style="217" customWidth="1"/>
    <col min="2304" max="2304" width="28.5" style="217" customWidth="1"/>
    <col min="2305" max="2316" width="9.12727272727273" style="217"/>
    <col min="2317" max="2317" width="10.6272727272727" style="217" customWidth="1"/>
    <col min="2318" max="2558" width="9.12727272727273" style="217"/>
    <col min="2559" max="2559" width="8" style="217" customWidth="1"/>
    <col min="2560" max="2560" width="28.5" style="217" customWidth="1"/>
    <col min="2561" max="2572" width="9.12727272727273" style="217"/>
    <col min="2573" max="2573" width="10.6272727272727" style="217" customWidth="1"/>
    <col min="2574" max="2814" width="9.12727272727273" style="217"/>
    <col min="2815" max="2815" width="8" style="217" customWidth="1"/>
    <col min="2816" max="2816" width="28.5" style="217" customWidth="1"/>
    <col min="2817" max="2828" width="9.12727272727273" style="217"/>
    <col min="2829" max="2829" width="10.6272727272727" style="217" customWidth="1"/>
    <col min="2830" max="3070" width="9.12727272727273" style="217"/>
    <col min="3071" max="3071" width="8" style="217" customWidth="1"/>
    <col min="3072" max="3072" width="28.5" style="217" customWidth="1"/>
    <col min="3073" max="3084" width="9.12727272727273" style="217"/>
    <col min="3085" max="3085" width="10.6272727272727" style="217" customWidth="1"/>
    <col min="3086" max="3326" width="9.12727272727273" style="217"/>
    <col min="3327" max="3327" width="8" style="217" customWidth="1"/>
    <col min="3328" max="3328" width="28.5" style="217" customWidth="1"/>
    <col min="3329" max="3340" width="9.12727272727273" style="217"/>
    <col min="3341" max="3341" width="10.6272727272727" style="217" customWidth="1"/>
    <col min="3342" max="3582" width="9.12727272727273" style="217"/>
    <col min="3583" max="3583" width="8" style="217" customWidth="1"/>
    <col min="3584" max="3584" width="28.5" style="217" customWidth="1"/>
    <col min="3585" max="3596" width="9.12727272727273" style="217"/>
    <col min="3597" max="3597" width="10.6272727272727" style="217" customWidth="1"/>
    <col min="3598" max="3838" width="9.12727272727273" style="217"/>
    <col min="3839" max="3839" width="8" style="217" customWidth="1"/>
    <col min="3840" max="3840" width="28.5" style="217" customWidth="1"/>
    <col min="3841" max="3852" width="9.12727272727273" style="217"/>
    <col min="3853" max="3853" width="10.6272727272727" style="217" customWidth="1"/>
    <col min="3854" max="4094" width="9.12727272727273" style="217"/>
    <col min="4095" max="4095" width="8" style="217" customWidth="1"/>
    <col min="4096" max="4096" width="28.5" style="217" customWidth="1"/>
    <col min="4097" max="4108" width="9.12727272727273" style="217"/>
    <col min="4109" max="4109" width="10.6272727272727" style="217" customWidth="1"/>
    <col min="4110" max="4350" width="9.12727272727273" style="217"/>
    <col min="4351" max="4351" width="8" style="217" customWidth="1"/>
    <col min="4352" max="4352" width="28.5" style="217" customWidth="1"/>
    <col min="4353" max="4364" width="9.12727272727273" style="217"/>
    <col min="4365" max="4365" width="10.6272727272727" style="217" customWidth="1"/>
    <col min="4366" max="4606" width="9.12727272727273" style="217"/>
    <col min="4607" max="4607" width="8" style="217" customWidth="1"/>
    <col min="4608" max="4608" width="28.5" style="217" customWidth="1"/>
    <col min="4609" max="4620" width="9.12727272727273" style="217"/>
    <col min="4621" max="4621" width="10.6272727272727" style="217" customWidth="1"/>
    <col min="4622" max="4862" width="9.12727272727273" style="217"/>
    <col min="4863" max="4863" width="8" style="217" customWidth="1"/>
    <col min="4864" max="4864" width="28.5" style="217" customWidth="1"/>
    <col min="4865" max="4876" width="9.12727272727273" style="217"/>
    <col min="4877" max="4877" width="10.6272727272727" style="217" customWidth="1"/>
    <col min="4878" max="5118" width="9.12727272727273" style="217"/>
    <col min="5119" max="5119" width="8" style="217" customWidth="1"/>
    <col min="5120" max="5120" width="28.5" style="217" customWidth="1"/>
    <col min="5121" max="5132" width="9.12727272727273" style="217"/>
    <col min="5133" max="5133" width="10.6272727272727" style="217" customWidth="1"/>
    <col min="5134" max="5374" width="9.12727272727273" style="217"/>
    <col min="5375" max="5375" width="8" style="217" customWidth="1"/>
    <col min="5376" max="5376" width="28.5" style="217" customWidth="1"/>
    <col min="5377" max="5388" width="9.12727272727273" style="217"/>
    <col min="5389" max="5389" width="10.6272727272727" style="217" customWidth="1"/>
    <col min="5390" max="5630" width="9.12727272727273" style="217"/>
    <col min="5631" max="5631" width="8" style="217" customWidth="1"/>
    <col min="5632" max="5632" width="28.5" style="217" customWidth="1"/>
    <col min="5633" max="5644" width="9.12727272727273" style="217"/>
    <col min="5645" max="5645" width="10.6272727272727" style="217" customWidth="1"/>
    <col min="5646" max="5886" width="9.12727272727273" style="217"/>
    <col min="5887" max="5887" width="8" style="217" customWidth="1"/>
    <col min="5888" max="5888" width="28.5" style="217" customWidth="1"/>
    <col min="5889" max="5900" width="9.12727272727273" style="217"/>
    <col min="5901" max="5901" width="10.6272727272727" style="217" customWidth="1"/>
    <col min="5902" max="6142" width="9.12727272727273" style="217"/>
    <col min="6143" max="6143" width="8" style="217" customWidth="1"/>
    <col min="6144" max="6144" width="28.5" style="217" customWidth="1"/>
    <col min="6145" max="6156" width="9.12727272727273" style="217"/>
    <col min="6157" max="6157" width="10.6272727272727" style="217" customWidth="1"/>
    <col min="6158" max="6398" width="9.12727272727273" style="217"/>
    <col min="6399" max="6399" width="8" style="217" customWidth="1"/>
    <col min="6400" max="6400" width="28.5" style="217" customWidth="1"/>
    <col min="6401" max="6412" width="9.12727272727273" style="217"/>
    <col min="6413" max="6413" width="10.6272727272727" style="217" customWidth="1"/>
    <col min="6414" max="6654" width="9.12727272727273" style="217"/>
    <col min="6655" max="6655" width="8" style="217" customWidth="1"/>
    <col min="6656" max="6656" width="28.5" style="217" customWidth="1"/>
    <col min="6657" max="6668" width="9.12727272727273" style="217"/>
    <col min="6669" max="6669" width="10.6272727272727" style="217" customWidth="1"/>
    <col min="6670" max="6910" width="9.12727272727273" style="217"/>
    <col min="6911" max="6911" width="8" style="217" customWidth="1"/>
    <col min="6912" max="6912" width="28.5" style="217" customWidth="1"/>
    <col min="6913" max="6924" width="9.12727272727273" style="217"/>
    <col min="6925" max="6925" width="10.6272727272727" style="217" customWidth="1"/>
    <col min="6926" max="7166" width="9.12727272727273" style="217"/>
    <col min="7167" max="7167" width="8" style="217" customWidth="1"/>
    <col min="7168" max="7168" width="28.5" style="217" customWidth="1"/>
    <col min="7169" max="7180" width="9.12727272727273" style="217"/>
    <col min="7181" max="7181" width="10.6272727272727" style="217" customWidth="1"/>
    <col min="7182" max="7422" width="9.12727272727273" style="217"/>
    <col min="7423" max="7423" width="8" style="217" customWidth="1"/>
    <col min="7424" max="7424" width="28.5" style="217" customWidth="1"/>
    <col min="7425" max="7436" width="9.12727272727273" style="217"/>
    <col min="7437" max="7437" width="10.6272727272727" style="217" customWidth="1"/>
    <col min="7438" max="7678" width="9.12727272727273" style="217"/>
    <col min="7679" max="7679" width="8" style="217" customWidth="1"/>
    <col min="7680" max="7680" width="28.5" style="217" customWidth="1"/>
    <col min="7681" max="7692" width="9.12727272727273" style="217"/>
    <col min="7693" max="7693" width="10.6272727272727" style="217" customWidth="1"/>
    <col min="7694" max="7934" width="9.12727272727273" style="217"/>
    <col min="7935" max="7935" width="8" style="217" customWidth="1"/>
    <col min="7936" max="7936" width="28.5" style="217" customWidth="1"/>
    <col min="7937" max="7948" width="9.12727272727273" style="217"/>
    <col min="7949" max="7949" width="10.6272727272727" style="217" customWidth="1"/>
    <col min="7950" max="8190" width="9.12727272727273" style="217"/>
    <col min="8191" max="8191" width="8" style="217" customWidth="1"/>
    <col min="8192" max="8192" width="28.5" style="217" customWidth="1"/>
    <col min="8193" max="8204" width="9.12727272727273" style="217"/>
    <col min="8205" max="8205" width="10.6272727272727" style="217" customWidth="1"/>
    <col min="8206" max="8446" width="9.12727272727273" style="217"/>
    <col min="8447" max="8447" width="8" style="217" customWidth="1"/>
    <col min="8448" max="8448" width="28.5" style="217" customWidth="1"/>
    <col min="8449" max="8460" width="9.12727272727273" style="217"/>
    <col min="8461" max="8461" width="10.6272727272727" style="217" customWidth="1"/>
    <col min="8462" max="8702" width="9.12727272727273" style="217"/>
    <col min="8703" max="8703" width="8" style="217" customWidth="1"/>
    <col min="8704" max="8704" width="28.5" style="217" customWidth="1"/>
    <col min="8705" max="8716" width="9.12727272727273" style="217"/>
    <col min="8717" max="8717" width="10.6272727272727" style="217" customWidth="1"/>
    <col min="8718" max="8958" width="9.12727272727273" style="217"/>
    <col min="8959" max="8959" width="8" style="217" customWidth="1"/>
    <col min="8960" max="8960" width="28.5" style="217" customWidth="1"/>
    <col min="8961" max="8972" width="9.12727272727273" style="217"/>
    <col min="8973" max="8973" width="10.6272727272727" style="217" customWidth="1"/>
    <col min="8974" max="9214" width="9.12727272727273" style="217"/>
    <col min="9215" max="9215" width="8" style="217" customWidth="1"/>
    <col min="9216" max="9216" width="28.5" style="217" customWidth="1"/>
    <col min="9217" max="9228" width="9.12727272727273" style="217"/>
    <col min="9229" max="9229" width="10.6272727272727" style="217" customWidth="1"/>
    <col min="9230" max="9470" width="9.12727272727273" style="217"/>
    <col min="9471" max="9471" width="8" style="217" customWidth="1"/>
    <col min="9472" max="9472" width="28.5" style="217" customWidth="1"/>
    <col min="9473" max="9484" width="9.12727272727273" style="217"/>
    <col min="9485" max="9485" width="10.6272727272727" style="217" customWidth="1"/>
    <col min="9486" max="9726" width="9.12727272727273" style="217"/>
    <col min="9727" max="9727" width="8" style="217" customWidth="1"/>
    <col min="9728" max="9728" width="28.5" style="217" customWidth="1"/>
    <col min="9729" max="9740" width="9.12727272727273" style="217"/>
    <col min="9741" max="9741" width="10.6272727272727" style="217" customWidth="1"/>
    <col min="9742" max="9982" width="9.12727272727273" style="217"/>
    <col min="9983" max="9983" width="8" style="217" customWidth="1"/>
    <col min="9984" max="9984" width="28.5" style="217" customWidth="1"/>
    <col min="9985" max="9996" width="9.12727272727273" style="217"/>
    <col min="9997" max="9997" width="10.6272727272727" style="217" customWidth="1"/>
    <col min="9998" max="10238" width="9.12727272727273" style="217"/>
    <col min="10239" max="10239" width="8" style="217" customWidth="1"/>
    <col min="10240" max="10240" width="28.5" style="217" customWidth="1"/>
    <col min="10241" max="10252" width="9.12727272727273" style="217"/>
    <col min="10253" max="10253" width="10.6272727272727" style="217" customWidth="1"/>
    <col min="10254" max="10494" width="9.12727272727273" style="217"/>
    <col min="10495" max="10495" width="8" style="217" customWidth="1"/>
    <col min="10496" max="10496" width="28.5" style="217" customWidth="1"/>
    <col min="10497" max="10508" width="9.12727272727273" style="217"/>
    <col min="10509" max="10509" width="10.6272727272727" style="217" customWidth="1"/>
    <col min="10510" max="10750" width="9.12727272727273" style="217"/>
    <col min="10751" max="10751" width="8" style="217" customWidth="1"/>
    <col min="10752" max="10752" width="28.5" style="217" customWidth="1"/>
    <col min="10753" max="10764" width="9.12727272727273" style="217"/>
    <col min="10765" max="10765" width="10.6272727272727" style="217" customWidth="1"/>
    <col min="10766" max="11006" width="9.12727272727273" style="217"/>
    <col min="11007" max="11007" width="8" style="217" customWidth="1"/>
    <col min="11008" max="11008" width="28.5" style="217" customWidth="1"/>
    <col min="11009" max="11020" width="9.12727272727273" style="217"/>
    <col min="11021" max="11021" width="10.6272727272727" style="217" customWidth="1"/>
    <col min="11022" max="11262" width="9.12727272727273" style="217"/>
    <col min="11263" max="11263" width="8" style="217" customWidth="1"/>
    <col min="11264" max="11264" width="28.5" style="217" customWidth="1"/>
    <col min="11265" max="11276" width="9.12727272727273" style="217"/>
    <col min="11277" max="11277" width="10.6272727272727" style="217" customWidth="1"/>
    <col min="11278" max="11518" width="9.12727272727273" style="217"/>
    <col min="11519" max="11519" width="8" style="217" customWidth="1"/>
    <col min="11520" max="11520" width="28.5" style="217" customWidth="1"/>
    <col min="11521" max="11532" width="9.12727272727273" style="217"/>
    <col min="11533" max="11533" width="10.6272727272727" style="217" customWidth="1"/>
    <col min="11534" max="11774" width="9.12727272727273" style="217"/>
    <col min="11775" max="11775" width="8" style="217" customWidth="1"/>
    <col min="11776" max="11776" width="28.5" style="217" customWidth="1"/>
    <col min="11777" max="11788" width="9.12727272727273" style="217"/>
    <col min="11789" max="11789" width="10.6272727272727" style="217" customWidth="1"/>
    <col min="11790" max="12030" width="9.12727272727273" style="217"/>
    <col min="12031" max="12031" width="8" style="217" customWidth="1"/>
    <col min="12032" max="12032" width="28.5" style="217" customWidth="1"/>
    <col min="12033" max="12044" width="9.12727272727273" style="217"/>
    <col min="12045" max="12045" width="10.6272727272727" style="217" customWidth="1"/>
    <col min="12046" max="12286" width="9.12727272727273" style="217"/>
    <col min="12287" max="12287" width="8" style="217" customWidth="1"/>
    <col min="12288" max="12288" width="28.5" style="217" customWidth="1"/>
    <col min="12289" max="12300" width="9.12727272727273" style="217"/>
    <col min="12301" max="12301" width="10.6272727272727" style="217" customWidth="1"/>
    <col min="12302" max="12542" width="9.12727272727273" style="217"/>
    <col min="12543" max="12543" width="8" style="217" customWidth="1"/>
    <col min="12544" max="12544" width="28.5" style="217" customWidth="1"/>
    <col min="12545" max="12556" width="9.12727272727273" style="217"/>
    <col min="12557" max="12557" width="10.6272727272727" style="217" customWidth="1"/>
    <col min="12558" max="12798" width="9.12727272727273" style="217"/>
    <col min="12799" max="12799" width="8" style="217" customWidth="1"/>
    <col min="12800" max="12800" width="28.5" style="217" customWidth="1"/>
    <col min="12801" max="12812" width="9.12727272727273" style="217"/>
    <col min="12813" max="12813" width="10.6272727272727" style="217" customWidth="1"/>
    <col min="12814" max="13054" width="9.12727272727273" style="217"/>
    <col min="13055" max="13055" width="8" style="217" customWidth="1"/>
    <col min="13056" max="13056" width="28.5" style="217" customWidth="1"/>
    <col min="13057" max="13068" width="9.12727272727273" style="217"/>
    <col min="13069" max="13069" width="10.6272727272727" style="217" customWidth="1"/>
    <col min="13070" max="13310" width="9.12727272727273" style="217"/>
    <col min="13311" max="13311" width="8" style="217" customWidth="1"/>
    <col min="13312" max="13312" width="28.5" style="217" customWidth="1"/>
    <col min="13313" max="13324" width="9.12727272727273" style="217"/>
    <col min="13325" max="13325" width="10.6272727272727" style="217" customWidth="1"/>
    <col min="13326" max="13566" width="9.12727272727273" style="217"/>
    <col min="13567" max="13567" width="8" style="217" customWidth="1"/>
    <col min="13568" max="13568" width="28.5" style="217" customWidth="1"/>
    <col min="13569" max="13580" width="9.12727272727273" style="217"/>
    <col min="13581" max="13581" width="10.6272727272727" style="217" customWidth="1"/>
    <col min="13582" max="13822" width="9.12727272727273" style="217"/>
    <col min="13823" max="13823" width="8" style="217" customWidth="1"/>
    <col min="13824" max="13824" width="28.5" style="217" customWidth="1"/>
    <col min="13825" max="13836" width="9.12727272727273" style="217"/>
    <col min="13837" max="13837" width="10.6272727272727" style="217" customWidth="1"/>
    <col min="13838" max="14078" width="9.12727272727273" style="217"/>
    <col min="14079" max="14079" width="8" style="217" customWidth="1"/>
    <col min="14080" max="14080" width="28.5" style="217" customWidth="1"/>
    <col min="14081" max="14092" width="9.12727272727273" style="217"/>
    <col min="14093" max="14093" width="10.6272727272727" style="217" customWidth="1"/>
    <col min="14094" max="14334" width="9.12727272727273" style="217"/>
    <col min="14335" max="14335" width="8" style="217" customWidth="1"/>
    <col min="14336" max="14336" width="28.5" style="217" customWidth="1"/>
    <col min="14337" max="14348" width="9.12727272727273" style="217"/>
    <col min="14349" max="14349" width="10.6272727272727" style="217" customWidth="1"/>
    <col min="14350" max="14590" width="9.12727272727273" style="217"/>
    <col min="14591" max="14591" width="8" style="217" customWidth="1"/>
    <col min="14592" max="14592" width="28.5" style="217" customWidth="1"/>
    <col min="14593" max="14604" width="9.12727272727273" style="217"/>
    <col min="14605" max="14605" width="10.6272727272727" style="217" customWidth="1"/>
    <col min="14606" max="14846" width="9.12727272727273" style="217"/>
    <col min="14847" max="14847" width="8" style="217" customWidth="1"/>
    <col min="14848" max="14848" width="28.5" style="217" customWidth="1"/>
    <col min="14849" max="14860" width="9.12727272727273" style="217"/>
    <col min="14861" max="14861" width="10.6272727272727" style="217" customWidth="1"/>
    <col min="14862" max="15102" width="9.12727272727273" style="217"/>
    <col min="15103" max="15103" width="8" style="217" customWidth="1"/>
    <col min="15104" max="15104" width="28.5" style="217" customWidth="1"/>
    <col min="15105" max="15116" width="9.12727272727273" style="217"/>
    <col min="15117" max="15117" width="10.6272727272727" style="217" customWidth="1"/>
    <col min="15118" max="15358" width="9.12727272727273" style="217"/>
    <col min="15359" max="15359" width="8" style="217" customWidth="1"/>
    <col min="15360" max="15360" width="28.5" style="217" customWidth="1"/>
    <col min="15361" max="15372" width="9.12727272727273" style="217"/>
    <col min="15373" max="15373" width="10.6272727272727" style="217" customWidth="1"/>
    <col min="15374" max="15614" width="9.12727272727273" style="217"/>
    <col min="15615" max="15615" width="8" style="217" customWidth="1"/>
    <col min="15616" max="15616" width="28.5" style="217" customWidth="1"/>
    <col min="15617" max="15628" width="9.12727272727273" style="217"/>
    <col min="15629" max="15629" width="10.6272727272727" style="217" customWidth="1"/>
    <col min="15630" max="15870" width="9.12727272727273" style="217"/>
    <col min="15871" max="15871" width="8" style="217" customWidth="1"/>
    <col min="15872" max="15872" width="28.5" style="217" customWidth="1"/>
    <col min="15873" max="15884" width="9.12727272727273" style="217"/>
    <col min="15885" max="15885" width="10.6272727272727" style="217" customWidth="1"/>
    <col min="15886" max="16126" width="9.12727272727273" style="217"/>
    <col min="16127" max="16127" width="8" style="217" customWidth="1"/>
    <col min="16128" max="16128" width="28.5" style="217" customWidth="1"/>
    <col min="16129" max="16140" width="9.12727272727273" style="217"/>
    <col min="16141" max="16141" width="10.6272727272727" style="217" customWidth="1"/>
    <col min="16142" max="16384" width="9.12727272727273" style="217"/>
  </cols>
  <sheetData>
    <row r="1" ht="17.5" spans="1:13">
      <c r="A1" s="218" t="s">
        <v>19</v>
      </c>
      <c r="B1" s="219"/>
      <c r="C1" s="220"/>
      <c r="D1" s="220"/>
      <c r="E1" s="219"/>
      <c r="F1" s="220"/>
      <c r="G1" s="220"/>
      <c r="H1" s="219"/>
      <c r="I1" s="220"/>
      <c r="J1" s="220"/>
      <c r="K1" s="220"/>
      <c r="L1" s="220"/>
      <c r="M1" s="220"/>
    </row>
    <row r="2" ht="14" spans="1:2">
      <c r="A2" s="217" t="s">
        <v>20</v>
      </c>
      <c r="B2" s="221"/>
    </row>
    <row r="3" ht="16.9" customHeight="1" spans="1:13">
      <c r="A3" s="222" t="s">
        <v>21</v>
      </c>
      <c r="B3" s="222" t="s">
        <v>22</v>
      </c>
      <c r="C3" s="223" t="s">
        <v>23</v>
      </c>
      <c r="D3" s="223"/>
      <c r="E3" s="223"/>
      <c r="F3" s="224"/>
      <c r="G3" s="225"/>
      <c r="H3" s="226"/>
      <c r="I3" s="226"/>
      <c r="J3" s="226" t="s">
        <v>24</v>
      </c>
      <c r="K3" s="226"/>
      <c r="L3" s="226"/>
      <c r="M3" s="247"/>
    </row>
    <row r="4" ht="16.15" customHeight="1" spans="1:13">
      <c r="A4" s="227"/>
      <c r="B4" s="227" t="s">
        <v>25</v>
      </c>
      <c r="C4" s="223">
        <v>2017</v>
      </c>
      <c r="D4" s="223">
        <f t="shared" ref="D4:L4" si="0">C4+1</f>
        <v>2018</v>
      </c>
      <c r="E4" s="223">
        <f t="shared" si="0"/>
        <v>2019</v>
      </c>
      <c r="F4" s="223">
        <f t="shared" si="0"/>
        <v>2020</v>
      </c>
      <c r="G4" s="223">
        <f t="shared" si="0"/>
        <v>2021</v>
      </c>
      <c r="H4" s="228">
        <f t="shared" si="0"/>
        <v>2022</v>
      </c>
      <c r="I4" s="228">
        <f t="shared" si="0"/>
        <v>2023</v>
      </c>
      <c r="J4" s="228">
        <f t="shared" si="0"/>
        <v>2024</v>
      </c>
      <c r="K4" s="228">
        <f t="shared" si="0"/>
        <v>2025</v>
      </c>
      <c r="L4" s="228">
        <f t="shared" si="0"/>
        <v>2026</v>
      </c>
      <c r="M4" s="248" t="s">
        <v>26</v>
      </c>
    </row>
    <row r="5" ht="15.6" customHeight="1" spans="1:13">
      <c r="A5" s="229">
        <v>1</v>
      </c>
      <c r="B5" s="230" t="s">
        <v>27</v>
      </c>
      <c r="C5" s="231">
        <f>SUM(C6:C9)</f>
        <v>0</v>
      </c>
      <c r="D5" s="231">
        <f t="shared" ref="D5:L5" si="1">SUM(D6:D9)</f>
        <v>0</v>
      </c>
      <c r="E5" s="231" t="e">
        <f t="shared" si="1"/>
        <v>#REF!</v>
      </c>
      <c r="F5" s="231" t="e">
        <f t="shared" si="1"/>
        <v>#REF!</v>
      </c>
      <c r="G5" s="231" t="e">
        <f t="shared" si="1"/>
        <v>#REF!</v>
      </c>
      <c r="H5" s="231" t="e">
        <f t="shared" si="1"/>
        <v>#REF!</v>
      </c>
      <c r="I5" s="231" t="e">
        <f t="shared" si="1"/>
        <v>#REF!</v>
      </c>
      <c r="J5" s="231" t="e">
        <f t="shared" si="1"/>
        <v>#REF!</v>
      </c>
      <c r="K5" s="231" t="e">
        <f t="shared" si="1"/>
        <v>#REF!</v>
      </c>
      <c r="L5" s="231" t="e">
        <f t="shared" si="1"/>
        <v>#REF!</v>
      </c>
      <c r="M5" s="235" t="e">
        <f t="shared" ref="M5:M17" si="2">SUM(C5:L5)</f>
        <v>#REF!</v>
      </c>
    </row>
    <row r="6" ht="15.6" customHeight="1" spans="1:13">
      <c r="A6" s="229">
        <v>1.1</v>
      </c>
      <c r="B6" s="232" t="s">
        <v>28</v>
      </c>
      <c r="C6" s="233"/>
      <c r="D6" s="233"/>
      <c r="E6" s="233" t="e">
        <f>#REF!</f>
        <v>#REF!</v>
      </c>
      <c r="F6" s="233" t="e">
        <f>#REF!</f>
        <v>#REF!</v>
      </c>
      <c r="G6" s="233" t="e">
        <f>#REF!</f>
        <v>#REF!</v>
      </c>
      <c r="H6" s="233" t="e">
        <f>#REF!</f>
        <v>#REF!</v>
      </c>
      <c r="I6" s="233" t="e">
        <f>#REF!</f>
        <v>#REF!</v>
      </c>
      <c r="J6" s="233" t="e">
        <f>#REF!</f>
        <v>#REF!</v>
      </c>
      <c r="K6" s="233" t="e">
        <f>#REF!</f>
        <v>#REF!</v>
      </c>
      <c r="L6" s="233" t="e">
        <f>#REF!</f>
        <v>#REF!</v>
      </c>
      <c r="M6" s="235" t="e">
        <f t="shared" si="2"/>
        <v>#REF!</v>
      </c>
    </row>
    <row r="7" ht="15.6" customHeight="1" spans="1:13">
      <c r="A7" s="229">
        <v>1.2</v>
      </c>
      <c r="B7" s="232" t="s">
        <v>29</v>
      </c>
      <c r="C7" s="233"/>
      <c r="D7" s="233"/>
      <c r="E7" s="233">
        <f>[1]折、摊!G18</f>
        <v>0</v>
      </c>
      <c r="F7" s="233">
        <f>[1]折、摊!H18</f>
        <v>0</v>
      </c>
      <c r="G7" s="233">
        <f>[1]折、摊!I18</f>
        <v>0</v>
      </c>
      <c r="H7" s="233">
        <f>[1]折、摊!J18</f>
        <v>0</v>
      </c>
      <c r="I7" s="233">
        <f>[1]折、摊!K18</f>
        <v>0</v>
      </c>
      <c r="J7" s="233">
        <f>[1]折、摊!L18</f>
        <v>0</v>
      </c>
      <c r="K7" s="233">
        <f>[1]折、摊!M18</f>
        <v>0</v>
      </c>
      <c r="L7" s="233">
        <f>[1]折、摊!N18</f>
        <v>0</v>
      </c>
      <c r="M7" s="235">
        <f t="shared" si="2"/>
        <v>0</v>
      </c>
    </row>
    <row r="8" ht="15.6" customHeight="1" spans="1:13">
      <c r="A8" s="229">
        <v>1.3</v>
      </c>
      <c r="B8" s="232" t="s">
        <v>30</v>
      </c>
      <c r="C8" s="233" t="s">
        <v>31</v>
      </c>
      <c r="D8" s="233" t="s">
        <v>31</v>
      </c>
      <c r="E8" s="233" t="s">
        <v>31</v>
      </c>
      <c r="F8" s="233" t="s">
        <v>31</v>
      </c>
      <c r="G8" s="233" t="s">
        <v>31</v>
      </c>
      <c r="H8" s="233" t="s">
        <v>31</v>
      </c>
      <c r="I8" s="233" t="s">
        <v>31</v>
      </c>
      <c r="J8" s="233" t="s">
        <v>31</v>
      </c>
      <c r="K8" s="233" t="s">
        <v>31</v>
      </c>
      <c r="L8" s="233"/>
      <c r="M8" s="235">
        <f t="shared" si="2"/>
        <v>0</v>
      </c>
    </row>
    <row r="9" s="216" customFormat="1" ht="15.6" customHeight="1" spans="1:13">
      <c r="A9" s="234">
        <v>1.4</v>
      </c>
      <c r="B9" s="235" t="s">
        <v>32</v>
      </c>
      <c r="C9" s="233" t="s">
        <v>31</v>
      </c>
      <c r="D9" s="233" t="s">
        <v>31</v>
      </c>
      <c r="E9" s="233" t="s">
        <v>31</v>
      </c>
      <c r="F9" s="233" t="s">
        <v>31</v>
      </c>
      <c r="G9" s="233" t="s">
        <v>31</v>
      </c>
      <c r="H9" s="233" t="s">
        <v>31</v>
      </c>
      <c r="I9" s="233" t="s">
        <v>31</v>
      </c>
      <c r="J9" s="233" t="s">
        <v>31</v>
      </c>
      <c r="K9" s="233" t="s">
        <v>31</v>
      </c>
      <c r="L9" s="233" t="s">
        <v>31</v>
      </c>
      <c r="M9" s="235">
        <f t="shared" si="2"/>
        <v>0</v>
      </c>
    </row>
    <row r="10" ht="15.6" customHeight="1" spans="1:13">
      <c r="A10" s="234">
        <v>2</v>
      </c>
      <c r="B10" s="230" t="s">
        <v>33</v>
      </c>
      <c r="C10" s="231">
        <f t="shared" ref="C10:L10" si="3">SUM(C11:C16)</f>
        <v>0</v>
      </c>
      <c r="D10" s="231">
        <f t="shared" si="3"/>
        <v>0</v>
      </c>
      <c r="E10" s="231">
        <f t="shared" si="3"/>
        <v>0</v>
      </c>
      <c r="F10" s="231">
        <f t="shared" si="3"/>
        <v>0</v>
      </c>
      <c r="G10" s="231">
        <f t="shared" si="3"/>
        <v>0</v>
      </c>
      <c r="H10" s="231">
        <f t="shared" si="3"/>
        <v>0</v>
      </c>
      <c r="I10" s="231">
        <f t="shared" si="3"/>
        <v>0</v>
      </c>
      <c r="J10" s="231">
        <f t="shared" si="3"/>
        <v>0</v>
      </c>
      <c r="K10" s="231">
        <f t="shared" si="3"/>
        <v>0</v>
      </c>
      <c r="L10" s="231">
        <f t="shared" si="3"/>
        <v>0</v>
      </c>
      <c r="M10" s="235">
        <f t="shared" si="2"/>
        <v>0</v>
      </c>
    </row>
    <row r="11" ht="15" customHeight="1" spans="1:13">
      <c r="A11" s="229">
        <v>2.1</v>
      </c>
      <c r="B11" s="229" t="s">
        <v>34</v>
      </c>
      <c r="C11" s="233">
        <f>([1]计划!C6-[1]计划!C7)</f>
        <v>0</v>
      </c>
      <c r="D11" s="233">
        <f>([1]计划!D6-[1]计划!D7)</f>
        <v>0</v>
      </c>
      <c r="E11" s="233">
        <f>([1]计划!E6-[1]计划!E7)</f>
        <v>0</v>
      </c>
      <c r="F11" s="233">
        <f>([1]计划!F6-[1]计划!F7)</f>
        <v>0</v>
      </c>
      <c r="G11" s="233">
        <f>([1]计划!G6-[1]计划!G7)</f>
        <v>0</v>
      </c>
      <c r="H11" s="233">
        <f>([1]计划!H6-[1]计划!H7)</f>
        <v>0</v>
      </c>
      <c r="I11" s="233">
        <f>([1]计划!I6-[1]计划!I7)</f>
        <v>0</v>
      </c>
      <c r="J11" s="233">
        <f>([1]计划!J6-[1]计划!J7)</f>
        <v>0</v>
      </c>
      <c r="K11" s="233">
        <f>([1]计划!K6-[1]计划!K7)</f>
        <v>0</v>
      </c>
      <c r="L11" s="233">
        <f>([1]计划!L6-[1]计划!L7)</f>
        <v>0</v>
      </c>
      <c r="M11" s="235">
        <f t="shared" si="2"/>
        <v>0</v>
      </c>
    </row>
    <row r="12" s="216" customFormat="1" ht="15" customHeight="1" spans="1:13">
      <c r="A12" s="229">
        <v>2.2</v>
      </c>
      <c r="B12" s="235" t="s">
        <v>35</v>
      </c>
      <c r="C12" s="233">
        <f>[1]计划!C8</f>
        <v>0</v>
      </c>
      <c r="D12" s="233">
        <f>[1]计划!D8</f>
        <v>0</v>
      </c>
      <c r="E12" s="233">
        <f>[1]计划!E8</f>
        <v>0</v>
      </c>
      <c r="F12" s="233">
        <f>[1]计划!F8</f>
        <v>0</v>
      </c>
      <c r="G12" s="233">
        <f>[1]计划!G8</f>
        <v>0</v>
      </c>
      <c r="H12" s="233">
        <f>[1]计划!H8</f>
        <v>0</v>
      </c>
      <c r="I12" s="233">
        <f>[1]计划!I8</f>
        <v>0</v>
      </c>
      <c r="J12" s="233">
        <f>[1]计划!J8</f>
        <v>0</v>
      </c>
      <c r="K12" s="233">
        <f>[1]计划!K8</f>
        <v>0</v>
      </c>
      <c r="L12" s="233">
        <f>[1]计划!L8</f>
        <v>0</v>
      </c>
      <c r="M12" s="235">
        <f t="shared" si="2"/>
        <v>0</v>
      </c>
    </row>
    <row r="13" ht="15" customHeight="1" spans="1:13">
      <c r="A13" s="229">
        <v>2.3</v>
      </c>
      <c r="B13" s="232" t="s">
        <v>36</v>
      </c>
      <c r="C13" s="233">
        <f>[1]总成本!C22</f>
        <v>0</v>
      </c>
      <c r="D13" s="233">
        <f>[1]总成本!D22</f>
        <v>0</v>
      </c>
      <c r="E13" s="233">
        <f>[1]总成本!E22</f>
        <v>0</v>
      </c>
      <c r="F13" s="233">
        <f>[1]总成本!F22</f>
        <v>0</v>
      </c>
      <c r="G13" s="233">
        <f>[1]总成本!G22</f>
        <v>0</v>
      </c>
      <c r="H13" s="233">
        <f>[1]总成本!H22</f>
        <v>0</v>
      </c>
      <c r="I13" s="233">
        <f>[1]总成本!I22</f>
        <v>0</v>
      </c>
      <c r="J13" s="233">
        <f>[1]总成本!J22</f>
        <v>0</v>
      </c>
      <c r="K13" s="233">
        <f>[1]总成本!K22</f>
        <v>0</v>
      </c>
      <c r="L13" s="233">
        <f>[1]总成本!L22</f>
        <v>0</v>
      </c>
      <c r="M13" s="235">
        <f t="shared" si="2"/>
        <v>0</v>
      </c>
    </row>
    <row r="14" ht="15" customHeight="1" spans="1:13">
      <c r="A14" s="229">
        <v>2.4</v>
      </c>
      <c r="B14" s="232" t="s">
        <v>37</v>
      </c>
      <c r="C14" s="233">
        <f>[1]价格!D15</f>
        <v>0</v>
      </c>
      <c r="D14" s="233">
        <f>[1]价格!E15</f>
        <v>0</v>
      </c>
      <c r="E14" s="233">
        <f>[1]价格!F15</f>
        <v>0</v>
      </c>
      <c r="F14" s="233">
        <f>[1]价格!G15</f>
        <v>0</v>
      </c>
      <c r="G14" s="233">
        <f>[1]价格!H15</f>
        <v>0</v>
      </c>
      <c r="H14" s="233">
        <f>[1]价格!I15</f>
        <v>0</v>
      </c>
      <c r="I14" s="233">
        <f>[1]价格!J15</f>
        <v>0</v>
      </c>
      <c r="J14" s="233">
        <f>[1]价格!K15</f>
        <v>0</v>
      </c>
      <c r="K14" s="233">
        <f>[1]价格!L15</f>
        <v>0</v>
      </c>
      <c r="L14" s="233">
        <f>[1]价格!M15</f>
        <v>0</v>
      </c>
      <c r="M14" s="235">
        <f t="shared" si="2"/>
        <v>0</v>
      </c>
    </row>
    <row r="15" ht="15" customHeight="1" spans="1:13">
      <c r="A15" s="229">
        <v>2.5</v>
      </c>
      <c r="B15" s="232" t="s">
        <v>38</v>
      </c>
      <c r="C15" s="233">
        <f>[1]利润!C13</f>
        <v>0</v>
      </c>
      <c r="D15" s="233">
        <f>[1]利润!D13</f>
        <v>0</v>
      </c>
      <c r="E15" s="233">
        <f>[1]利润!E13</f>
        <v>0</v>
      </c>
      <c r="F15" s="233">
        <f>[1]利润!F13</f>
        <v>0</v>
      </c>
      <c r="G15" s="233">
        <f>[1]利润!G13</f>
        <v>0</v>
      </c>
      <c r="H15" s="233">
        <f>[1]利润!H13</f>
        <v>0</v>
      </c>
      <c r="I15" s="233">
        <f>[1]利润!I13</f>
        <v>0</v>
      </c>
      <c r="J15" s="233">
        <f>[1]利润!J13</f>
        <v>0</v>
      </c>
      <c r="K15" s="233">
        <f>[1]利润!K13</f>
        <v>0</v>
      </c>
      <c r="L15" s="233">
        <f>[1]利润!L13</f>
        <v>0</v>
      </c>
      <c r="M15" s="235">
        <f t="shared" si="2"/>
        <v>0</v>
      </c>
    </row>
    <row r="16" ht="15" customHeight="1" spans="1:13">
      <c r="A16" s="229">
        <v>2.6</v>
      </c>
      <c r="B16" s="232" t="s">
        <v>39</v>
      </c>
      <c r="C16" s="233"/>
      <c r="D16" s="233"/>
      <c r="E16" s="233"/>
      <c r="F16" s="233"/>
      <c r="G16" s="233"/>
      <c r="H16" s="233"/>
      <c r="I16" s="233"/>
      <c r="J16" s="233"/>
      <c r="K16" s="233"/>
      <c r="L16" s="233"/>
      <c r="M16" s="235">
        <f t="shared" si="2"/>
        <v>0</v>
      </c>
    </row>
    <row r="17" ht="14" spans="1:13">
      <c r="A17" s="229">
        <v>3</v>
      </c>
      <c r="B17" s="230" t="s">
        <v>40</v>
      </c>
      <c r="C17" s="231">
        <f t="shared" ref="C17:L17" si="4">C5-C10</f>
        <v>0</v>
      </c>
      <c r="D17" s="231">
        <f t="shared" si="4"/>
        <v>0</v>
      </c>
      <c r="E17" s="231" t="e">
        <f t="shared" si="4"/>
        <v>#REF!</v>
      </c>
      <c r="F17" s="231" t="e">
        <f t="shared" si="4"/>
        <v>#REF!</v>
      </c>
      <c r="G17" s="231" t="e">
        <f t="shared" si="4"/>
        <v>#REF!</v>
      </c>
      <c r="H17" s="231" t="e">
        <f t="shared" si="4"/>
        <v>#REF!</v>
      </c>
      <c r="I17" s="231" t="e">
        <f t="shared" si="4"/>
        <v>#REF!</v>
      </c>
      <c r="J17" s="231" t="e">
        <f t="shared" si="4"/>
        <v>#REF!</v>
      </c>
      <c r="K17" s="231" t="e">
        <f t="shared" si="4"/>
        <v>#REF!</v>
      </c>
      <c r="L17" s="231" t="e">
        <f t="shared" si="4"/>
        <v>#REF!</v>
      </c>
      <c r="M17" s="235" t="e">
        <f t="shared" si="2"/>
        <v>#REF!</v>
      </c>
    </row>
    <row r="18" ht="14" spans="1:13">
      <c r="A18" s="236">
        <v>4</v>
      </c>
      <c r="B18" s="232" t="s">
        <v>41</v>
      </c>
      <c r="C18" s="233">
        <f>C17</f>
        <v>0</v>
      </c>
      <c r="D18" s="233">
        <f t="shared" ref="D18:L18" si="5">C18+D17</f>
        <v>0</v>
      </c>
      <c r="E18" s="233" t="e">
        <f t="shared" si="5"/>
        <v>#REF!</v>
      </c>
      <c r="F18" s="233" t="e">
        <f t="shared" si="5"/>
        <v>#REF!</v>
      </c>
      <c r="G18" s="233" t="e">
        <f t="shared" si="5"/>
        <v>#REF!</v>
      </c>
      <c r="H18" s="233" t="e">
        <f t="shared" si="5"/>
        <v>#REF!</v>
      </c>
      <c r="I18" s="233" t="e">
        <f t="shared" si="5"/>
        <v>#REF!</v>
      </c>
      <c r="J18" s="233" t="e">
        <f t="shared" si="5"/>
        <v>#REF!</v>
      </c>
      <c r="K18" s="233" t="e">
        <f t="shared" si="5"/>
        <v>#REF!</v>
      </c>
      <c r="L18" s="233" t="e">
        <f t="shared" si="5"/>
        <v>#REF!</v>
      </c>
      <c r="M18" s="232" t="s">
        <v>31</v>
      </c>
    </row>
    <row r="19" s="216" customFormat="1" ht="13" spans="1:13">
      <c r="A19" s="236">
        <v>5</v>
      </c>
      <c r="B19" s="232" t="s">
        <v>42</v>
      </c>
      <c r="C19" s="233">
        <f t="shared" ref="C19:L19" si="6">C17+C15</f>
        <v>0</v>
      </c>
      <c r="D19" s="233">
        <f t="shared" si="6"/>
        <v>0</v>
      </c>
      <c r="E19" s="233" t="e">
        <f t="shared" si="6"/>
        <v>#REF!</v>
      </c>
      <c r="F19" s="233" t="e">
        <f t="shared" si="6"/>
        <v>#REF!</v>
      </c>
      <c r="G19" s="233" t="e">
        <f t="shared" si="6"/>
        <v>#REF!</v>
      </c>
      <c r="H19" s="233" t="e">
        <f t="shared" si="6"/>
        <v>#REF!</v>
      </c>
      <c r="I19" s="233" t="e">
        <f t="shared" si="6"/>
        <v>#REF!</v>
      </c>
      <c r="J19" s="233" t="e">
        <f t="shared" si="6"/>
        <v>#REF!</v>
      </c>
      <c r="K19" s="233" t="e">
        <f t="shared" si="6"/>
        <v>#REF!</v>
      </c>
      <c r="L19" s="233" t="e">
        <f t="shared" si="6"/>
        <v>#REF!</v>
      </c>
      <c r="M19" s="235" t="e">
        <f>SUM(C19:L19)</f>
        <v>#REF!</v>
      </c>
    </row>
    <row r="20" s="216" customFormat="1" ht="13" spans="1:13">
      <c r="A20" s="229">
        <v>6</v>
      </c>
      <c r="B20" s="232" t="s">
        <v>43</v>
      </c>
      <c r="C20" s="233">
        <f>C19</f>
        <v>0</v>
      </c>
      <c r="D20" s="233">
        <f t="shared" ref="D20:L20" si="7">C20+D19</f>
        <v>0</v>
      </c>
      <c r="E20" s="233" t="e">
        <f t="shared" si="7"/>
        <v>#REF!</v>
      </c>
      <c r="F20" s="233" t="e">
        <f t="shared" si="7"/>
        <v>#REF!</v>
      </c>
      <c r="G20" s="233" t="e">
        <f t="shared" si="7"/>
        <v>#REF!</v>
      </c>
      <c r="H20" s="233" t="e">
        <f t="shared" si="7"/>
        <v>#REF!</v>
      </c>
      <c r="I20" s="233" t="e">
        <f t="shared" si="7"/>
        <v>#REF!</v>
      </c>
      <c r="J20" s="233" t="e">
        <f t="shared" si="7"/>
        <v>#REF!</v>
      </c>
      <c r="K20" s="233" t="e">
        <f t="shared" si="7"/>
        <v>#REF!</v>
      </c>
      <c r="L20" s="233" t="e">
        <f t="shared" si="7"/>
        <v>#REF!</v>
      </c>
      <c r="M20" s="232" t="s">
        <v>31</v>
      </c>
    </row>
    <row r="21" ht="14" spans="1:13">
      <c r="A21" s="237"/>
      <c r="B21" s="238" t="s">
        <v>44</v>
      </c>
      <c r="C21" s="238"/>
      <c r="D21" s="238"/>
      <c r="E21" s="238" t="s">
        <v>45</v>
      </c>
      <c r="F21" s="238"/>
      <c r="G21" s="238"/>
      <c r="H21" s="238"/>
      <c r="I21" s="238" t="s">
        <v>46</v>
      </c>
      <c r="J21" s="238"/>
      <c r="K21" s="238"/>
      <c r="L21" s="238"/>
      <c r="M21" s="249"/>
    </row>
    <row r="22" ht="14" spans="1:13">
      <c r="A22" s="239"/>
      <c r="B22" s="240" t="s">
        <v>47</v>
      </c>
      <c r="C22" s="240"/>
      <c r="D22" s="241" t="s">
        <v>48</v>
      </c>
      <c r="E22" s="242" t="e">
        <f>IRR(C17:L17,0.15)</f>
        <v>#VALUE!</v>
      </c>
      <c r="F22" s="240"/>
      <c r="G22" s="240"/>
      <c r="H22" s="240"/>
      <c r="I22" s="242" t="e">
        <f>IRR(C19:L19,0.15)</f>
        <v>#VALUE!</v>
      </c>
      <c r="J22" s="240"/>
      <c r="K22" s="240"/>
      <c r="L22" s="240"/>
      <c r="M22" s="250"/>
    </row>
    <row r="23" ht="14" spans="1:18">
      <c r="A23" s="239"/>
      <c r="B23" s="240" t="s">
        <v>49</v>
      </c>
      <c r="C23" s="240"/>
      <c r="D23" s="240"/>
      <c r="E23" s="243" t="e">
        <f>NPV(0.12,C17:L17)</f>
        <v>#REF!</v>
      </c>
      <c r="F23" s="240"/>
      <c r="G23" s="240"/>
      <c r="H23" s="240"/>
      <c r="I23" s="243" t="e">
        <f>NPV(0.12,C19:L19)</f>
        <v>#REF!</v>
      </c>
      <c r="J23" s="240"/>
      <c r="K23" s="240"/>
      <c r="L23" s="240"/>
      <c r="M23" s="250"/>
      <c r="R23" s="217">
        <f>30.9-29.82</f>
        <v>1.08</v>
      </c>
    </row>
    <row r="24" ht="14" spans="1:13">
      <c r="A24" s="244"/>
      <c r="B24" s="245" t="s">
        <v>50</v>
      </c>
      <c r="C24" s="245"/>
      <c r="D24" s="245"/>
      <c r="E24" s="246" t="e">
        <f>6-H18/I17</f>
        <v>#REF!</v>
      </c>
      <c r="F24" s="245"/>
      <c r="G24" s="245"/>
      <c r="H24" s="245"/>
      <c r="I24" s="246" t="e">
        <f>6-H20/I19</f>
        <v>#REF!</v>
      </c>
      <c r="J24" s="245"/>
      <c r="K24" s="245"/>
      <c r="L24" s="245"/>
      <c r="M24" s="251"/>
    </row>
  </sheetData>
  <mergeCells count="1">
    <mergeCell ref="C3:E3"/>
  </mergeCells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3"/>
  <sheetViews>
    <sheetView tabSelected="1" workbookViewId="0">
      <pane xSplit="2" ySplit="4" topLeftCell="C8" activePane="bottomRight" state="frozen"/>
      <selection/>
      <selection pane="topRight"/>
      <selection pane="bottomLeft"/>
      <selection pane="bottomRight" activeCell="K18" sqref="K18"/>
    </sheetView>
  </sheetViews>
  <sheetFormatPr defaultColWidth="9" defaultRowHeight="14.5"/>
  <cols>
    <col min="1" max="1" width="5.12727272727273" style="185" customWidth="1"/>
    <col min="2" max="2" width="32.6272727272727" style="185" customWidth="1"/>
    <col min="3" max="3" width="15.7272727272727" style="185" customWidth="1"/>
    <col min="4" max="4" width="14.5" style="186" customWidth="1"/>
    <col min="5" max="9" width="14.7545454545455" style="186" customWidth="1"/>
    <col min="10" max="10" width="16.5" style="186" customWidth="1"/>
    <col min="11" max="11" width="15.5" style="185" customWidth="1"/>
    <col min="12" max="37" width="9" style="185"/>
    <col min="38" max="38" width="4.37272727272727" style="185" customWidth="1"/>
    <col min="39" max="39" width="13.8727272727273" style="185" customWidth="1"/>
    <col min="40" max="16384" width="9" style="185"/>
  </cols>
  <sheetData>
    <row r="1" ht="27" customHeight="1" spans="1:11">
      <c r="A1" s="187" t="s">
        <v>51</v>
      </c>
      <c r="B1" s="187"/>
      <c r="C1" s="187"/>
      <c r="D1" s="187"/>
      <c r="E1" s="187"/>
      <c r="F1" s="187"/>
      <c r="G1" s="187"/>
      <c r="H1" s="187"/>
      <c r="I1" s="187"/>
      <c r="J1" s="187"/>
      <c r="K1" s="91" t="s">
        <v>52</v>
      </c>
    </row>
    <row r="2" ht="15.75" customHeight="1" spans="1:40">
      <c r="A2" s="188" t="s">
        <v>21</v>
      </c>
      <c r="B2" s="189" t="s">
        <v>1</v>
      </c>
      <c r="C2" s="189" t="s">
        <v>53</v>
      </c>
      <c r="D2" s="189" t="s">
        <v>54</v>
      </c>
      <c r="E2" s="189" t="s">
        <v>55</v>
      </c>
      <c r="F2" s="189" t="s">
        <v>56</v>
      </c>
      <c r="G2" s="189" t="s">
        <v>57</v>
      </c>
      <c r="H2" s="189" t="s">
        <v>58</v>
      </c>
      <c r="I2" s="189" t="s">
        <v>59</v>
      </c>
      <c r="J2" s="210" t="s">
        <v>60</v>
      </c>
      <c r="AN2" s="185" t="s">
        <v>61</v>
      </c>
    </row>
    <row r="3" s="150" customFormat="1" ht="15.75" customHeight="1" spans="1:40">
      <c r="A3" s="190"/>
      <c r="B3" s="163" t="s">
        <v>3</v>
      </c>
      <c r="C3" s="191">
        <f>'2024年'!F6</f>
        <v>7000</v>
      </c>
      <c r="D3" s="191">
        <f>'2025年'!F6</f>
        <v>40000</v>
      </c>
      <c r="E3" s="191">
        <f>'2026年'!F6</f>
        <v>50000</v>
      </c>
      <c r="F3" s="191">
        <f>'2027年'!F6</f>
        <v>60000</v>
      </c>
      <c r="G3" s="191">
        <f>'2028年'!F6</f>
        <v>60000</v>
      </c>
      <c r="H3" s="191">
        <f>'2029年'!F6</f>
        <v>60000</v>
      </c>
      <c r="I3" s="191">
        <f>'2030年'!F6</f>
        <v>60000</v>
      </c>
      <c r="J3" s="191">
        <f t="shared" ref="J3:J10" si="0">SUM(D3:I3)</f>
        <v>330000</v>
      </c>
      <c r="K3" s="166"/>
      <c r="AL3" s="162" t="s">
        <v>21</v>
      </c>
      <c r="AM3" s="163" t="s">
        <v>3</v>
      </c>
      <c r="AN3" s="150" t="s">
        <v>62</v>
      </c>
    </row>
    <row r="4" s="150" customFormat="1" ht="15.75" customHeight="1" spans="1:40">
      <c r="A4" s="152">
        <v>1</v>
      </c>
      <c r="B4" s="163" t="s">
        <v>63</v>
      </c>
      <c r="C4" s="191">
        <f>'2024年'!F7</f>
        <v>4311000</v>
      </c>
      <c r="D4" s="191">
        <f>'2025年'!F7</f>
        <v>26760000</v>
      </c>
      <c r="E4" s="191">
        <f>'2026年'!F7</f>
        <v>32210000</v>
      </c>
      <c r="F4" s="191">
        <f>'2027年'!F7</f>
        <v>37660000</v>
      </c>
      <c r="G4" s="191">
        <f>'2028年'!F7</f>
        <v>37660000</v>
      </c>
      <c r="H4" s="191">
        <f>'2029年'!F7</f>
        <v>37660000</v>
      </c>
      <c r="I4" s="191">
        <f>'2030年'!F7</f>
        <v>37660000</v>
      </c>
      <c r="J4" s="191">
        <f t="shared" si="0"/>
        <v>209610000</v>
      </c>
      <c r="K4" s="166"/>
      <c r="AL4" s="162" t="s">
        <v>64</v>
      </c>
      <c r="AM4" s="163" t="s">
        <v>63</v>
      </c>
      <c r="AN4" s="150" t="s">
        <v>62</v>
      </c>
    </row>
    <row r="5" s="150" customFormat="1" ht="15.75" customHeight="1" spans="1:40">
      <c r="A5" s="152">
        <v>2</v>
      </c>
      <c r="B5" s="152" t="s">
        <v>65</v>
      </c>
      <c r="C5" s="191">
        <f>'2024年'!C8</f>
        <v>0</v>
      </c>
      <c r="D5" s="191">
        <f>'2025年'!F8</f>
        <v>802800.000000001</v>
      </c>
      <c r="E5" s="191">
        <f>'2026年'!F8</f>
        <v>1903611</v>
      </c>
      <c r="F5" s="191">
        <f>'2027年'!F8</f>
        <v>3288734.82</v>
      </c>
      <c r="G5" s="191">
        <f>'2028年'!F8</f>
        <v>4319872.7754</v>
      </c>
      <c r="H5" s="191">
        <f>'2029年'!F8</f>
        <v>5320076.592138</v>
      </c>
      <c r="I5" s="191">
        <f>'2030年'!F8</f>
        <v>6290274.29437386</v>
      </c>
      <c r="J5" s="191">
        <f t="shared" si="0"/>
        <v>21925369.4819119</v>
      </c>
      <c r="K5" s="166"/>
      <c r="AL5" s="162" t="s">
        <v>66</v>
      </c>
      <c r="AM5" s="152" t="s">
        <v>67</v>
      </c>
      <c r="AN5" s="150" t="s">
        <v>62</v>
      </c>
    </row>
    <row r="6" s="150" customFormat="1" ht="15.75" customHeight="1" spans="1:40">
      <c r="A6" s="152">
        <v>3</v>
      </c>
      <c r="B6" s="163" t="s">
        <v>68</v>
      </c>
      <c r="C6" s="192">
        <f>'2024年'!F9</f>
        <v>4311000</v>
      </c>
      <c r="D6" s="192">
        <f>D4-D5</f>
        <v>25957200</v>
      </c>
      <c r="E6" s="192">
        <f>'2026年'!F9</f>
        <v>30306389</v>
      </c>
      <c r="F6" s="191">
        <f>'2027年'!F9</f>
        <v>34371265.18</v>
      </c>
      <c r="G6" s="191">
        <f>'2028年'!F9</f>
        <v>33340127.2246</v>
      </c>
      <c r="H6" s="191">
        <f>'2029年'!F9</f>
        <v>32339923.407862</v>
      </c>
      <c r="I6" s="191">
        <f>'2030年'!F9</f>
        <v>31369725.7056261</v>
      </c>
      <c r="J6" s="191">
        <f t="shared" si="0"/>
        <v>187684630.518088</v>
      </c>
      <c r="K6" s="166"/>
      <c r="AL6" s="162" t="s">
        <v>69</v>
      </c>
      <c r="AM6" s="163" t="s">
        <v>68</v>
      </c>
      <c r="AN6" s="150" t="s">
        <v>70</v>
      </c>
    </row>
    <row r="7" s="150" customFormat="1" ht="15.75" customHeight="1" spans="1:40">
      <c r="A7" s="152">
        <v>4</v>
      </c>
      <c r="B7" s="162" t="s">
        <v>71</v>
      </c>
      <c r="C7" s="192">
        <f>'2024年'!F10</f>
        <v>3035721.5873356</v>
      </c>
      <c r="D7" s="191">
        <f>'2025年'!F10</f>
        <v>18661776.8461912</v>
      </c>
      <c r="E7" s="192">
        <f>'2026年'!F10</f>
        <v>21588983.8322839</v>
      </c>
      <c r="F7" s="191">
        <f>'2027年'!F10</f>
        <v>24323762.8000494</v>
      </c>
      <c r="G7" s="191">
        <f>'2028年'!F10</f>
        <v>23594049.9160479</v>
      </c>
      <c r="H7" s="191">
        <f>'2029年'!F10</f>
        <v>22886228.4185665</v>
      </c>
      <c r="I7" s="191">
        <f>'2030年'!F10</f>
        <v>22199641.5660095</v>
      </c>
      <c r="J7" s="191">
        <f t="shared" si="0"/>
        <v>133254443.379148</v>
      </c>
      <c r="K7" s="166"/>
      <c r="AL7" s="162" t="s">
        <v>72</v>
      </c>
      <c r="AM7" s="162" t="s">
        <v>73</v>
      </c>
      <c r="AN7" s="150" t="s">
        <v>74</v>
      </c>
    </row>
    <row r="8" s="150" customFormat="1" ht="15.75" customHeight="1" spans="1:39">
      <c r="A8" s="152">
        <v>5</v>
      </c>
      <c r="B8" s="162" t="s">
        <v>75</v>
      </c>
      <c r="C8" s="192">
        <f>'2024年'!F11</f>
        <v>130839.600414164</v>
      </c>
      <c r="D8" s="191">
        <f>'2025年'!F11</f>
        <v>829198.538217363</v>
      </c>
      <c r="E8" s="192">
        <f>'2026年'!F11</f>
        <v>988931.02685879</v>
      </c>
      <c r="F8" s="191">
        <f>'2027年'!F11</f>
        <v>1148663.51550022</v>
      </c>
      <c r="G8" s="191">
        <f>'2028年'!F11</f>
        <v>1148663.51550022</v>
      </c>
      <c r="H8" s="191">
        <f>'2029年'!F11</f>
        <v>1148663.51550022</v>
      </c>
      <c r="I8" s="191">
        <f>'2030年'!F11</f>
        <v>1148663.51550022</v>
      </c>
      <c r="J8" s="191">
        <f t="shared" si="0"/>
        <v>6412783.62707702</v>
      </c>
      <c r="K8" s="166"/>
      <c r="AL8" s="162" t="s">
        <v>76</v>
      </c>
      <c r="AM8" s="162" t="s">
        <v>75</v>
      </c>
    </row>
    <row r="9" s="150" customFormat="1" ht="15.75" customHeight="1" spans="1:39">
      <c r="A9" s="152">
        <v>6</v>
      </c>
      <c r="B9" s="162" t="s">
        <v>77</v>
      </c>
      <c r="C9" s="192">
        <f>'2024年'!F12</f>
        <v>65875.1584451825</v>
      </c>
      <c r="D9" s="191">
        <f>'2025年'!F12</f>
        <v>417485.11088902</v>
      </c>
      <c r="E9" s="192">
        <f>'2026年'!F12</f>
        <v>497907.268743289</v>
      </c>
      <c r="F9" s="191">
        <f>'2027年'!F12</f>
        <v>578329.426597557</v>
      </c>
      <c r="G9" s="191">
        <f>'2028年'!F12</f>
        <v>578329.426597557</v>
      </c>
      <c r="H9" s="191">
        <f>'2029年'!F12</f>
        <v>578329.426597557</v>
      </c>
      <c r="I9" s="191">
        <f>'2030年'!F12</f>
        <v>578329.426597557</v>
      </c>
      <c r="J9" s="191">
        <f t="shared" si="0"/>
        <v>3228710.08602254</v>
      </c>
      <c r="K9" s="166"/>
      <c r="AL9" s="162" t="s">
        <v>78</v>
      </c>
      <c r="AM9" s="162" t="s">
        <v>77</v>
      </c>
    </row>
    <row r="10" s="150" customFormat="1" ht="15.75" customHeight="1" spans="1:40">
      <c r="A10" s="152">
        <v>7</v>
      </c>
      <c r="B10" s="162" t="s">
        <v>79</v>
      </c>
      <c r="C10" s="192">
        <f>'2024年'!F13</f>
        <v>133571.749842766</v>
      </c>
      <c r="D10" s="191">
        <f>'2025年'!F13</f>
        <v>846513.588899396</v>
      </c>
      <c r="E10" s="192">
        <f>'2026年'!F13</f>
        <v>1009581.55874215</v>
      </c>
      <c r="F10" s="191">
        <f>'2027年'!F13</f>
        <v>1172649.52858491</v>
      </c>
      <c r="G10" s="191">
        <f>'2028年'!F13</f>
        <v>1172649.52858491</v>
      </c>
      <c r="H10" s="191">
        <f>'2029年'!F13</f>
        <v>1172649.52858491</v>
      </c>
      <c r="I10" s="191">
        <f>'2030年'!F13</f>
        <v>1172649.52858491</v>
      </c>
      <c r="J10" s="191">
        <f t="shared" si="0"/>
        <v>6546693.26198118</v>
      </c>
      <c r="K10" s="166"/>
      <c r="AL10" s="162" t="s">
        <v>80</v>
      </c>
      <c r="AM10" s="162" t="s">
        <v>79</v>
      </c>
      <c r="AN10" s="150" t="s">
        <v>62</v>
      </c>
    </row>
    <row r="11" s="150" customFormat="1" ht="15.75" customHeight="1" spans="1:39">
      <c r="A11" s="152">
        <v>8</v>
      </c>
      <c r="B11" s="193" t="s">
        <v>81</v>
      </c>
      <c r="C11" s="194">
        <f>SUM(C8:C10)</f>
        <v>330286.508702113</v>
      </c>
      <c r="D11" s="194">
        <f t="shared" ref="D11:J11" si="1">SUM(D8:D10)</f>
        <v>2093197.23800578</v>
      </c>
      <c r="E11" s="194">
        <f t="shared" si="1"/>
        <v>2496419.85434423</v>
      </c>
      <c r="F11" s="194">
        <f t="shared" si="1"/>
        <v>2899642.47068268</v>
      </c>
      <c r="G11" s="194">
        <f t="shared" si="1"/>
        <v>2899642.47068268</v>
      </c>
      <c r="H11" s="194">
        <f t="shared" si="1"/>
        <v>2899642.47068268</v>
      </c>
      <c r="I11" s="194">
        <f t="shared" si="1"/>
        <v>2899642.47068268</v>
      </c>
      <c r="J11" s="194">
        <f t="shared" si="1"/>
        <v>16188186.9750807</v>
      </c>
      <c r="K11" s="166"/>
      <c r="AL11" s="162" t="s">
        <v>82</v>
      </c>
      <c r="AM11" s="167" t="s">
        <v>81</v>
      </c>
    </row>
    <row r="12" s="150" customFormat="1" ht="15.75" customHeight="1" spans="1:39">
      <c r="A12" s="152">
        <v>9</v>
      </c>
      <c r="B12" s="195" t="s">
        <v>83</v>
      </c>
      <c r="C12" s="192">
        <f>'2024年'!F15</f>
        <v>944991.903962287</v>
      </c>
      <c r="D12" s="191">
        <f>'2025年'!F15</f>
        <v>5202225.91580299</v>
      </c>
      <c r="E12" s="192">
        <f>'2026年'!F15</f>
        <v>6220985.31337189</v>
      </c>
      <c r="F12" s="191">
        <f>'2027年'!F15</f>
        <v>7147859.90926792</v>
      </c>
      <c r="G12" s="191">
        <f>'2028年'!F15</f>
        <v>6846434.8378694</v>
      </c>
      <c r="H12" s="191">
        <f>'2029年'!F15</f>
        <v>6554052.51861284</v>
      </c>
      <c r="I12" s="191">
        <f>'2030年'!F15</f>
        <v>6270441.66893397</v>
      </c>
      <c r="J12" s="191">
        <f>SUM(D12:I12)</f>
        <v>38242000.163859</v>
      </c>
      <c r="K12" s="166"/>
      <c r="M12" s="185"/>
      <c r="N12" s="185"/>
      <c r="O12" s="185"/>
      <c r="P12" s="185"/>
      <c r="Q12" s="185"/>
      <c r="R12" s="185"/>
      <c r="AL12" s="162" t="s">
        <v>84</v>
      </c>
      <c r="AM12" s="167" t="s">
        <v>83</v>
      </c>
    </row>
    <row r="13" ht="15.75" customHeight="1" spans="1:39">
      <c r="A13" s="152">
        <v>10</v>
      </c>
      <c r="B13" s="196" t="s">
        <v>85</v>
      </c>
      <c r="C13" s="197">
        <f>+C12/C6</f>
        <v>0.219204802589257</v>
      </c>
      <c r="D13" s="197">
        <f t="shared" ref="D13:J13" si="2">+D12/D6</f>
        <v>0.200415526936765</v>
      </c>
      <c r="E13" s="197">
        <f t="shared" si="2"/>
        <v>0.205269763856456</v>
      </c>
      <c r="F13" s="197">
        <f t="shared" si="2"/>
        <v>0.207960337562061</v>
      </c>
      <c r="G13" s="197">
        <f t="shared" si="2"/>
        <v>0.205351191126162</v>
      </c>
      <c r="H13" s="197">
        <f t="shared" si="2"/>
        <v>0.202661349439669</v>
      </c>
      <c r="I13" s="197">
        <f t="shared" si="2"/>
        <v>0.19988831677318</v>
      </c>
      <c r="J13" s="197">
        <f t="shared" si="2"/>
        <v>0.20375669578428</v>
      </c>
      <c r="K13" s="166"/>
      <c r="AL13" s="196" t="s">
        <v>86</v>
      </c>
      <c r="AM13" s="196" t="s">
        <v>85</v>
      </c>
    </row>
    <row r="14" ht="15.75" customHeight="1" spans="1:39">
      <c r="A14" s="152">
        <v>11</v>
      </c>
      <c r="B14" s="196" t="s">
        <v>87</v>
      </c>
      <c r="C14" s="192">
        <f>'2024年'!F17</f>
        <v>168797.918414093</v>
      </c>
      <c r="D14" s="191">
        <f>'2025年'!F17</f>
        <v>833130.086625952</v>
      </c>
      <c r="E14" s="192">
        <f>'2026年'!F17</f>
        <v>985079.785797611</v>
      </c>
      <c r="F14" s="191">
        <f>'2027年'!F17</f>
        <v>1137029.48496927</v>
      </c>
      <c r="G14" s="191">
        <f>'2028年'!F17</f>
        <v>1137029.48496927</v>
      </c>
      <c r="H14" s="191">
        <f>'2029年'!F17</f>
        <v>1137029.48496927</v>
      </c>
      <c r="I14" s="191">
        <f>'2030年'!F17</f>
        <v>1137029.48496927</v>
      </c>
      <c r="J14" s="191">
        <f>SUM(D14:I14)</f>
        <v>6366327.81230065</v>
      </c>
      <c r="K14" s="166"/>
      <c r="AL14" s="196" t="s">
        <v>88</v>
      </c>
      <c r="AM14" s="196" t="s">
        <v>87</v>
      </c>
    </row>
    <row r="15" ht="15.75" customHeight="1" spans="1:39">
      <c r="A15" s="152"/>
      <c r="B15" s="170" t="s">
        <v>89</v>
      </c>
      <c r="C15" s="191"/>
      <c r="D15" s="191"/>
      <c r="E15" s="192"/>
      <c r="F15" s="191"/>
      <c r="G15" s="191"/>
      <c r="H15" s="191"/>
      <c r="I15" s="191"/>
      <c r="J15" s="191">
        <f>SUM(D15:I15)</f>
        <v>0</v>
      </c>
      <c r="K15" s="172" t="s">
        <v>90</v>
      </c>
      <c r="AL15" s="196"/>
      <c r="AM15" s="196"/>
    </row>
    <row r="16" ht="15.75" customHeight="1" spans="1:40">
      <c r="A16" s="152">
        <v>12</v>
      </c>
      <c r="B16" s="196" t="s">
        <v>91</v>
      </c>
      <c r="C16" s="192">
        <f>'2024年'!F19</f>
        <v>21250.0511113492</v>
      </c>
      <c r="D16" s="198">
        <f>'2025年'!F19</f>
        <v>134672.616415813</v>
      </c>
      <c r="E16" s="198">
        <f>'2026年'!F19</f>
        <v>160615.247981706</v>
      </c>
      <c r="F16" s="191">
        <f>'2027年'!F19</f>
        <v>186557.879547599</v>
      </c>
      <c r="G16" s="191">
        <f>'2028年'!F19</f>
        <v>186557.879547599</v>
      </c>
      <c r="H16" s="191">
        <f>'2029年'!F19</f>
        <v>186557.879547599</v>
      </c>
      <c r="I16" s="191">
        <f>'2030年'!F19</f>
        <v>186557.879547599</v>
      </c>
      <c r="J16" s="191">
        <f>SUM(D16:I16)</f>
        <v>1041519.38258792</v>
      </c>
      <c r="K16" s="166"/>
      <c r="S16" s="166"/>
      <c r="AL16" s="196" t="s">
        <v>92</v>
      </c>
      <c r="AM16" s="196" t="s">
        <v>91</v>
      </c>
      <c r="AN16" s="185" t="s">
        <v>62</v>
      </c>
    </row>
    <row r="17" ht="15.75" customHeight="1" spans="1:39">
      <c r="A17" s="152">
        <v>13</v>
      </c>
      <c r="B17" s="196" t="s">
        <v>93</v>
      </c>
      <c r="C17" s="192">
        <f>'2024年'!F20</f>
        <v>103214.53396941</v>
      </c>
      <c r="D17" s="198">
        <f>'2025年'!F20</f>
        <v>654124.136876806</v>
      </c>
      <c r="E17" s="198">
        <f>'2026年'!F20</f>
        <v>780131.204482572</v>
      </c>
      <c r="F17" s="191">
        <f>'2027年'!F20</f>
        <v>906138.272088338</v>
      </c>
      <c r="G17" s="191">
        <f>'2028年'!F20</f>
        <v>906138.272088338</v>
      </c>
      <c r="H17" s="191">
        <f>'2029年'!F20</f>
        <v>906138.272088338</v>
      </c>
      <c r="I17" s="191">
        <f>'2030年'!F20</f>
        <v>906138.272088338</v>
      </c>
      <c r="J17" s="191">
        <f>SUM(D17:I17)</f>
        <v>5058808.42971273</v>
      </c>
      <c r="K17" s="166"/>
      <c r="AL17" s="196" t="s">
        <v>94</v>
      </c>
      <c r="AM17" s="196" t="s">
        <v>93</v>
      </c>
    </row>
    <row r="18" s="149" customFormat="1" ht="15.75" customHeight="1" spans="1:39">
      <c r="A18" s="152">
        <v>14</v>
      </c>
      <c r="B18" s="174" t="s">
        <v>95</v>
      </c>
      <c r="C18" s="191"/>
      <c r="D18" s="199">
        <f>'2025年'!F21</f>
        <v>0</v>
      </c>
      <c r="E18" s="199">
        <f>'2026年'!F21</f>
        <v>0</v>
      </c>
      <c r="F18" s="199">
        <f>'2027年'!F21</f>
        <v>0</v>
      </c>
      <c r="G18" s="191">
        <f>'2028年'!F21</f>
        <v>0</v>
      </c>
      <c r="H18" s="191">
        <f>'2029年'!F21</f>
        <v>0</v>
      </c>
      <c r="I18" s="191">
        <f>'2030年'!F21</f>
        <v>0</v>
      </c>
      <c r="J18" s="191">
        <f>SUM(D18:F18)</f>
        <v>0</v>
      </c>
      <c r="K18" s="166"/>
      <c r="AL18" s="174"/>
      <c r="AM18" s="174"/>
    </row>
    <row r="19" s="150" customFormat="1" ht="15.75" customHeight="1" spans="1:39">
      <c r="A19" s="152">
        <v>15</v>
      </c>
      <c r="B19" s="162" t="s">
        <v>96</v>
      </c>
      <c r="C19" s="192">
        <f>'2024年'!F22</f>
        <v>91071.647620068</v>
      </c>
      <c r="D19" s="198">
        <f>'2025年'!F22</f>
        <v>577168.35606777</v>
      </c>
      <c r="E19" s="198">
        <f>'2026年'!F22</f>
        <v>688351.06277874</v>
      </c>
      <c r="F19" s="191">
        <f>'2027年'!F22</f>
        <v>799533.76948971</v>
      </c>
      <c r="G19" s="191">
        <f>'2028年'!F22</f>
        <v>799533.76948971</v>
      </c>
      <c r="H19" s="191">
        <f>'2029年'!F22</f>
        <v>799533.76948971</v>
      </c>
      <c r="I19" s="191">
        <f>'2030年'!F22</f>
        <v>799533.76948971</v>
      </c>
      <c r="J19" s="191">
        <f t="shared" ref="J19:J23" si="3">SUM(D19:I19)</f>
        <v>4463654.49680535</v>
      </c>
      <c r="K19" s="166"/>
      <c r="AL19" s="162" t="s">
        <v>97</v>
      </c>
      <c r="AM19" s="162" t="s">
        <v>96</v>
      </c>
    </row>
    <row r="20" s="183" customFormat="1" ht="15.75" customHeight="1" spans="1:39">
      <c r="A20" s="152">
        <v>16</v>
      </c>
      <c r="B20" s="200" t="s">
        <v>98</v>
      </c>
      <c r="C20" s="194">
        <f>+C19+C18+C17+C16+C14</f>
        <v>384334.151114921</v>
      </c>
      <c r="D20" s="194">
        <f t="shared" ref="D20:J20" si="4">+D19+D18+D17+D16+D14</f>
        <v>2199095.19598634</v>
      </c>
      <c r="E20" s="194">
        <f t="shared" si="4"/>
        <v>2614177.30104063</v>
      </c>
      <c r="F20" s="194">
        <f t="shared" si="4"/>
        <v>3029259.40609492</v>
      </c>
      <c r="G20" s="194">
        <f t="shared" si="4"/>
        <v>3029259.40609492</v>
      </c>
      <c r="H20" s="194">
        <f t="shared" si="4"/>
        <v>3029259.40609492</v>
      </c>
      <c r="I20" s="194">
        <f t="shared" si="4"/>
        <v>3029259.40609492</v>
      </c>
      <c r="J20" s="194">
        <f t="shared" si="4"/>
        <v>16930310.1214066</v>
      </c>
      <c r="K20" s="166"/>
      <c r="AL20" s="213" t="s">
        <v>99</v>
      </c>
      <c r="AM20" s="214" t="s">
        <v>98</v>
      </c>
    </row>
    <row r="21" ht="15.75" customHeight="1" spans="1:39">
      <c r="A21" s="152">
        <v>17</v>
      </c>
      <c r="B21" s="196" t="s">
        <v>100</v>
      </c>
      <c r="C21" s="192">
        <f>'2024年'!F24</f>
        <v>560657.752847366</v>
      </c>
      <c r="D21" s="201">
        <f>'2025年'!F24</f>
        <v>3003130.71981665</v>
      </c>
      <c r="E21" s="201">
        <f>'2026年'!F24</f>
        <v>3606808.01233125</v>
      </c>
      <c r="F21" s="191">
        <f>'2027年'!F24</f>
        <v>4118600.503173</v>
      </c>
      <c r="G21" s="191">
        <f>'2028年'!F24</f>
        <v>3817175.43177447</v>
      </c>
      <c r="H21" s="191">
        <f>'2029年'!F24</f>
        <v>3524793.11251793</v>
      </c>
      <c r="I21" s="191">
        <f>'2030年'!F24</f>
        <v>3241182.26283905</v>
      </c>
      <c r="J21" s="191">
        <f t="shared" si="3"/>
        <v>21311690.0424524</v>
      </c>
      <c r="K21" s="211" t="s">
        <v>52</v>
      </c>
      <c r="AL21" s="196" t="s">
        <v>101</v>
      </c>
      <c r="AM21" s="196" t="s">
        <v>100</v>
      </c>
    </row>
    <row r="22" ht="15.75" customHeight="1" spans="1:39">
      <c r="A22" s="152">
        <v>18</v>
      </c>
      <c r="B22" s="196" t="s">
        <v>38</v>
      </c>
      <c r="C22" s="192">
        <f>'2024年'!F25</f>
        <v>140164.438211842</v>
      </c>
      <c r="D22" s="201">
        <f>'2025年'!F25</f>
        <v>750782.679954162</v>
      </c>
      <c r="E22" s="201">
        <f>'2026年'!F25</f>
        <v>901702.003082813</v>
      </c>
      <c r="F22" s="191">
        <f>'2027年'!F25</f>
        <v>1029650.12579325</v>
      </c>
      <c r="G22" s="191">
        <f>'2028年'!F25</f>
        <v>954293.857943618</v>
      </c>
      <c r="H22" s="191">
        <f>'2029年'!F25</f>
        <v>881198.278129482</v>
      </c>
      <c r="I22" s="191">
        <f>'2030年'!F25</f>
        <v>822662.031656409</v>
      </c>
      <c r="J22" s="191">
        <f t="shared" si="3"/>
        <v>5340288.97655973</v>
      </c>
      <c r="K22" s="166"/>
      <c r="AL22" s="196" t="s">
        <v>102</v>
      </c>
      <c r="AM22" s="196" t="s">
        <v>38</v>
      </c>
    </row>
    <row r="23" ht="15.75" customHeight="1" spans="1:39">
      <c r="A23" s="152">
        <v>19</v>
      </c>
      <c r="B23" s="196" t="s">
        <v>103</v>
      </c>
      <c r="C23" s="192">
        <f>'2024年'!F26</f>
        <v>420493.314635525</v>
      </c>
      <c r="D23" s="201">
        <f>'2025年'!F26</f>
        <v>2252348.03986249</v>
      </c>
      <c r="E23" s="201">
        <f>'2026年'!F26</f>
        <v>2705106.00924844</v>
      </c>
      <c r="F23" s="191">
        <f>'2027年'!F26</f>
        <v>3088950.37737975</v>
      </c>
      <c r="G23" s="191">
        <f>'2028年'!F26</f>
        <v>2862881.57383085</v>
      </c>
      <c r="H23" s="191">
        <f>'2029年'!F26</f>
        <v>2643594.83438845</v>
      </c>
      <c r="I23" s="191">
        <f>'2030年'!F26</f>
        <v>2418520.23118264</v>
      </c>
      <c r="J23" s="191">
        <f t="shared" si="3"/>
        <v>15971401.0658926</v>
      </c>
      <c r="K23" s="211" t="s">
        <v>52</v>
      </c>
      <c r="AL23" s="196" t="s">
        <v>104</v>
      </c>
      <c r="AM23" s="196" t="s">
        <v>103</v>
      </c>
    </row>
    <row r="24" ht="15.75" customHeight="1" spans="1:39">
      <c r="A24" s="152">
        <v>20</v>
      </c>
      <c r="B24" s="196" t="s">
        <v>105</v>
      </c>
      <c r="C24" s="202">
        <f>C23/C4</f>
        <v>0.0975396229727499</v>
      </c>
      <c r="D24" s="202">
        <f t="shared" ref="D24:J24" si="5">D23/D4</f>
        <v>0.0841684618782693</v>
      </c>
      <c r="E24" s="202">
        <f t="shared" si="5"/>
        <v>0.083983421584863</v>
      </c>
      <c r="F24" s="202">
        <f t="shared" si="5"/>
        <v>0.082022049319696</v>
      </c>
      <c r="G24" s="202">
        <f t="shared" si="5"/>
        <v>0.076019160218557</v>
      </c>
      <c r="H24" s="202">
        <f t="shared" si="5"/>
        <v>0.0701963577904526</v>
      </c>
      <c r="I24" s="202">
        <f t="shared" si="5"/>
        <v>0.0642198680611429</v>
      </c>
      <c r="J24" s="202">
        <f t="shared" si="5"/>
        <v>0.0761957972706103</v>
      </c>
      <c r="K24" s="211" t="s">
        <v>52</v>
      </c>
      <c r="AL24" s="215" t="s">
        <v>106</v>
      </c>
      <c r="AM24" s="215" t="s">
        <v>107</v>
      </c>
    </row>
    <row r="25" s="184" customFormat="1" ht="15.75" customHeight="1" spans="4:11">
      <c r="D25" s="203"/>
      <c r="E25" s="203"/>
      <c r="F25" s="203"/>
      <c r="G25" s="203"/>
      <c r="H25" s="203"/>
      <c r="I25" s="203"/>
      <c r="J25" s="203"/>
      <c r="K25" s="212"/>
    </row>
    <row r="26" s="184" customFormat="1" ht="15.75" customHeight="1" spans="1:38">
      <c r="A26" s="184" t="s">
        <v>108</v>
      </c>
      <c r="D26" s="204"/>
      <c r="E26" s="204"/>
      <c r="F26" s="204"/>
      <c r="G26" s="204"/>
      <c r="H26" s="204"/>
      <c r="I26" s="204"/>
      <c r="J26" s="204"/>
      <c r="K26" s="212"/>
      <c r="AL26" s="184" t="s">
        <v>108</v>
      </c>
    </row>
    <row r="27" ht="15.75" customHeight="1" spans="1:40">
      <c r="A27" s="196" t="s">
        <v>21</v>
      </c>
      <c r="B27" s="205" t="s">
        <v>1</v>
      </c>
      <c r="C27" s="189" t="s">
        <v>53</v>
      </c>
      <c r="D27" s="189" t="s">
        <v>109</v>
      </c>
      <c r="E27" s="189" t="s">
        <v>55</v>
      </c>
      <c r="F27" s="189" t="s">
        <v>56</v>
      </c>
      <c r="G27" s="189" t="s">
        <v>57</v>
      </c>
      <c r="H27" s="189" t="s">
        <v>58</v>
      </c>
      <c r="I27" s="189" t="s">
        <v>59</v>
      </c>
      <c r="J27" s="210" t="s">
        <v>60</v>
      </c>
      <c r="AN27" s="185" t="s">
        <v>61</v>
      </c>
    </row>
    <row r="28" s="150" customFormat="1" ht="15.75" customHeight="1" spans="1:39">
      <c r="A28" s="162" t="s">
        <v>110</v>
      </c>
      <c r="B28" s="167" t="s">
        <v>111</v>
      </c>
      <c r="C28" s="167"/>
      <c r="D28" s="173"/>
      <c r="E28" s="173"/>
      <c r="F28" s="173"/>
      <c r="G28" s="173"/>
      <c r="H28" s="173"/>
      <c r="I28" s="173"/>
      <c r="J28" s="173"/>
      <c r="K28" s="166"/>
      <c r="AL28" s="162" t="s">
        <v>112</v>
      </c>
      <c r="AM28" s="167" t="s">
        <v>111</v>
      </c>
    </row>
    <row r="29" s="150" customFormat="1" ht="15.75" customHeight="1" spans="1:39">
      <c r="A29" s="162" t="s">
        <v>64</v>
      </c>
      <c r="B29" s="162" t="s">
        <v>113</v>
      </c>
      <c r="C29" s="165">
        <f>+C6/C3</f>
        <v>615.857142857143</v>
      </c>
      <c r="D29" s="165">
        <f t="shared" ref="D29:J29" si="6">+D6/D3</f>
        <v>648.93</v>
      </c>
      <c r="E29" s="165">
        <f t="shared" si="6"/>
        <v>606.12778</v>
      </c>
      <c r="F29" s="165">
        <f t="shared" si="6"/>
        <v>572.854419666667</v>
      </c>
      <c r="G29" s="165">
        <f t="shared" si="6"/>
        <v>555.668787076667</v>
      </c>
      <c r="H29" s="165">
        <f t="shared" si="6"/>
        <v>538.998723464367</v>
      </c>
      <c r="I29" s="165">
        <f t="shared" si="6"/>
        <v>522.828761760436</v>
      </c>
      <c r="J29" s="165">
        <f t="shared" si="6"/>
        <v>568.741304600267</v>
      </c>
      <c r="K29" s="166"/>
      <c r="AL29" s="162" t="s">
        <v>64</v>
      </c>
      <c r="AM29" s="162" t="s">
        <v>113</v>
      </c>
    </row>
    <row r="30" s="150" customFormat="1" ht="15.75" customHeight="1" spans="1:39">
      <c r="A30" s="162" t="s">
        <v>66</v>
      </c>
      <c r="B30" s="162" t="s">
        <v>114</v>
      </c>
      <c r="C30" s="165">
        <f>+C7/C3</f>
        <v>433.674512476514</v>
      </c>
      <c r="D30" s="165">
        <f t="shared" ref="D30:J30" si="7">+D7/D3</f>
        <v>466.544421154781</v>
      </c>
      <c r="E30" s="165">
        <f t="shared" si="7"/>
        <v>431.779676645678</v>
      </c>
      <c r="F30" s="165">
        <f t="shared" si="7"/>
        <v>405.39604666749</v>
      </c>
      <c r="G30" s="165">
        <f t="shared" si="7"/>
        <v>393.234165267465</v>
      </c>
      <c r="H30" s="165">
        <f t="shared" si="7"/>
        <v>381.437140309441</v>
      </c>
      <c r="I30" s="165">
        <f t="shared" si="7"/>
        <v>369.994026100158</v>
      </c>
      <c r="J30" s="165">
        <f t="shared" si="7"/>
        <v>403.801343573177</v>
      </c>
      <c r="K30" s="166"/>
      <c r="AL30" s="162" t="s">
        <v>66</v>
      </c>
      <c r="AM30" s="162" t="s">
        <v>114</v>
      </c>
    </row>
    <row r="31" s="150" customFormat="1" ht="15.75" customHeight="1" spans="1:39">
      <c r="A31" s="162" t="s">
        <v>115</v>
      </c>
      <c r="B31" s="162" t="s">
        <v>116</v>
      </c>
      <c r="C31" s="173">
        <f>C29-C30</f>
        <v>182.182630380629</v>
      </c>
      <c r="D31" s="173">
        <f t="shared" ref="D31:J31" si="8">D29-D30</f>
        <v>182.385578845219</v>
      </c>
      <c r="E31" s="173">
        <f t="shared" si="8"/>
        <v>174.348103354322</v>
      </c>
      <c r="F31" s="173">
        <f t="shared" si="8"/>
        <v>167.458372999177</v>
      </c>
      <c r="G31" s="173">
        <f t="shared" si="8"/>
        <v>162.434621809201</v>
      </c>
      <c r="H31" s="173">
        <f t="shared" si="8"/>
        <v>157.561583154925</v>
      </c>
      <c r="I31" s="173">
        <f t="shared" si="8"/>
        <v>152.834735660277</v>
      </c>
      <c r="J31" s="173">
        <f t="shared" si="8"/>
        <v>164.93996102709</v>
      </c>
      <c r="K31" s="166"/>
      <c r="AL31" s="162" t="s">
        <v>115</v>
      </c>
      <c r="AM31" s="162" t="s">
        <v>116</v>
      </c>
    </row>
    <row r="32" s="150" customFormat="1" ht="15.75" customHeight="1" spans="1:39">
      <c r="A32" s="162">
        <v>3.1</v>
      </c>
      <c r="B32" s="162" t="s">
        <v>117</v>
      </c>
      <c r="C32" s="168">
        <f>C31/C29</f>
        <v>0.295819627154813</v>
      </c>
      <c r="D32" s="168">
        <f t="shared" ref="D32:J32" si="9">D31/D29</f>
        <v>0.281055859407362</v>
      </c>
      <c r="E32" s="168">
        <f t="shared" si="9"/>
        <v>0.287642489104067</v>
      </c>
      <c r="F32" s="168">
        <f t="shared" si="9"/>
        <v>0.292322738989458</v>
      </c>
      <c r="G32" s="168">
        <f t="shared" si="9"/>
        <v>0.292322738989458</v>
      </c>
      <c r="H32" s="168">
        <f t="shared" si="9"/>
        <v>0.292322738989458</v>
      </c>
      <c r="I32" s="168">
        <f t="shared" si="9"/>
        <v>0.292322738989458</v>
      </c>
      <c r="J32" s="168">
        <f t="shared" si="9"/>
        <v>0.290008760912866</v>
      </c>
      <c r="K32" s="166"/>
      <c r="AL32" s="162"/>
      <c r="AM32" s="162"/>
    </row>
    <row r="33" s="150" customFormat="1" ht="15.75" customHeight="1" spans="1:39">
      <c r="A33" s="162" t="s">
        <v>112</v>
      </c>
      <c r="B33" s="167" t="s">
        <v>10</v>
      </c>
      <c r="C33" s="173"/>
      <c r="D33" s="173"/>
      <c r="E33" s="173"/>
      <c r="F33" s="173"/>
      <c r="G33" s="173"/>
      <c r="H33" s="173"/>
      <c r="I33" s="173"/>
      <c r="J33" s="173"/>
      <c r="K33" s="166"/>
      <c r="AL33" s="162" t="s">
        <v>118</v>
      </c>
      <c r="AM33" s="167" t="s">
        <v>10</v>
      </c>
    </row>
    <row r="34" s="150" customFormat="1" ht="15.75" customHeight="1" spans="1:39">
      <c r="A34" s="162" t="s">
        <v>64</v>
      </c>
      <c r="B34" s="174" t="s">
        <v>119</v>
      </c>
      <c r="C34" s="165">
        <f>+C8/C3</f>
        <v>18.6913714877378</v>
      </c>
      <c r="D34" s="165">
        <f t="shared" ref="D34:J34" si="10">+D8/D3</f>
        <v>20.7299634554341</v>
      </c>
      <c r="E34" s="165">
        <f t="shared" si="10"/>
        <v>19.7786205371758</v>
      </c>
      <c r="F34" s="165">
        <f t="shared" si="10"/>
        <v>19.1443919250036</v>
      </c>
      <c r="G34" s="165">
        <f t="shared" si="10"/>
        <v>19.1443919250036</v>
      </c>
      <c r="H34" s="165">
        <f t="shared" si="10"/>
        <v>19.1443919250036</v>
      </c>
      <c r="I34" s="165">
        <f t="shared" si="10"/>
        <v>19.1443919250036</v>
      </c>
      <c r="J34" s="165">
        <f t="shared" si="10"/>
        <v>19.4326776578092</v>
      </c>
      <c r="K34" s="166"/>
      <c r="AL34" s="162" t="s">
        <v>115</v>
      </c>
      <c r="AM34" s="162" t="s">
        <v>119</v>
      </c>
    </row>
    <row r="35" s="150" customFormat="1" ht="15.75" customHeight="1" spans="1:39">
      <c r="A35" s="162" t="s">
        <v>66</v>
      </c>
      <c r="B35" s="174" t="s">
        <v>120</v>
      </c>
      <c r="C35" s="165">
        <f>+C9/C3</f>
        <v>9.41073692074036</v>
      </c>
      <c r="D35" s="165">
        <f t="shared" ref="D35:J35" si="11">+D9/D3</f>
        <v>10.4371277722255</v>
      </c>
      <c r="E35" s="165">
        <f t="shared" si="11"/>
        <v>9.95814537486577</v>
      </c>
      <c r="F35" s="165">
        <f t="shared" si="11"/>
        <v>9.63882377662595</v>
      </c>
      <c r="G35" s="165">
        <f t="shared" si="11"/>
        <v>9.63882377662595</v>
      </c>
      <c r="H35" s="165">
        <f t="shared" si="11"/>
        <v>9.63882377662595</v>
      </c>
      <c r="I35" s="165">
        <f t="shared" si="11"/>
        <v>9.63882377662595</v>
      </c>
      <c r="J35" s="165">
        <f t="shared" si="11"/>
        <v>9.78396995764405</v>
      </c>
      <c r="K35" s="166"/>
      <c r="AL35" s="162" t="s">
        <v>69</v>
      </c>
      <c r="AM35" s="162" t="s">
        <v>120</v>
      </c>
    </row>
    <row r="36" s="150" customFormat="1" ht="15.75" customHeight="1" spans="1:39">
      <c r="A36" s="162" t="s">
        <v>115</v>
      </c>
      <c r="B36" s="174" t="s">
        <v>121</v>
      </c>
      <c r="C36" s="165">
        <f>+C10/C3</f>
        <v>19.0816785489666</v>
      </c>
      <c r="D36" s="165">
        <f t="shared" ref="D36:J36" si="12">+D10/D3</f>
        <v>21.1628397224849</v>
      </c>
      <c r="E36" s="165">
        <f t="shared" si="12"/>
        <v>20.191631174843</v>
      </c>
      <c r="F36" s="165">
        <f t="shared" si="12"/>
        <v>19.5441588097485</v>
      </c>
      <c r="G36" s="165">
        <f t="shared" si="12"/>
        <v>19.5441588097485</v>
      </c>
      <c r="H36" s="165">
        <f t="shared" si="12"/>
        <v>19.5441588097485</v>
      </c>
      <c r="I36" s="165">
        <f t="shared" si="12"/>
        <v>19.5441588097485</v>
      </c>
      <c r="J36" s="165">
        <f t="shared" si="12"/>
        <v>19.838464430246</v>
      </c>
      <c r="K36" s="166"/>
      <c r="AL36" s="162" t="s">
        <v>76</v>
      </c>
      <c r="AM36" s="162" t="s">
        <v>121</v>
      </c>
    </row>
    <row r="37" s="150" customFormat="1" ht="15.75" customHeight="1" spans="1:39">
      <c r="A37" s="162" t="s">
        <v>122</v>
      </c>
      <c r="B37" s="195" t="s">
        <v>123</v>
      </c>
      <c r="C37" s="165"/>
      <c r="D37" s="165"/>
      <c r="E37" s="165"/>
      <c r="F37" s="165"/>
      <c r="G37" s="165"/>
      <c r="H37" s="165"/>
      <c r="I37" s="165"/>
      <c r="J37" s="165"/>
      <c r="K37" s="166"/>
      <c r="AL37" s="162" t="s">
        <v>122</v>
      </c>
      <c r="AM37" s="167" t="s">
        <v>123</v>
      </c>
    </row>
    <row r="38" s="150" customFormat="1" spans="1:39">
      <c r="A38" s="162" t="s">
        <v>64</v>
      </c>
      <c r="B38" s="174" t="s">
        <v>124</v>
      </c>
      <c r="C38" s="165">
        <f>+C12/C3</f>
        <v>134.998843423184</v>
      </c>
      <c r="D38" s="165">
        <f t="shared" ref="D38:J38" si="13">+D12/D3</f>
        <v>130.055647895075</v>
      </c>
      <c r="E38" s="165">
        <f t="shared" si="13"/>
        <v>124.419706267438</v>
      </c>
      <c r="F38" s="165">
        <f t="shared" si="13"/>
        <v>119.130998487799</v>
      </c>
      <c r="G38" s="165">
        <f t="shared" si="13"/>
        <v>114.107247297823</v>
      </c>
      <c r="H38" s="165">
        <f t="shared" si="13"/>
        <v>109.234208643547</v>
      </c>
      <c r="I38" s="165">
        <f t="shared" si="13"/>
        <v>104.507361148899</v>
      </c>
      <c r="J38" s="165">
        <f t="shared" si="13"/>
        <v>115.884848981391</v>
      </c>
      <c r="K38" s="166"/>
      <c r="AL38" s="162" t="s">
        <v>64</v>
      </c>
      <c r="AM38" s="162" t="s">
        <v>125</v>
      </c>
    </row>
    <row r="39" s="150" customFormat="1" ht="15.75" customHeight="1" spans="1:39">
      <c r="A39" s="162" t="s">
        <v>66</v>
      </c>
      <c r="B39" s="174" t="s">
        <v>126</v>
      </c>
      <c r="C39" s="191">
        <f>+C20/C38</f>
        <v>2846.94402832874</v>
      </c>
      <c r="D39" s="191">
        <f t="shared" ref="D39:J39" si="14">+D20/D38</f>
        <v>16908.8788651494</v>
      </c>
      <c r="E39" s="191">
        <f t="shared" si="14"/>
        <v>21010.9586291861</v>
      </c>
      <c r="F39" s="191">
        <f t="shared" si="14"/>
        <v>25427.9695842989</v>
      </c>
      <c r="G39" s="191">
        <f t="shared" si="14"/>
        <v>26547.4759739709</v>
      </c>
      <c r="H39" s="191">
        <f t="shared" si="14"/>
        <v>27731.7833278767</v>
      </c>
      <c r="I39" s="191">
        <f t="shared" si="14"/>
        <v>28986.0864612103</v>
      </c>
      <c r="J39" s="191">
        <f t="shared" si="14"/>
        <v>146095.976050548</v>
      </c>
      <c r="K39" s="166"/>
      <c r="AL39" s="162" t="s">
        <v>66</v>
      </c>
      <c r="AM39" s="162" t="s">
        <v>126</v>
      </c>
    </row>
    <row r="40" s="150" customFormat="1" ht="15.75" customHeight="1" spans="1:39">
      <c r="A40" s="162" t="s">
        <v>127</v>
      </c>
      <c r="B40" s="167" t="s">
        <v>128</v>
      </c>
      <c r="C40" s="173"/>
      <c r="D40" s="173"/>
      <c r="E40" s="173"/>
      <c r="F40" s="173"/>
      <c r="G40" s="173"/>
      <c r="H40" s="173"/>
      <c r="I40" s="173"/>
      <c r="J40" s="173"/>
      <c r="K40" s="166"/>
      <c r="AL40" s="162" t="s">
        <v>127</v>
      </c>
      <c r="AM40" s="167" t="s">
        <v>128</v>
      </c>
    </row>
    <row r="41" s="150" customFormat="1" ht="15.75" customHeight="1" spans="1:39">
      <c r="A41" s="162" t="s">
        <v>64</v>
      </c>
      <c r="B41" s="162" t="s">
        <v>129</v>
      </c>
      <c r="C41" s="173">
        <f>+C14/C3</f>
        <v>24.1139883448704</v>
      </c>
      <c r="D41" s="173">
        <f t="shared" ref="D41:J41" si="15">+D14/D3</f>
        <v>20.8282521656488</v>
      </c>
      <c r="E41" s="173">
        <f t="shared" si="15"/>
        <v>19.7015957159522</v>
      </c>
      <c r="F41" s="173">
        <f t="shared" si="15"/>
        <v>18.9504914161545</v>
      </c>
      <c r="G41" s="173">
        <f t="shared" si="15"/>
        <v>18.9504914161545</v>
      </c>
      <c r="H41" s="173">
        <f t="shared" si="15"/>
        <v>18.9504914161545</v>
      </c>
      <c r="I41" s="173">
        <f t="shared" si="15"/>
        <v>18.9504914161545</v>
      </c>
      <c r="J41" s="173">
        <f t="shared" si="15"/>
        <v>19.2919024615171</v>
      </c>
      <c r="K41" s="166"/>
      <c r="AL41" s="162" t="s">
        <v>64</v>
      </c>
      <c r="AM41" s="162" t="s">
        <v>129</v>
      </c>
    </row>
    <row r="42" s="150" customFormat="1" ht="15.75" customHeight="1" spans="1:39">
      <c r="A42" s="162" t="s">
        <v>66</v>
      </c>
      <c r="B42" s="162" t="s">
        <v>130</v>
      </c>
      <c r="C42" s="173">
        <f>+C16/C3</f>
        <v>3.0357215873356</v>
      </c>
      <c r="D42" s="173">
        <f t="shared" ref="D42:J42" si="16">+D16/D3</f>
        <v>3.36681541039532</v>
      </c>
      <c r="E42" s="173">
        <f t="shared" si="16"/>
        <v>3.21230495963412</v>
      </c>
      <c r="F42" s="173">
        <f t="shared" si="16"/>
        <v>3.10929799245998</v>
      </c>
      <c r="G42" s="173">
        <f t="shared" si="16"/>
        <v>3.10929799245998</v>
      </c>
      <c r="H42" s="173">
        <f t="shared" si="16"/>
        <v>3.10929799245998</v>
      </c>
      <c r="I42" s="173">
        <f t="shared" si="16"/>
        <v>3.10929799245998</v>
      </c>
      <c r="J42" s="173">
        <f t="shared" si="16"/>
        <v>3.1561193411755</v>
      </c>
      <c r="K42" s="166"/>
      <c r="AL42" s="162" t="s">
        <v>66</v>
      </c>
      <c r="AM42" s="162" t="s">
        <v>130</v>
      </c>
    </row>
    <row r="43" s="150" customFormat="1" ht="15.75" customHeight="1" spans="1:39">
      <c r="A43" s="162" t="s">
        <v>115</v>
      </c>
      <c r="B43" s="162" t="s">
        <v>131</v>
      </c>
      <c r="C43" s="173">
        <f>+C17/C3</f>
        <v>14.7449334242015</v>
      </c>
      <c r="D43" s="173">
        <f t="shared" ref="D43:J43" si="17">+D17/D3</f>
        <v>16.3531034219201</v>
      </c>
      <c r="E43" s="173">
        <f t="shared" si="17"/>
        <v>15.6026240896514</v>
      </c>
      <c r="F43" s="173">
        <f t="shared" si="17"/>
        <v>15.1023045348056</v>
      </c>
      <c r="G43" s="173">
        <f t="shared" si="17"/>
        <v>15.1023045348056</v>
      </c>
      <c r="H43" s="173">
        <f t="shared" si="17"/>
        <v>15.1023045348056</v>
      </c>
      <c r="I43" s="173">
        <f t="shared" si="17"/>
        <v>15.1023045348056</v>
      </c>
      <c r="J43" s="173">
        <f t="shared" si="17"/>
        <v>15.329722514281</v>
      </c>
      <c r="K43" s="166"/>
      <c r="AL43" s="162" t="s">
        <v>115</v>
      </c>
      <c r="AM43" s="162" t="s">
        <v>131</v>
      </c>
    </row>
    <row r="44" s="150" customFormat="1" ht="15.75" customHeight="1" spans="1:39">
      <c r="A44" s="162" t="s">
        <v>69</v>
      </c>
      <c r="B44" s="162" t="s">
        <v>132</v>
      </c>
      <c r="C44" s="173">
        <f>C18/C3</f>
        <v>0</v>
      </c>
      <c r="D44" s="173">
        <f t="shared" ref="D44:J44" si="18">D18/D3</f>
        <v>0</v>
      </c>
      <c r="E44" s="173">
        <f t="shared" si="18"/>
        <v>0</v>
      </c>
      <c r="F44" s="173">
        <f t="shared" si="18"/>
        <v>0</v>
      </c>
      <c r="G44" s="173">
        <f t="shared" si="18"/>
        <v>0</v>
      </c>
      <c r="H44" s="173">
        <f t="shared" si="18"/>
        <v>0</v>
      </c>
      <c r="I44" s="173">
        <f t="shared" si="18"/>
        <v>0</v>
      </c>
      <c r="J44" s="173">
        <f t="shared" si="18"/>
        <v>0</v>
      </c>
      <c r="K44" s="166"/>
      <c r="AL44" s="162" t="s">
        <v>69</v>
      </c>
      <c r="AM44" s="162" t="s">
        <v>133</v>
      </c>
    </row>
    <row r="45" s="150" customFormat="1" ht="15.75" customHeight="1" spans="1:39">
      <c r="A45" s="162" t="s">
        <v>72</v>
      </c>
      <c r="B45" s="162" t="s">
        <v>134</v>
      </c>
      <c r="C45" s="173">
        <f>C19/C3</f>
        <v>13.0102353742954</v>
      </c>
      <c r="D45" s="173">
        <f t="shared" ref="D45:J45" si="19">D19/D3</f>
        <v>14.4292089016942</v>
      </c>
      <c r="E45" s="173">
        <f t="shared" si="19"/>
        <v>13.7670212555748</v>
      </c>
      <c r="F45" s="173">
        <f t="shared" si="19"/>
        <v>13.3255628248285</v>
      </c>
      <c r="G45" s="173">
        <f t="shared" si="19"/>
        <v>13.3255628248285</v>
      </c>
      <c r="H45" s="173">
        <f t="shared" si="19"/>
        <v>13.3255628248285</v>
      </c>
      <c r="I45" s="173">
        <f t="shared" si="19"/>
        <v>13.3255628248285</v>
      </c>
      <c r="J45" s="173">
        <f t="shared" si="19"/>
        <v>13.526225747895</v>
      </c>
      <c r="K45" s="166"/>
      <c r="AL45" s="162" t="s">
        <v>72</v>
      </c>
      <c r="AM45" s="162" t="s">
        <v>134</v>
      </c>
    </row>
    <row r="46" s="150" customFormat="1" ht="15.75" customHeight="1" spans="1:39">
      <c r="A46" s="162" t="s">
        <v>135</v>
      </c>
      <c r="B46" s="167" t="s">
        <v>136</v>
      </c>
      <c r="C46" s="173"/>
      <c r="D46" s="173"/>
      <c r="E46" s="173"/>
      <c r="F46" s="173"/>
      <c r="G46" s="173"/>
      <c r="H46" s="173"/>
      <c r="I46" s="173"/>
      <c r="J46" s="173"/>
      <c r="K46" s="166"/>
      <c r="AL46" s="162" t="s">
        <v>135</v>
      </c>
      <c r="AM46" s="167" t="s">
        <v>136</v>
      </c>
    </row>
    <row r="47" s="150" customFormat="1" ht="15.75" customHeight="1" spans="1:39">
      <c r="A47" s="162" t="s">
        <v>64</v>
      </c>
      <c r="B47" s="162" t="s">
        <v>137</v>
      </c>
      <c r="C47" s="177">
        <f>+(C10+C16)/C6</f>
        <v>0.0359131990151044</v>
      </c>
      <c r="D47" s="177">
        <f t="shared" ref="D47:J47" si="20">+(D10+D16)/D6</f>
        <v>0.0378001558455923</v>
      </c>
      <c r="E47" s="177">
        <f t="shared" si="20"/>
        <v>0.0386122149598177</v>
      </c>
      <c r="F47" s="177">
        <f t="shared" si="20"/>
        <v>0.0395448756690925</v>
      </c>
      <c r="G47" s="177">
        <f t="shared" si="20"/>
        <v>0.0407679130609201</v>
      </c>
      <c r="H47" s="177">
        <f t="shared" si="20"/>
        <v>0.042028776351464</v>
      </c>
      <c r="I47" s="177">
        <f t="shared" si="20"/>
        <v>0.0433286354138805</v>
      </c>
      <c r="J47" s="177">
        <f t="shared" si="20"/>
        <v>0.0404306555290247</v>
      </c>
      <c r="K47" s="166"/>
      <c r="AL47" s="162" t="s">
        <v>64</v>
      </c>
      <c r="AM47" s="162" t="s">
        <v>137</v>
      </c>
    </row>
    <row r="48" s="150" customFormat="1" ht="15.75" customHeight="1" spans="1:39">
      <c r="A48" s="162" t="s">
        <v>66</v>
      </c>
      <c r="B48" s="162" t="s">
        <v>138</v>
      </c>
      <c r="C48" s="177">
        <f>+(C8+C9+C14)/C6</f>
        <v>0.0847860536472836</v>
      </c>
      <c r="D48" s="177">
        <f t="shared" ref="D48:J48" si="21">+(D8+D9+D14)/D6</f>
        <v>0.0801247336281392</v>
      </c>
      <c r="E48" s="177">
        <f t="shared" si="21"/>
        <v>0.0815642563487089</v>
      </c>
      <c r="F48" s="177">
        <f t="shared" si="21"/>
        <v>0.0833260693799997</v>
      </c>
      <c r="G48" s="177">
        <f t="shared" si="21"/>
        <v>0.085903164309278</v>
      </c>
      <c r="H48" s="177">
        <f t="shared" si="21"/>
        <v>0.0885599632054413</v>
      </c>
      <c r="I48" s="177">
        <f t="shared" si="21"/>
        <v>0.0912989311396303</v>
      </c>
      <c r="J48" s="177">
        <f t="shared" si="21"/>
        <v>0.0852910623592988</v>
      </c>
      <c r="K48" s="166"/>
      <c r="AL48" s="162" t="s">
        <v>66</v>
      </c>
      <c r="AM48" s="162" t="s">
        <v>138</v>
      </c>
    </row>
    <row r="49" s="150" customFormat="1" ht="15.75" customHeight="1" spans="1:39">
      <c r="A49" s="162" t="s">
        <v>115</v>
      </c>
      <c r="B49" s="162" t="s">
        <v>139</v>
      </c>
      <c r="C49" s="177">
        <f>+C17/C6</f>
        <v>0.0239421326767363</v>
      </c>
      <c r="D49" s="177">
        <f t="shared" ref="D49:J49" si="22">+D17/D6</f>
        <v>0.0252001038970615</v>
      </c>
      <c r="E49" s="177">
        <f t="shared" si="22"/>
        <v>0.0257414766398785</v>
      </c>
      <c r="F49" s="177">
        <f t="shared" si="22"/>
        <v>0.0263632504460616</v>
      </c>
      <c r="G49" s="177">
        <f t="shared" si="22"/>
        <v>0.02717860870728</v>
      </c>
      <c r="H49" s="177">
        <f t="shared" si="22"/>
        <v>0.0280191842343093</v>
      </c>
      <c r="I49" s="177">
        <f t="shared" si="22"/>
        <v>0.028885756942587</v>
      </c>
      <c r="J49" s="177">
        <f t="shared" si="22"/>
        <v>0.0269537703526831</v>
      </c>
      <c r="K49" s="166"/>
      <c r="AL49" s="162" t="s">
        <v>115</v>
      </c>
      <c r="AM49" s="162" t="s">
        <v>139</v>
      </c>
    </row>
    <row r="50" s="150" customFormat="1" ht="15.75" customHeight="1" spans="1:39">
      <c r="A50" s="162" t="s">
        <v>69</v>
      </c>
      <c r="B50" s="162" t="s">
        <v>140</v>
      </c>
      <c r="C50" s="177">
        <f>+C18/C6</f>
        <v>0</v>
      </c>
      <c r="D50" s="177">
        <f t="shared" ref="D50:J50" si="23">+D18/D6</f>
        <v>0</v>
      </c>
      <c r="E50" s="177">
        <f t="shared" si="23"/>
        <v>0</v>
      </c>
      <c r="F50" s="177">
        <f t="shared" si="23"/>
        <v>0</v>
      </c>
      <c r="G50" s="177">
        <f t="shared" si="23"/>
        <v>0</v>
      </c>
      <c r="H50" s="177">
        <f t="shared" si="23"/>
        <v>0</v>
      </c>
      <c r="I50" s="177">
        <f t="shared" si="23"/>
        <v>0</v>
      </c>
      <c r="J50" s="177">
        <f t="shared" si="23"/>
        <v>0</v>
      </c>
      <c r="K50" s="166"/>
      <c r="AL50" s="162" t="s">
        <v>69</v>
      </c>
      <c r="AM50" s="162" t="s">
        <v>140</v>
      </c>
    </row>
    <row r="51" s="150" customFormat="1" ht="15.75" customHeight="1" spans="1:39">
      <c r="A51" s="162" t="s">
        <v>72</v>
      </c>
      <c r="B51" s="162" t="s">
        <v>141</v>
      </c>
      <c r="C51" s="177">
        <f>+C19/C6</f>
        <v>0.0211254111853556</v>
      </c>
      <c r="D51" s="177">
        <f t="shared" ref="D51:J51" si="24">+D19/D6</f>
        <v>0.0222353857915249</v>
      </c>
      <c r="E51" s="177">
        <f t="shared" si="24"/>
        <v>0.0227130676234222</v>
      </c>
      <c r="F51" s="177">
        <f t="shared" si="24"/>
        <v>0.0232616915700544</v>
      </c>
      <c r="G51" s="177">
        <f t="shared" si="24"/>
        <v>0.023981125329953</v>
      </c>
      <c r="H51" s="177">
        <f t="shared" si="24"/>
        <v>0.0247228096185082</v>
      </c>
      <c r="I51" s="177">
        <f t="shared" si="24"/>
        <v>0.0254874325964002</v>
      </c>
      <c r="J51" s="177">
        <f t="shared" si="24"/>
        <v>0.0237827385464851</v>
      </c>
      <c r="K51" s="166"/>
      <c r="AL51" s="162" t="s">
        <v>72</v>
      </c>
      <c r="AM51" s="162" t="s">
        <v>141</v>
      </c>
    </row>
    <row r="52" s="150" customFormat="1" ht="15.75" customHeight="1" spans="1:39">
      <c r="A52" s="162" t="s">
        <v>76</v>
      </c>
      <c r="B52" s="162" t="s">
        <v>142</v>
      </c>
      <c r="C52" s="177">
        <f>+C23/C6</f>
        <v>0.0975396229727499</v>
      </c>
      <c r="D52" s="177">
        <f t="shared" ref="D52:J52" si="25">+D23/D6</f>
        <v>0.0867716101837828</v>
      </c>
      <c r="E52" s="177">
        <f t="shared" si="25"/>
        <v>0.0892586051491795</v>
      </c>
      <c r="F52" s="177">
        <f t="shared" si="25"/>
        <v>0.0898701389431878</v>
      </c>
      <c r="G52" s="177">
        <f t="shared" si="25"/>
        <v>0.0858689456865203</v>
      </c>
      <c r="H52" s="177">
        <f t="shared" si="25"/>
        <v>0.081744004184802</v>
      </c>
      <c r="I52" s="177">
        <f t="shared" si="25"/>
        <v>0.0770972705938862</v>
      </c>
      <c r="J52" s="177">
        <f t="shared" si="25"/>
        <v>0.0850970109902174</v>
      </c>
      <c r="K52" s="166"/>
      <c r="AL52" s="162" t="s">
        <v>76</v>
      </c>
      <c r="AM52" s="162" t="s">
        <v>143</v>
      </c>
    </row>
    <row r="53" s="150" customFormat="1" ht="15.75" customHeight="1" spans="1:39">
      <c r="A53" s="162" t="s">
        <v>144</v>
      </c>
      <c r="B53" s="167" t="s">
        <v>145</v>
      </c>
      <c r="C53" s="173">
        <f>+C21/C3</f>
        <v>80.0939646924809</v>
      </c>
      <c r="D53" s="173">
        <f t="shared" ref="D53:J53" si="26">+D21/D3</f>
        <v>75.0782679954162</v>
      </c>
      <c r="E53" s="173">
        <f t="shared" si="26"/>
        <v>72.136160246625</v>
      </c>
      <c r="F53" s="173">
        <f t="shared" si="26"/>
        <v>68.6433417195501</v>
      </c>
      <c r="G53" s="173">
        <f t="shared" si="26"/>
        <v>63.6195905295745</v>
      </c>
      <c r="H53" s="173">
        <f t="shared" si="26"/>
        <v>58.7465518752988</v>
      </c>
      <c r="I53" s="173">
        <f t="shared" si="26"/>
        <v>54.0197043806509</v>
      </c>
      <c r="J53" s="173">
        <f t="shared" si="26"/>
        <v>64.5808789165223</v>
      </c>
      <c r="K53" s="166"/>
      <c r="AL53" s="162" t="s">
        <v>144</v>
      </c>
      <c r="AM53" s="167" t="s">
        <v>145</v>
      </c>
    </row>
    <row r="54" s="150" customFormat="1" ht="15.75" customHeight="1" spans="1:39">
      <c r="A54" s="162" t="s">
        <v>146</v>
      </c>
      <c r="B54" s="206" t="s">
        <v>147</v>
      </c>
      <c r="C54" s="173"/>
      <c r="D54" s="173"/>
      <c r="E54" s="173"/>
      <c r="F54" s="173"/>
      <c r="G54" s="173"/>
      <c r="H54" s="173"/>
      <c r="I54" s="173"/>
      <c r="J54" s="173"/>
      <c r="K54" s="166"/>
      <c r="AL54" s="162"/>
      <c r="AM54" s="167"/>
    </row>
    <row r="55" s="150" customFormat="1" ht="15.75" customHeight="1" spans="1:11">
      <c r="A55" s="162" t="s">
        <v>64</v>
      </c>
      <c r="B55" s="162" t="s">
        <v>148</v>
      </c>
      <c r="C55" s="173"/>
      <c r="D55" s="173"/>
      <c r="E55" s="173"/>
      <c r="F55" s="173"/>
      <c r="G55" s="173"/>
      <c r="H55" s="173"/>
      <c r="I55" s="173"/>
      <c r="J55" s="173"/>
      <c r="K55" s="166"/>
    </row>
    <row r="56" s="150" customFormat="1" ht="15.75" customHeight="1" spans="1:11">
      <c r="A56" s="162">
        <v>1.1</v>
      </c>
      <c r="B56" s="207" t="s">
        <v>149</v>
      </c>
      <c r="C56" s="173"/>
      <c r="D56" s="173"/>
      <c r="E56" s="173"/>
      <c r="F56" s="173"/>
      <c r="G56" s="173"/>
      <c r="H56" s="173"/>
      <c r="I56" s="173"/>
      <c r="J56" s="173"/>
      <c r="K56" s="166"/>
    </row>
    <row r="57" s="150" customFormat="1" ht="15.75" customHeight="1" spans="1:11">
      <c r="A57" s="162">
        <v>1.2</v>
      </c>
      <c r="B57" s="162" t="s">
        <v>150</v>
      </c>
      <c r="C57" s="173"/>
      <c r="D57" s="173"/>
      <c r="E57" s="173"/>
      <c r="F57" s="173"/>
      <c r="G57" s="173"/>
      <c r="H57" s="173"/>
      <c r="I57" s="173"/>
      <c r="J57" s="173"/>
      <c r="K57" s="166"/>
    </row>
    <row r="58" ht="15.75" customHeight="1" spans="1:11">
      <c r="A58" s="196" t="s">
        <v>66</v>
      </c>
      <c r="B58" s="196" t="s">
        <v>151</v>
      </c>
      <c r="C58" s="208">
        <f>C59+C60</f>
        <v>420493.314635525</v>
      </c>
      <c r="D58" s="208">
        <f t="shared" ref="D58:J58" si="27">D59+D60</f>
        <v>2252348.03986249</v>
      </c>
      <c r="E58" s="208">
        <f t="shared" si="27"/>
        <v>2705106.00924844</v>
      </c>
      <c r="F58" s="208">
        <f t="shared" si="27"/>
        <v>3088950.37737975</v>
      </c>
      <c r="G58" s="208">
        <f t="shared" si="27"/>
        <v>2862881.57383085</v>
      </c>
      <c r="H58" s="208">
        <f t="shared" si="27"/>
        <v>2643594.83438845</v>
      </c>
      <c r="I58" s="208">
        <f t="shared" si="27"/>
        <v>2418520.23118264</v>
      </c>
      <c r="J58" s="208">
        <f t="shared" si="27"/>
        <v>15971401.0658926</v>
      </c>
      <c r="K58" s="166"/>
    </row>
    <row r="59" ht="15.75" customHeight="1" spans="1:11">
      <c r="A59" s="196" t="s">
        <v>115</v>
      </c>
      <c r="B59" s="196" t="s">
        <v>152</v>
      </c>
      <c r="C59" s="208">
        <f>C23</f>
        <v>420493.314635525</v>
      </c>
      <c r="D59" s="208">
        <f t="shared" ref="D59:J59" si="28">D23</f>
        <v>2252348.03986249</v>
      </c>
      <c r="E59" s="208">
        <f t="shared" si="28"/>
        <v>2705106.00924844</v>
      </c>
      <c r="F59" s="208">
        <f t="shared" si="28"/>
        <v>3088950.37737975</v>
      </c>
      <c r="G59" s="208">
        <f t="shared" si="28"/>
        <v>2862881.57383085</v>
      </c>
      <c r="H59" s="208">
        <f t="shared" si="28"/>
        <v>2643594.83438845</v>
      </c>
      <c r="I59" s="208">
        <f t="shared" si="28"/>
        <v>2418520.23118264</v>
      </c>
      <c r="J59" s="208">
        <f t="shared" si="28"/>
        <v>15971401.0658926</v>
      </c>
      <c r="K59" s="166"/>
    </row>
    <row r="60" ht="15.75" customHeight="1" spans="1:11">
      <c r="A60" s="196" t="s">
        <v>69</v>
      </c>
      <c r="B60" s="196" t="s">
        <v>153</v>
      </c>
      <c r="C60" s="196"/>
      <c r="D60" s="208">
        <f>'[2]2023年'!I18</f>
        <v>0</v>
      </c>
      <c r="E60" s="208"/>
      <c r="F60" s="208"/>
      <c r="G60" s="208"/>
      <c r="H60" s="208"/>
      <c r="I60" s="208"/>
      <c r="J60" s="208">
        <f>[2]项目投资!G26</f>
        <v>0</v>
      </c>
      <c r="K60" s="166"/>
    </row>
    <row r="61" ht="15.75" customHeight="1" spans="1:11">
      <c r="A61" s="196" t="s">
        <v>72</v>
      </c>
      <c r="B61" s="196" t="s">
        <v>154</v>
      </c>
      <c r="C61" s="196"/>
      <c r="D61" s="209"/>
      <c r="E61" s="209"/>
      <c r="F61" s="209"/>
      <c r="G61" s="209"/>
      <c r="H61" s="209"/>
      <c r="I61" s="209"/>
      <c r="J61" s="208"/>
      <c r="K61" s="166"/>
    </row>
    <row r="63" spans="2:3">
      <c r="B63"/>
      <c r="C63"/>
    </row>
  </sheetData>
  <mergeCells count="2">
    <mergeCell ref="A1:J1"/>
    <mergeCell ref="A2:A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4"/>
  <sheetViews>
    <sheetView zoomScale="85" zoomScaleNormal="85" workbookViewId="0">
      <pane xSplit="2" ySplit="7" topLeftCell="C8" activePane="bottomRight" state="frozen"/>
      <selection/>
      <selection pane="topRight"/>
      <selection pane="bottomLeft"/>
      <selection pane="bottomRight" activeCell="G18" sqref="G18"/>
    </sheetView>
  </sheetViews>
  <sheetFormatPr defaultColWidth="9" defaultRowHeight="14.5"/>
  <cols>
    <col min="1" max="1" width="5.12727272727273" style="150" customWidth="1"/>
    <col min="2" max="2" width="17.5" style="150" customWidth="1"/>
    <col min="3" max="5" width="14.3636363636364" style="151" customWidth="1"/>
    <col min="6" max="6" width="18.7545454545455" style="151" customWidth="1"/>
    <col min="7" max="7" width="12.3727272727273" style="150" customWidth="1"/>
    <col min="8" max="8" width="10.1272727272727" style="150" customWidth="1"/>
    <col min="9" max="15" width="9" style="150" customWidth="1"/>
    <col min="16" max="16" width="9" style="150"/>
    <col min="17" max="17" width="9" style="150" hidden="1" customWidth="1"/>
    <col min="18" max="32" width="9" style="150"/>
    <col min="33" max="33" width="4.37272727272727" style="150" customWidth="1"/>
    <col min="34" max="34" width="13.8727272727273" style="150" customWidth="1"/>
    <col min="35" max="16384" width="9" style="150"/>
  </cols>
  <sheetData>
    <row r="1" spans="1:6">
      <c r="A1" s="152" t="s">
        <v>155</v>
      </c>
      <c r="B1" s="152"/>
      <c r="C1" s="153" t="s">
        <v>156</v>
      </c>
      <c r="D1" s="154"/>
      <c r="E1" s="154"/>
      <c r="F1" s="155"/>
    </row>
    <row r="2" spans="1:6">
      <c r="A2" s="152" t="s">
        <v>157</v>
      </c>
      <c r="B2" s="152"/>
      <c r="C2" s="156" t="s">
        <v>158</v>
      </c>
      <c r="D2" s="156"/>
      <c r="E2" s="156"/>
      <c r="F2" s="156"/>
    </row>
    <row r="3" spans="1:6">
      <c r="A3" s="152" t="s">
        <v>159</v>
      </c>
      <c r="B3" s="152"/>
      <c r="C3" s="157" t="s">
        <v>160</v>
      </c>
      <c r="D3" s="157" t="s">
        <v>161</v>
      </c>
      <c r="E3" s="157" t="s">
        <v>162</v>
      </c>
      <c r="F3" s="158" t="s">
        <v>60</v>
      </c>
    </row>
    <row r="4" spans="1:6">
      <c r="A4" s="152" t="s">
        <v>163</v>
      </c>
      <c r="B4" s="152"/>
      <c r="C4" s="79"/>
      <c r="D4" s="79"/>
      <c r="E4" s="79"/>
      <c r="F4" s="159"/>
    </row>
    <row r="5" ht="49.5" spans="1:35">
      <c r="A5" s="152" t="s">
        <v>164</v>
      </c>
      <c r="B5" s="152"/>
      <c r="C5" s="160" t="s">
        <v>165</v>
      </c>
      <c r="D5" s="160" t="s">
        <v>166</v>
      </c>
      <c r="E5" s="160" t="s">
        <v>167</v>
      </c>
      <c r="F5" s="161"/>
      <c r="AI5" s="150" t="s">
        <v>61</v>
      </c>
    </row>
    <row r="6" ht="16.5" spans="1:35">
      <c r="A6" s="162" t="s">
        <v>21</v>
      </c>
      <c r="B6" s="163" t="s">
        <v>168</v>
      </c>
      <c r="C6" s="164">
        <f>销量!C9</f>
        <v>1000</v>
      </c>
      <c r="D6" s="164">
        <f>销量!D9</f>
        <v>3500</v>
      </c>
      <c r="E6" s="164">
        <f>销量!E9</f>
        <v>2500</v>
      </c>
      <c r="F6" s="165">
        <f t="shared" ref="F6:F15" si="0">+SUM(C6:E6)</f>
        <v>7000</v>
      </c>
      <c r="Q6" s="163" t="s">
        <v>3</v>
      </c>
      <c r="AG6" s="162" t="s">
        <v>21</v>
      </c>
      <c r="AH6" s="163" t="s">
        <v>3</v>
      </c>
      <c r="AI6" s="150" t="s">
        <v>62</v>
      </c>
    </row>
    <row r="7" spans="1:35">
      <c r="A7" s="152">
        <v>1</v>
      </c>
      <c r="B7" s="163" t="s">
        <v>63</v>
      </c>
      <c r="C7" s="165">
        <f>C6*销量!C8</f>
        <v>1073000</v>
      </c>
      <c r="D7" s="165">
        <f>D6*销量!D8</f>
        <v>1795500</v>
      </c>
      <c r="E7" s="165">
        <f>E6*销量!E8</f>
        <v>1442500</v>
      </c>
      <c r="F7" s="165">
        <f t="shared" si="0"/>
        <v>4311000</v>
      </c>
      <c r="G7" s="151"/>
      <c r="Q7" s="163" t="s">
        <v>63</v>
      </c>
      <c r="AG7" s="162" t="s">
        <v>64</v>
      </c>
      <c r="AH7" s="163" t="s">
        <v>63</v>
      </c>
      <c r="AI7" s="150" t="s">
        <v>62</v>
      </c>
    </row>
    <row r="8" spans="1:35">
      <c r="A8" s="152">
        <v>2</v>
      </c>
      <c r="B8" s="152" t="s">
        <v>65</v>
      </c>
      <c r="C8" s="165"/>
      <c r="D8" s="165"/>
      <c r="E8" s="165"/>
      <c r="F8" s="165">
        <f>+SUM(C8:D8)</f>
        <v>0</v>
      </c>
      <c r="G8" s="166"/>
      <c r="Q8" s="152" t="s">
        <v>67</v>
      </c>
      <c r="AG8" s="162" t="s">
        <v>66</v>
      </c>
      <c r="AH8" s="152" t="s">
        <v>67</v>
      </c>
      <c r="AI8" s="150" t="s">
        <v>62</v>
      </c>
    </row>
    <row r="9" spans="1:35">
      <c r="A9" s="152">
        <v>3</v>
      </c>
      <c r="B9" s="163" t="s">
        <v>68</v>
      </c>
      <c r="C9" s="165">
        <f>+C7-C8</f>
        <v>1073000</v>
      </c>
      <c r="D9" s="165">
        <f>+D7-D8</f>
        <v>1795500</v>
      </c>
      <c r="E9" s="165">
        <f>+E7-E8</f>
        <v>1442500</v>
      </c>
      <c r="F9" s="165">
        <f t="shared" si="0"/>
        <v>4311000</v>
      </c>
      <c r="Q9" s="163" t="s">
        <v>68</v>
      </c>
      <c r="AG9" s="162" t="s">
        <v>69</v>
      </c>
      <c r="AH9" s="163" t="s">
        <v>68</v>
      </c>
      <c r="AI9" s="150" t="s">
        <v>70</v>
      </c>
    </row>
    <row r="10" spans="1:35">
      <c r="A10" s="152">
        <v>4</v>
      </c>
      <c r="B10" s="162" t="s">
        <v>73</v>
      </c>
      <c r="C10" s="165">
        <f>C6*C33</f>
        <v>852164.0872772</v>
      </c>
      <c r="D10" s="165">
        <f>D6*D33</f>
        <v>1156793.35873115</v>
      </c>
      <c r="E10" s="165">
        <f>E6*E33</f>
        <v>1026764.14132725</v>
      </c>
      <c r="F10" s="165">
        <f t="shared" si="0"/>
        <v>3035721.5873356</v>
      </c>
      <c r="Q10" s="162" t="s">
        <v>73</v>
      </c>
      <c r="AG10" s="162" t="s">
        <v>72</v>
      </c>
      <c r="AH10" s="162" t="s">
        <v>73</v>
      </c>
      <c r="AI10" s="150" t="s">
        <v>74</v>
      </c>
    </row>
    <row r="11" spans="1:34">
      <c r="A11" s="152">
        <v>5</v>
      </c>
      <c r="B11" s="162" t="s">
        <v>75</v>
      </c>
      <c r="C11" s="165">
        <f>+C6*C36</f>
        <v>36728.2721616473</v>
      </c>
      <c r="D11" s="165">
        <f>+D6*D36</f>
        <v>49857.7937613126</v>
      </c>
      <c r="E11" s="165">
        <f>+E6*E36</f>
        <v>44253.5344912045</v>
      </c>
      <c r="F11" s="165">
        <f t="shared" si="0"/>
        <v>130839.600414164</v>
      </c>
      <c r="Q11" s="162" t="s">
        <v>75</v>
      </c>
      <c r="AG11" s="162" t="s">
        <v>76</v>
      </c>
      <c r="AH11" s="162" t="s">
        <v>75</v>
      </c>
    </row>
    <row r="12" spans="1:34">
      <c r="A12" s="152">
        <v>6</v>
      </c>
      <c r="B12" s="162" t="s">
        <v>77</v>
      </c>
      <c r="C12" s="165">
        <f>+C6*C37</f>
        <v>18491.9606939152</v>
      </c>
      <c r="D12" s="165">
        <f>+D6*D37</f>
        <v>25102.415884466</v>
      </c>
      <c r="E12" s="165">
        <f>+E6*E37</f>
        <v>22280.7818668013</v>
      </c>
      <c r="F12" s="165">
        <f t="shared" si="0"/>
        <v>65875.1584451825</v>
      </c>
      <c r="Q12" s="162" t="s">
        <v>77</v>
      </c>
      <c r="AG12" s="162" t="s">
        <v>78</v>
      </c>
      <c r="AH12" s="162" t="s">
        <v>77</v>
      </c>
    </row>
    <row r="13" spans="1:35">
      <c r="A13" s="152">
        <v>7</v>
      </c>
      <c r="B13" s="162" t="s">
        <v>79</v>
      </c>
      <c r="C13" s="165">
        <f>+C6*C38</f>
        <v>37495.2198401968</v>
      </c>
      <c r="D13" s="165">
        <f>+D6*D38</f>
        <v>50898.9077841706</v>
      </c>
      <c r="E13" s="165">
        <f>+E6*E38</f>
        <v>45177.622218399</v>
      </c>
      <c r="F13" s="165">
        <f t="shared" si="0"/>
        <v>133571.749842766</v>
      </c>
      <c r="Q13" s="162" t="s">
        <v>79</v>
      </c>
      <c r="AG13" s="162" t="s">
        <v>80</v>
      </c>
      <c r="AH13" s="162" t="s">
        <v>79</v>
      </c>
      <c r="AI13" s="150" t="s">
        <v>62</v>
      </c>
    </row>
    <row r="14" spans="1:34">
      <c r="A14" s="152">
        <v>8</v>
      </c>
      <c r="B14" s="167" t="s">
        <v>81</v>
      </c>
      <c r="C14" s="165">
        <f>SUM(C11:C13)</f>
        <v>92715.4526957594</v>
      </c>
      <c r="D14" s="165">
        <f>SUM(D11:D13)</f>
        <v>125859.117429949</v>
      </c>
      <c r="E14" s="165">
        <f>SUM(E11:E13)</f>
        <v>111711.938576405</v>
      </c>
      <c r="F14" s="165">
        <f t="shared" si="0"/>
        <v>330286.508702113</v>
      </c>
      <c r="Q14" s="167" t="s">
        <v>81</v>
      </c>
      <c r="AG14" s="162" t="s">
        <v>82</v>
      </c>
      <c r="AH14" s="167" t="s">
        <v>81</v>
      </c>
    </row>
    <row r="15" spans="1:34">
      <c r="A15" s="152">
        <v>9</v>
      </c>
      <c r="B15" s="167" t="s">
        <v>83</v>
      </c>
      <c r="C15" s="165">
        <f>+C9-C10-C14</f>
        <v>128120.460027041</v>
      </c>
      <c r="D15" s="165">
        <f>+D9-D10-D14</f>
        <v>512847.523838901</v>
      </c>
      <c r="E15" s="165">
        <f>+E9-E10-E14</f>
        <v>304023.920096345</v>
      </c>
      <c r="F15" s="165">
        <f t="shared" si="0"/>
        <v>944991.903962287</v>
      </c>
      <c r="Q15" s="167" t="s">
        <v>83</v>
      </c>
      <c r="AG15" s="162" t="s">
        <v>84</v>
      </c>
      <c r="AH15" s="167" t="s">
        <v>83</v>
      </c>
    </row>
    <row r="16" spans="1:34">
      <c r="A16" s="152">
        <v>10</v>
      </c>
      <c r="B16" s="162" t="s">
        <v>85</v>
      </c>
      <c r="C16" s="168">
        <f t="shared" ref="C16:F16" si="1">+C15/C9</f>
        <v>0.119403970202275</v>
      </c>
      <c r="D16" s="168">
        <f t="shared" si="1"/>
        <v>0.285629364432693</v>
      </c>
      <c r="E16" s="168">
        <f t="shared" si="1"/>
        <v>0.210761816357952</v>
      </c>
      <c r="F16" s="168">
        <f t="shared" si="1"/>
        <v>0.219204802589257</v>
      </c>
      <c r="Q16" s="162" t="s">
        <v>85</v>
      </c>
      <c r="AG16" s="162" t="s">
        <v>86</v>
      </c>
      <c r="AH16" s="162" t="s">
        <v>85</v>
      </c>
    </row>
    <row r="17" spans="1:34">
      <c r="A17" s="152">
        <v>11</v>
      </c>
      <c r="B17" s="162" t="s">
        <v>87</v>
      </c>
      <c r="C17" s="165">
        <f>C6*C43+C18</f>
        <v>41272.0609116985</v>
      </c>
      <c r="D17" s="165">
        <f>D6*D43+D18</f>
        <v>69595.1943746438</v>
      </c>
      <c r="E17" s="165">
        <f>E6*E43+E18</f>
        <v>57930.6631277506</v>
      </c>
      <c r="F17" s="165">
        <f t="shared" ref="F17:F20" si="2">+SUM(C17:E17)</f>
        <v>168797.918414093</v>
      </c>
      <c r="G17" s="166"/>
      <c r="Q17" s="162" t="s">
        <v>87</v>
      </c>
      <c r="AG17" s="162" t="s">
        <v>88</v>
      </c>
      <c r="AH17" s="162" t="s">
        <v>87</v>
      </c>
    </row>
    <row r="18" s="148" customFormat="1" spans="1:9">
      <c r="A18" s="152">
        <v>12</v>
      </c>
      <c r="B18" s="170" t="s">
        <v>89</v>
      </c>
      <c r="C18" s="171">
        <f>$F$18/$F$6*C6</f>
        <v>6333.33333333333</v>
      </c>
      <c r="D18" s="171">
        <f>$F$18/$F$6*D6</f>
        <v>22166.6666666667</v>
      </c>
      <c r="E18" s="171">
        <f>$F$18/$F$6*E6</f>
        <v>15833.3333333333</v>
      </c>
      <c r="F18" s="165">
        <f>项目投资!D26</f>
        <v>44333.3333333333</v>
      </c>
      <c r="G18" s="172" t="s">
        <v>90</v>
      </c>
      <c r="H18" s="172"/>
      <c r="I18" s="172"/>
    </row>
    <row r="19" spans="1:35">
      <c r="A19" s="152">
        <v>13</v>
      </c>
      <c r="B19" s="162" t="s">
        <v>91</v>
      </c>
      <c r="C19" s="165">
        <f>C6*C44</f>
        <v>5965.1486109404</v>
      </c>
      <c r="D19" s="165">
        <f>D6*D44</f>
        <v>8097.55351111805</v>
      </c>
      <c r="E19" s="165">
        <f>E6*E44</f>
        <v>7187.34898929075</v>
      </c>
      <c r="F19" s="165">
        <f t="shared" si="2"/>
        <v>21250.0511113492</v>
      </c>
      <c r="G19" s="148"/>
      <c r="Q19" s="162" t="s">
        <v>91</v>
      </c>
      <c r="AG19" s="162" t="s">
        <v>92</v>
      </c>
      <c r="AH19" s="162" t="s">
        <v>91</v>
      </c>
      <c r="AI19" s="150" t="s">
        <v>62</v>
      </c>
    </row>
    <row r="20" spans="1:34">
      <c r="A20" s="152">
        <v>14</v>
      </c>
      <c r="B20" s="162" t="s">
        <v>93</v>
      </c>
      <c r="C20" s="165">
        <f>C6*C45</f>
        <v>28973.5789674248</v>
      </c>
      <c r="D20" s="165">
        <f>D6*D45</f>
        <v>39330.9741968591</v>
      </c>
      <c r="E20" s="165">
        <f>E6*E45</f>
        <v>34909.9808051265</v>
      </c>
      <c r="F20" s="165">
        <f t="shared" si="2"/>
        <v>103214.53396941</v>
      </c>
      <c r="Q20" s="162" t="s">
        <v>93</v>
      </c>
      <c r="AG20" s="162" t="s">
        <v>94</v>
      </c>
      <c r="AH20" s="162" t="s">
        <v>93</v>
      </c>
    </row>
    <row r="21" spans="1:34">
      <c r="A21" s="152">
        <v>15</v>
      </c>
      <c r="B21" s="162" t="s">
        <v>95</v>
      </c>
      <c r="C21" s="173">
        <f>$F$21/$F$6*C6</f>
        <v>0</v>
      </c>
      <c r="D21" s="173">
        <f>$F$21/$F$6*D6</f>
        <v>0</v>
      </c>
      <c r="E21" s="173">
        <f>$F$21/$F$6*E6</f>
        <v>0</v>
      </c>
      <c r="F21" s="165">
        <f>项目投资!D27</f>
        <v>0</v>
      </c>
      <c r="Q21" s="162" t="s">
        <v>95</v>
      </c>
      <c r="AG21" s="162"/>
      <c r="AH21" s="162"/>
    </row>
    <row r="22" spans="1:34">
      <c r="A22" s="152">
        <v>16</v>
      </c>
      <c r="B22" s="162" t="s">
        <v>96</v>
      </c>
      <c r="C22" s="165">
        <f>C6*C47</f>
        <v>25564.922618316</v>
      </c>
      <c r="D22" s="165">
        <f>D6*D47</f>
        <v>34703.8007619345</v>
      </c>
      <c r="E22" s="165">
        <f>E6*E47</f>
        <v>30802.9242398175</v>
      </c>
      <c r="F22" s="165">
        <f t="shared" ref="F22:F26" si="3">+SUM(C22:E22)</f>
        <v>91071.647620068</v>
      </c>
      <c r="Q22" s="162" t="s">
        <v>96</v>
      </c>
      <c r="AG22" s="162" t="s">
        <v>97</v>
      </c>
      <c r="AH22" s="162" t="s">
        <v>96</v>
      </c>
    </row>
    <row r="23" spans="1:34">
      <c r="A23" s="152">
        <v>17</v>
      </c>
      <c r="B23" s="167" t="s">
        <v>98</v>
      </c>
      <c r="C23" s="173">
        <f>+C22+C21+C20+C19+C17</f>
        <v>101775.71110838</v>
      </c>
      <c r="D23" s="173">
        <f>+D22+D21+D20+D19+D17</f>
        <v>151727.522844555</v>
      </c>
      <c r="E23" s="173">
        <f>+E22+E21+E20+E19+E17</f>
        <v>130830.917161985</v>
      </c>
      <c r="F23" s="165">
        <f t="shared" si="3"/>
        <v>384334.151114921</v>
      </c>
      <c r="Q23" s="167" t="s">
        <v>98</v>
      </c>
      <c r="AG23" s="162" t="s">
        <v>99</v>
      </c>
      <c r="AH23" s="167" t="s">
        <v>98</v>
      </c>
    </row>
    <row r="24" spans="1:34">
      <c r="A24" s="152">
        <v>18</v>
      </c>
      <c r="B24" s="174" t="s">
        <v>100</v>
      </c>
      <c r="C24" s="173">
        <f>+C15-C23</f>
        <v>26344.7489186613</v>
      </c>
      <c r="D24" s="173">
        <f>+D15-D23</f>
        <v>361120.000994346</v>
      </c>
      <c r="E24" s="173">
        <f>+E15-E23</f>
        <v>173193.00293436</v>
      </c>
      <c r="F24" s="165">
        <f t="shared" si="3"/>
        <v>560657.752847366</v>
      </c>
      <c r="H24" s="175"/>
      <c r="Q24" s="162" t="s">
        <v>100</v>
      </c>
      <c r="AG24" s="162" t="s">
        <v>101</v>
      </c>
      <c r="AH24" s="162" t="s">
        <v>100</v>
      </c>
    </row>
    <row r="25" spans="1:34">
      <c r="A25" s="152">
        <v>19</v>
      </c>
      <c r="B25" s="162" t="s">
        <v>169</v>
      </c>
      <c r="C25" s="173">
        <f>IF(C24&lt;0,0,C24*0.25)</f>
        <v>6586.18722966532</v>
      </c>
      <c r="D25" s="173">
        <f>IF(D24&lt;0,0,D24*0.25)</f>
        <v>90280.0002485864</v>
      </c>
      <c r="E25" s="173">
        <f>IF(E24&lt;0,0,E24*0.25)</f>
        <v>43298.2507335899</v>
      </c>
      <c r="F25" s="165">
        <f t="shared" si="3"/>
        <v>140164.438211842</v>
      </c>
      <c r="G25" s="2"/>
      <c r="H25" s="2"/>
      <c r="I25" s="2"/>
      <c r="Q25" s="162" t="s">
        <v>38</v>
      </c>
      <c r="AG25" s="162" t="s">
        <v>102</v>
      </c>
      <c r="AH25" s="162" t="s">
        <v>38</v>
      </c>
    </row>
    <row r="26" spans="1:34">
      <c r="A26" s="152">
        <v>20</v>
      </c>
      <c r="B26" s="162" t="s">
        <v>103</v>
      </c>
      <c r="C26" s="173">
        <f>C24-C25</f>
        <v>19758.5616889959</v>
      </c>
      <c r="D26" s="173">
        <f>D24-D25</f>
        <v>270840.000745759</v>
      </c>
      <c r="E26" s="173">
        <f>E24-E25</f>
        <v>129894.75220077</v>
      </c>
      <c r="F26" s="165">
        <f t="shared" si="3"/>
        <v>420493.314635525</v>
      </c>
      <c r="G26" s="2"/>
      <c r="H26" s="2"/>
      <c r="I26" s="2"/>
      <c r="Q26" s="162" t="s">
        <v>103</v>
      </c>
      <c r="AG26" s="162" t="s">
        <v>104</v>
      </c>
      <c r="AH26" s="162" t="s">
        <v>103</v>
      </c>
    </row>
    <row r="27" spans="1:34">
      <c r="A27" s="152">
        <v>21</v>
      </c>
      <c r="B27" s="162" t="s">
        <v>107</v>
      </c>
      <c r="C27" s="177">
        <f>C26/C7</f>
        <v>0.0184143165787474</v>
      </c>
      <c r="D27" s="177">
        <f t="shared" ref="C27:F27" si="4">D26/D7</f>
        <v>0.150843776522283</v>
      </c>
      <c r="E27" s="177">
        <f t="shared" si="4"/>
        <v>0.0900483550785232</v>
      </c>
      <c r="F27" s="177">
        <f t="shared" si="4"/>
        <v>0.0975396229727499</v>
      </c>
      <c r="G27" s="2"/>
      <c r="H27" s="2"/>
      <c r="I27" s="2"/>
      <c r="Q27" s="162" t="s">
        <v>107</v>
      </c>
      <c r="AG27" s="162" t="s">
        <v>106</v>
      </c>
      <c r="AH27" s="162" t="s">
        <v>107</v>
      </c>
    </row>
    <row r="28" spans="7:17">
      <c r="G28" s="2"/>
      <c r="H28" s="2"/>
      <c r="I28" s="2"/>
      <c r="Q28" s="162"/>
    </row>
    <row r="29" spans="1:33">
      <c r="A29" s="150" t="s">
        <v>108</v>
      </c>
      <c r="F29" s="151" t="s">
        <v>170</v>
      </c>
      <c r="G29" s="2"/>
      <c r="H29" s="2"/>
      <c r="I29" s="2"/>
      <c r="Q29" s="162"/>
      <c r="AG29" s="150" t="s">
        <v>108</v>
      </c>
    </row>
    <row r="30" spans="1:34">
      <c r="A30" s="162" t="s">
        <v>110</v>
      </c>
      <c r="B30" s="167" t="s">
        <v>111</v>
      </c>
      <c r="C30" s="173"/>
      <c r="D30" s="173"/>
      <c r="E30" s="173"/>
      <c r="F30" s="173"/>
      <c r="G30" s="2"/>
      <c r="H30" s="2"/>
      <c r="I30" s="2"/>
      <c r="K30" s="2"/>
      <c r="Q30" s="167" t="s">
        <v>111</v>
      </c>
      <c r="AG30" s="162" t="s">
        <v>112</v>
      </c>
      <c r="AH30" s="167" t="s">
        <v>111</v>
      </c>
    </row>
    <row r="31" spans="1:34">
      <c r="A31" s="152">
        <v>1</v>
      </c>
      <c r="B31" s="170" t="s">
        <v>113</v>
      </c>
      <c r="C31" s="178">
        <f>(C7-C8)/C6</f>
        <v>1073</v>
      </c>
      <c r="D31" s="178">
        <f>(D7-D8)/D6</f>
        <v>513</v>
      </c>
      <c r="E31" s="178">
        <f>(E7-E8)/E6</f>
        <v>577</v>
      </c>
      <c r="F31" s="173"/>
      <c r="G31" s="2"/>
      <c r="H31" s="2"/>
      <c r="I31" s="2"/>
      <c r="K31" s="2"/>
      <c r="Q31" s="162" t="s">
        <v>113</v>
      </c>
      <c r="AG31" s="162" t="s">
        <v>64</v>
      </c>
      <c r="AH31" s="162" t="s">
        <v>113</v>
      </c>
    </row>
    <row r="32" spans="1:34">
      <c r="A32" s="152">
        <v>2</v>
      </c>
      <c r="B32" s="162" t="s">
        <v>171</v>
      </c>
      <c r="C32" s="165">
        <f>C31*1</f>
        <v>1073</v>
      </c>
      <c r="D32" s="165">
        <f>D31*1</f>
        <v>513</v>
      </c>
      <c r="E32" s="165">
        <f>E31*1</f>
        <v>577</v>
      </c>
      <c r="F32" s="173"/>
      <c r="G32" s="2"/>
      <c r="H32" s="2"/>
      <c r="I32" s="2"/>
      <c r="J32" s="2"/>
      <c r="K32" s="2"/>
      <c r="L32" s="2"/>
      <c r="M32" s="2"/>
      <c r="AG32" s="162"/>
      <c r="AH32" s="162"/>
    </row>
    <row r="33" spans="1:34">
      <c r="A33" s="152">
        <v>3</v>
      </c>
      <c r="B33" s="170" t="s">
        <v>114</v>
      </c>
      <c r="C33" s="165">
        <f>材料成本!D24</f>
        <v>852.1640872772</v>
      </c>
      <c r="D33" s="165">
        <f>材料成本!E24</f>
        <v>330.5123882089</v>
      </c>
      <c r="E33" s="165">
        <f>材料成本!F24</f>
        <v>410.7056565309</v>
      </c>
      <c r="F33" s="173"/>
      <c r="H33" s="2"/>
      <c r="I33" s="2"/>
      <c r="J33" s="2"/>
      <c r="K33" s="2"/>
      <c r="L33" s="2"/>
      <c r="M33" s="2"/>
      <c r="Q33" s="162" t="s">
        <v>114</v>
      </c>
      <c r="AG33" s="162" t="s">
        <v>66</v>
      </c>
      <c r="AH33" s="162" t="s">
        <v>114</v>
      </c>
    </row>
    <row r="34" ht="17.25" customHeight="1" spans="1:34">
      <c r="A34" s="152">
        <v>4</v>
      </c>
      <c r="B34" s="162" t="s">
        <v>116</v>
      </c>
      <c r="C34" s="179">
        <f>C32-C33</f>
        <v>220.8359127228</v>
      </c>
      <c r="D34" s="179">
        <f>D32-D33</f>
        <v>182.4876117911</v>
      </c>
      <c r="E34" s="179">
        <f>E32-E33</f>
        <v>166.2943434691</v>
      </c>
      <c r="F34" s="173"/>
      <c r="H34" s="2"/>
      <c r="I34" s="2"/>
      <c r="J34" s="2"/>
      <c r="K34" s="2"/>
      <c r="L34" s="2"/>
      <c r="M34" s="2"/>
      <c r="Q34" s="162" t="s">
        <v>116</v>
      </c>
      <c r="AG34" s="162" t="s">
        <v>115</v>
      </c>
      <c r="AH34" s="162" t="s">
        <v>116</v>
      </c>
    </row>
    <row r="35" spans="1:34">
      <c r="A35" s="162" t="s">
        <v>112</v>
      </c>
      <c r="B35" s="167" t="s">
        <v>10</v>
      </c>
      <c r="C35" s="173"/>
      <c r="D35" s="173"/>
      <c r="E35" s="173"/>
      <c r="F35" s="173"/>
      <c r="G35" s="2"/>
      <c r="H35" s="2"/>
      <c r="I35" s="2"/>
      <c r="J35" s="2"/>
      <c r="K35" s="2"/>
      <c r="L35" s="2"/>
      <c r="M35" s="2"/>
      <c r="N35" s="2"/>
      <c r="O35" s="2"/>
      <c r="P35" s="2"/>
      <c r="Q35" s="167" t="s">
        <v>10</v>
      </c>
      <c r="AG35" s="162" t="s">
        <v>118</v>
      </c>
      <c r="AH35" s="167" t="s">
        <v>10</v>
      </c>
    </row>
    <row r="36" spans="1:34">
      <c r="A36" s="152">
        <v>1</v>
      </c>
      <c r="B36" s="162" t="s">
        <v>119</v>
      </c>
      <c r="C36" s="171">
        <f>标准成本!E4</f>
        <v>36.7282721616473</v>
      </c>
      <c r="D36" s="171">
        <f>标准成本!E16</f>
        <v>14.2450839318036</v>
      </c>
      <c r="E36" s="171">
        <f>标准成本!E29</f>
        <v>17.7014137964818</v>
      </c>
      <c r="F36" s="178"/>
      <c r="G36" s="2"/>
      <c r="H36" s="2"/>
      <c r="I36" s="2"/>
      <c r="J36" s="2"/>
      <c r="K36" s="2"/>
      <c r="L36" s="2"/>
      <c r="M36" s="2"/>
      <c r="N36" s="2"/>
      <c r="O36" s="2"/>
      <c r="P36" s="2"/>
      <c r="Q36" s="162" t="s">
        <v>119</v>
      </c>
      <c r="AG36" s="162" t="s">
        <v>115</v>
      </c>
      <c r="AH36" s="162" t="s">
        <v>119</v>
      </c>
    </row>
    <row r="37" spans="1:34">
      <c r="A37" s="152">
        <v>2</v>
      </c>
      <c r="B37" s="162" t="s">
        <v>120</v>
      </c>
      <c r="C37" s="171">
        <f>标准成本!E6</f>
        <v>18.4919606939152</v>
      </c>
      <c r="D37" s="171">
        <f>标准成本!E18</f>
        <v>7.17211882413313</v>
      </c>
      <c r="E37" s="171">
        <f>标准成本!E31</f>
        <v>8.91231274672053</v>
      </c>
      <c r="F37" s="178"/>
      <c r="G37" s="2"/>
      <c r="H37" s="2"/>
      <c r="I37" s="2"/>
      <c r="J37" s="2"/>
      <c r="K37" s="2"/>
      <c r="L37" s="2"/>
      <c r="M37" s="2"/>
      <c r="N37" s="2"/>
      <c r="O37" s="2"/>
      <c r="P37" s="2"/>
      <c r="Q37" s="162" t="s">
        <v>120</v>
      </c>
      <c r="AG37" s="162" t="s">
        <v>69</v>
      </c>
      <c r="AH37" s="162" t="s">
        <v>120</v>
      </c>
    </row>
    <row r="38" spans="1:34">
      <c r="A38" s="152">
        <v>3</v>
      </c>
      <c r="B38" s="162" t="s">
        <v>121</v>
      </c>
      <c r="C38" s="171">
        <f>标准成本!E10</f>
        <v>37.4952198401968</v>
      </c>
      <c r="D38" s="171">
        <f>标准成本!E22</f>
        <v>14.5425450811916</v>
      </c>
      <c r="E38" s="171">
        <f>标准成本!E35</f>
        <v>18.0710488873596</v>
      </c>
      <c r="F38" s="178"/>
      <c r="G38" s="2"/>
      <c r="H38" s="2"/>
      <c r="I38" s="2"/>
      <c r="J38" s="2"/>
      <c r="K38" s="2"/>
      <c r="L38" s="2"/>
      <c r="M38" s="2"/>
      <c r="N38" s="2"/>
      <c r="O38" s="2"/>
      <c r="P38" s="2"/>
      <c r="Q38" s="162" t="s">
        <v>121</v>
      </c>
      <c r="AG38" s="162" t="s">
        <v>76</v>
      </c>
      <c r="AH38" s="162" t="s">
        <v>121</v>
      </c>
    </row>
    <row r="39" spans="1:34">
      <c r="A39" s="162" t="s">
        <v>118</v>
      </c>
      <c r="B39" s="167" t="s">
        <v>123</v>
      </c>
      <c r="C39" s="173"/>
      <c r="D39" s="173"/>
      <c r="E39" s="173"/>
      <c r="F39" s="173"/>
      <c r="Q39" s="167" t="s">
        <v>123</v>
      </c>
      <c r="AG39" s="162" t="s">
        <v>122</v>
      </c>
      <c r="AH39" s="167" t="s">
        <v>123</v>
      </c>
    </row>
    <row r="40" spans="1:34">
      <c r="A40" s="152">
        <v>1</v>
      </c>
      <c r="B40" s="162" t="s">
        <v>125</v>
      </c>
      <c r="C40" s="173">
        <f>C34-C36-C37-C38</f>
        <v>128.120460027041</v>
      </c>
      <c r="D40" s="173">
        <f>D34-D36-D37-D38</f>
        <v>146.527863953972</v>
      </c>
      <c r="E40" s="173">
        <f>E34-E36-E37-E38</f>
        <v>121.609568038538</v>
      </c>
      <c r="F40" s="173"/>
      <c r="Q40" s="162" t="s">
        <v>125</v>
      </c>
      <c r="AG40" s="162" t="s">
        <v>64</v>
      </c>
      <c r="AH40" s="162" t="s">
        <v>125</v>
      </c>
    </row>
    <row r="41" spans="1:34">
      <c r="A41" s="152">
        <v>2</v>
      </c>
      <c r="B41" s="162" t="s">
        <v>126</v>
      </c>
      <c r="C41" s="173"/>
      <c r="D41" s="173"/>
      <c r="E41" s="173"/>
      <c r="F41" s="173"/>
      <c r="Q41" s="162" t="s">
        <v>126</v>
      </c>
      <c r="AG41" s="162" t="s">
        <v>66</v>
      </c>
      <c r="AH41" s="162" t="s">
        <v>126</v>
      </c>
    </row>
    <row r="42" spans="1:34">
      <c r="A42" s="162" t="s">
        <v>122</v>
      </c>
      <c r="B42" s="167" t="s">
        <v>128</v>
      </c>
      <c r="C42" s="173"/>
      <c r="D42" s="173"/>
      <c r="E42" s="173"/>
      <c r="F42" s="173"/>
      <c r="Q42" s="167" t="s">
        <v>128</v>
      </c>
      <c r="AG42" s="162" t="s">
        <v>127</v>
      </c>
      <c r="AH42" s="167" t="s">
        <v>128</v>
      </c>
    </row>
    <row r="43" spans="1:34">
      <c r="A43" s="152">
        <v>1</v>
      </c>
      <c r="B43" s="174" t="s">
        <v>129</v>
      </c>
      <c r="C43" s="171">
        <f>标准成本!E5</f>
        <v>34.9387275783652</v>
      </c>
      <c r="D43" s="171">
        <f>标准成本!E17</f>
        <v>13.5510079165649</v>
      </c>
      <c r="E43" s="171">
        <f>标准成本!E30</f>
        <v>16.8389319177669</v>
      </c>
      <c r="F43" s="173"/>
      <c r="Q43" s="162" t="s">
        <v>129</v>
      </c>
      <c r="AG43" s="162" t="s">
        <v>64</v>
      </c>
      <c r="AH43" s="162" t="s">
        <v>129</v>
      </c>
    </row>
    <row r="44" spans="1:34">
      <c r="A44" s="152">
        <v>2</v>
      </c>
      <c r="B44" s="174" t="s">
        <v>130</v>
      </c>
      <c r="C44" s="171">
        <f>标准成本!E9</f>
        <v>5.9651486109404</v>
      </c>
      <c r="D44" s="171">
        <f>标准成本!E21</f>
        <v>2.3135867174623</v>
      </c>
      <c r="E44" s="171">
        <f>标准成本!E34</f>
        <v>2.8749395957163</v>
      </c>
      <c r="F44" s="173"/>
      <c r="Q44" s="162" t="s">
        <v>130</v>
      </c>
      <c r="AG44" s="162" t="s">
        <v>66</v>
      </c>
      <c r="AH44" s="162" t="s">
        <v>130</v>
      </c>
    </row>
    <row r="45" spans="1:34">
      <c r="A45" s="152">
        <v>3</v>
      </c>
      <c r="B45" s="174" t="s">
        <v>131</v>
      </c>
      <c r="C45" s="171">
        <f>标准成本!E8</f>
        <v>28.9735789674248</v>
      </c>
      <c r="D45" s="171">
        <f>标准成本!E20</f>
        <v>11.2374211991026</v>
      </c>
      <c r="E45" s="171">
        <f>标准成本!E33</f>
        <v>13.9639923220506</v>
      </c>
      <c r="F45" s="173"/>
      <c r="Q45" s="162" t="s">
        <v>131</v>
      </c>
      <c r="AG45" s="162" t="s">
        <v>115</v>
      </c>
      <c r="AH45" s="162" t="s">
        <v>131</v>
      </c>
    </row>
    <row r="46" s="149" customFormat="1" spans="1:34">
      <c r="A46" s="152">
        <v>4</v>
      </c>
      <c r="B46" s="174" t="s">
        <v>132</v>
      </c>
      <c r="C46" s="180">
        <f>C21/C6</f>
        <v>0</v>
      </c>
      <c r="D46" s="180">
        <f>D21/D6</f>
        <v>0</v>
      </c>
      <c r="E46" s="180">
        <f>E21/E6</f>
        <v>0</v>
      </c>
      <c r="F46" s="180"/>
      <c r="Q46" s="174" t="s">
        <v>134</v>
      </c>
      <c r="AG46" s="174" t="s">
        <v>72</v>
      </c>
      <c r="AH46" s="174" t="s">
        <v>134</v>
      </c>
    </row>
    <row r="47" s="149" customFormat="1" spans="1:34">
      <c r="A47" s="152">
        <v>5</v>
      </c>
      <c r="B47" s="174" t="s">
        <v>134</v>
      </c>
      <c r="C47" s="180">
        <f>标准成本!E11</f>
        <v>25.564922618316</v>
      </c>
      <c r="D47" s="180">
        <f>标准成本!E23</f>
        <v>9.915371646267</v>
      </c>
      <c r="E47" s="180">
        <f>标准成本!E36</f>
        <v>12.321169695927</v>
      </c>
      <c r="F47" s="180"/>
      <c r="Q47" s="174" t="s">
        <v>134</v>
      </c>
      <c r="AG47" s="174" t="s">
        <v>72</v>
      </c>
      <c r="AH47" s="174" t="s">
        <v>134</v>
      </c>
    </row>
    <row r="48" spans="1:34">
      <c r="A48" s="162" t="s">
        <v>127</v>
      </c>
      <c r="B48" s="167" t="s">
        <v>145</v>
      </c>
      <c r="C48" s="173">
        <f>C40-C43-C44-C45-C47-C46</f>
        <v>32.6780822519942</v>
      </c>
      <c r="D48" s="173">
        <f>D40-D43-D44-D45-D47-D46</f>
        <v>109.510476474575</v>
      </c>
      <c r="E48" s="173">
        <f>E40-E43-E44-E45-E47-E46</f>
        <v>75.6105345070773</v>
      </c>
      <c r="F48" s="173"/>
      <c r="Q48" s="167" t="s">
        <v>145</v>
      </c>
      <c r="AG48" s="162" t="s">
        <v>144</v>
      </c>
      <c r="AH48" s="167" t="s">
        <v>145</v>
      </c>
    </row>
    <row r="51" spans="3:5">
      <c r="C51" s="181"/>
      <c r="D51" s="181"/>
      <c r="E51" s="181"/>
    </row>
    <row r="54" spans="2:11">
      <c r="B54" s="2"/>
      <c r="C54" s="182"/>
      <c r="D54" s="182"/>
      <c r="E54" s="182"/>
      <c r="F54" s="182"/>
      <c r="G54" s="2"/>
      <c r="H54" s="2"/>
      <c r="I54" s="2"/>
      <c r="J54" s="2"/>
      <c r="K54" s="2"/>
    </row>
    <row r="55" spans="2:11">
      <c r="B55" s="2"/>
      <c r="C55" s="182"/>
      <c r="D55" s="182"/>
      <c r="E55" s="182"/>
      <c r="F55" s="182"/>
      <c r="G55" s="2"/>
      <c r="H55" s="2"/>
      <c r="I55" s="2"/>
      <c r="J55" s="2"/>
      <c r="K55" s="2"/>
    </row>
    <row r="56" spans="2:11">
      <c r="B56" s="2"/>
      <c r="C56" s="182"/>
      <c r="D56" s="182"/>
      <c r="E56" s="182"/>
      <c r="F56" s="182"/>
      <c r="G56" s="2"/>
      <c r="H56" s="2"/>
      <c r="I56" s="2"/>
      <c r="J56" s="2"/>
      <c r="K56" s="2"/>
    </row>
    <row r="57" spans="2:11">
      <c r="B57" s="2"/>
      <c r="C57" s="182"/>
      <c r="D57" s="182"/>
      <c r="E57" s="182"/>
      <c r="F57" s="182"/>
      <c r="G57" s="2"/>
      <c r="H57" s="2"/>
      <c r="I57" s="2"/>
      <c r="J57" s="2"/>
      <c r="K57" s="2"/>
    </row>
    <row r="58" spans="2:11">
      <c r="B58" s="2"/>
      <c r="C58" s="182"/>
      <c r="D58" s="182"/>
      <c r="E58" s="182"/>
      <c r="F58" s="182"/>
      <c r="G58" s="2"/>
      <c r="H58" s="2"/>
      <c r="I58" s="2"/>
      <c r="J58" s="2"/>
      <c r="K58" s="2"/>
    </row>
    <row r="59" spans="2:11">
      <c r="B59" s="2"/>
      <c r="C59" s="182"/>
      <c r="D59" s="182"/>
      <c r="E59" s="182"/>
      <c r="F59" s="182"/>
      <c r="G59" s="2"/>
      <c r="H59" s="2"/>
      <c r="I59" s="2"/>
      <c r="J59" s="2"/>
      <c r="K59" s="2"/>
    </row>
    <row r="60" spans="2:11">
      <c r="B60" s="2"/>
      <c r="C60" s="182"/>
      <c r="D60" s="182"/>
      <c r="E60" s="182"/>
      <c r="F60" s="182"/>
      <c r="G60" s="2"/>
      <c r="H60" s="2"/>
      <c r="I60" s="2"/>
      <c r="J60" s="2"/>
      <c r="K60" s="2"/>
    </row>
    <row r="61" spans="2:11">
      <c r="B61" s="2"/>
      <c r="C61" s="182"/>
      <c r="D61" s="182"/>
      <c r="E61" s="182"/>
      <c r="F61" s="182"/>
      <c r="G61" s="2"/>
      <c r="H61" s="2"/>
      <c r="I61" s="2"/>
      <c r="J61" s="2"/>
      <c r="K61" s="2"/>
    </row>
    <row r="62" spans="2:11">
      <c r="B62" s="2"/>
      <c r="C62" s="182"/>
      <c r="D62" s="182"/>
      <c r="E62" s="182"/>
      <c r="F62" s="182"/>
      <c r="G62" s="2"/>
      <c r="H62" s="2"/>
      <c r="I62" s="2"/>
      <c r="J62" s="2"/>
      <c r="K62" s="2"/>
    </row>
    <row r="63" spans="2:11">
      <c r="B63" s="2"/>
      <c r="C63" s="182"/>
      <c r="D63" s="182"/>
      <c r="E63" s="182"/>
      <c r="F63" s="182"/>
      <c r="G63" s="2"/>
      <c r="H63" s="2"/>
      <c r="I63" s="2"/>
      <c r="J63" s="2"/>
      <c r="K63" s="2"/>
    </row>
    <row r="64" spans="2:11">
      <c r="B64" s="2"/>
      <c r="C64" s="182"/>
      <c r="D64" s="182"/>
      <c r="E64" s="182"/>
      <c r="F64" s="182"/>
      <c r="G64" s="2"/>
      <c r="H64" s="2"/>
      <c r="I64" s="2"/>
      <c r="J64" s="2"/>
      <c r="K64" s="2"/>
    </row>
    <row r="65" spans="2:11">
      <c r="B65" s="2"/>
      <c r="C65" s="182"/>
      <c r="D65" s="182"/>
      <c r="E65" s="182"/>
      <c r="F65" s="182"/>
      <c r="G65" s="2"/>
      <c r="H65" s="2"/>
      <c r="I65" s="2"/>
      <c r="J65" s="2"/>
      <c r="K65" s="2"/>
    </row>
    <row r="66" spans="2:11">
      <c r="B66" s="2"/>
      <c r="C66" s="182"/>
      <c r="D66" s="182"/>
      <c r="E66" s="182"/>
      <c r="F66" s="182"/>
      <c r="G66" s="2"/>
      <c r="H66" s="2"/>
      <c r="I66" s="2"/>
      <c r="J66" s="2"/>
      <c r="K66" s="2"/>
    </row>
    <row r="67" spans="2:7">
      <c r="B67" s="2"/>
      <c r="C67" s="182"/>
      <c r="D67" s="182"/>
      <c r="E67" s="182"/>
      <c r="F67" s="182"/>
      <c r="G67" s="2"/>
    </row>
    <row r="68" spans="2:7">
      <c r="B68" s="2"/>
      <c r="C68" s="182"/>
      <c r="D68" s="182"/>
      <c r="E68" s="182"/>
      <c r="F68" s="182"/>
      <c r="G68" s="2"/>
    </row>
    <row r="69" spans="2:7">
      <c r="B69" s="2"/>
      <c r="C69" s="182"/>
      <c r="D69" s="182"/>
      <c r="E69" s="182"/>
      <c r="F69" s="182"/>
      <c r="G69" s="2"/>
    </row>
    <row r="70" spans="2:7">
      <c r="B70" s="2"/>
      <c r="C70" s="182"/>
      <c r="D70" s="182"/>
      <c r="E70" s="182"/>
      <c r="F70" s="182"/>
      <c r="G70" s="2"/>
    </row>
    <row r="71" spans="2:7">
      <c r="B71" s="2"/>
      <c r="C71" s="182"/>
      <c r="D71" s="182"/>
      <c r="E71" s="182"/>
      <c r="F71" s="182"/>
      <c r="G71" s="2"/>
    </row>
    <row r="72" spans="2:7">
      <c r="B72" s="2"/>
      <c r="C72" s="182"/>
      <c r="D72" s="182"/>
      <c r="E72" s="182"/>
      <c r="F72" s="182"/>
      <c r="G72" s="2"/>
    </row>
    <row r="73" spans="2:7">
      <c r="B73" s="2"/>
      <c r="C73" s="182"/>
      <c r="D73" s="182"/>
      <c r="E73" s="182"/>
      <c r="F73" s="182"/>
      <c r="G73" s="2"/>
    </row>
    <row r="74" spans="2:7">
      <c r="B74" s="2"/>
      <c r="C74" s="182"/>
      <c r="D74" s="182"/>
      <c r="E74" s="182"/>
      <c r="F74" s="182"/>
      <c r="G74" s="2"/>
    </row>
  </sheetData>
  <mergeCells count="8">
    <mergeCell ref="A1:B1"/>
    <mergeCell ref="C1:F1"/>
    <mergeCell ref="A2:B2"/>
    <mergeCell ref="C2:F2"/>
    <mergeCell ref="A3:B3"/>
    <mergeCell ref="A4:B4"/>
    <mergeCell ref="A5:B5"/>
    <mergeCell ref="F3:F5"/>
  </mergeCells>
  <printOptions horizontalCentered="1"/>
  <pageMargins left="0.393700787401575" right="0.31496062992126" top="0.354330708661417" bottom="0.15748031496063" header="0.31496062992126" footer="0.31496062992126"/>
  <pageSetup paperSize="9" orientation="landscape"/>
  <headerFooter/>
  <rowBreaks count="1" manualBreakCount="1">
    <brk id="28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4"/>
  <sheetViews>
    <sheetView zoomScale="85" zoomScaleNormal="85" workbookViewId="0">
      <pane xSplit="2" ySplit="7" topLeftCell="C8" activePane="bottomRight" state="frozen"/>
      <selection/>
      <selection pane="topRight"/>
      <selection pane="bottomLeft"/>
      <selection pane="bottomRight" activeCell="C19" sqref="C19"/>
    </sheetView>
  </sheetViews>
  <sheetFormatPr defaultColWidth="9" defaultRowHeight="14.5"/>
  <cols>
    <col min="1" max="1" width="5.12727272727273" style="150" customWidth="1"/>
    <col min="2" max="2" width="17.5" style="150" customWidth="1"/>
    <col min="3" max="5" width="14.3636363636364" style="151" customWidth="1"/>
    <col min="6" max="6" width="18.7545454545455" style="151" customWidth="1"/>
    <col min="7" max="7" width="12.3727272727273" style="150" customWidth="1"/>
    <col min="8" max="8" width="10.1272727272727" style="150" customWidth="1"/>
    <col min="9" max="15" width="9" style="150" customWidth="1"/>
    <col min="16" max="16" width="9" style="150"/>
    <col min="17" max="17" width="9" style="150" hidden="1" customWidth="1"/>
    <col min="18" max="32" width="9" style="150"/>
    <col min="33" max="33" width="4.37272727272727" style="150" customWidth="1"/>
    <col min="34" max="34" width="13.8727272727273" style="150" customWidth="1"/>
    <col min="35" max="16384" width="9" style="150"/>
  </cols>
  <sheetData>
    <row r="1" spans="1:6">
      <c r="A1" s="152" t="s">
        <v>155</v>
      </c>
      <c r="B1" s="152"/>
      <c r="C1" s="153" t="s">
        <v>172</v>
      </c>
      <c r="D1" s="154"/>
      <c r="E1" s="154"/>
      <c r="F1" s="155"/>
    </row>
    <row r="2" spans="1:6">
      <c r="A2" s="152" t="s">
        <v>157</v>
      </c>
      <c r="B2" s="152"/>
      <c r="C2" s="156" t="s">
        <v>158</v>
      </c>
      <c r="D2" s="156"/>
      <c r="E2" s="156"/>
      <c r="F2" s="156"/>
    </row>
    <row r="3" spans="1:6">
      <c r="A3" s="152" t="s">
        <v>159</v>
      </c>
      <c r="B3" s="152"/>
      <c r="C3" s="157" t="s">
        <v>160</v>
      </c>
      <c r="D3" s="157" t="s">
        <v>161</v>
      </c>
      <c r="E3" s="157" t="s">
        <v>162</v>
      </c>
      <c r="F3" s="158" t="s">
        <v>60</v>
      </c>
    </row>
    <row r="4" spans="1:6">
      <c r="A4" s="152" t="s">
        <v>163</v>
      </c>
      <c r="B4" s="152"/>
      <c r="C4" s="79"/>
      <c r="D4" s="79"/>
      <c r="E4" s="79"/>
      <c r="F4" s="159"/>
    </row>
    <row r="5" ht="49.5" spans="1:35">
      <c r="A5" s="152" t="s">
        <v>164</v>
      </c>
      <c r="B5" s="152"/>
      <c r="C5" s="160" t="s">
        <v>165</v>
      </c>
      <c r="D5" s="160" t="s">
        <v>166</v>
      </c>
      <c r="E5" s="160" t="s">
        <v>167</v>
      </c>
      <c r="F5" s="161"/>
      <c r="AI5" s="150" t="s">
        <v>61</v>
      </c>
    </row>
    <row r="6" ht="16.5" spans="1:35">
      <c r="A6" s="162" t="s">
        <v>21</v>
      </c>
      <c r="B6" s="163" t="s">
        <v>168</v>
      </c>
      <c r="C6" s="164">
        <f>销量!C10</f>
        <v>10000</v>
      </c>
      <c r="D6" s="164">
        <f>销量!D10</f>
        <v>20000</v>
      </c>
      <c r="E6" s="164">
        <f>销量!E10</f>
        <v>10000</v>
      </c>
      <c r="F6" s="165">
        <f t="shared" ref="F6:F15" si="0">+SUM(C6:E6)</f>
        <v>40000</v>
      </c>
      <c r="Q6" s="163" t="s">
        <v>3</v>
      </c>
      <c r="AG6" s="162" t="s">
        <v>21</v>
      </c>
      <c r="AH6" s="163" t="s">
        <v>3</v>
      </c>
      <c r="AI6" s="150" t="s">
        <v>62</v>
      </c>
    </row>
    <row r="7" spans="1:35">
      <c r="A7" s="152">
        <v>1</v>
      </c>
      <c r="B7" s="163" t="s">
        <v>63</v>
      </c>
      <c r="C7" s="165">
        <f>C6*销量!C8</f>
        <v>10730000</v>
      </c>
      <c r="D7" s="165">
        <f>D6*销量!D8</f>
        <v>10260000</v>
      </c>
      <c r="E7" s="165">
        <f>E6*销量!E8</f>
        <v>5770000</v>
      </c>
      <c r="F7" s="165">
        <f t="shared" si="0"/>
        <v>26760000</v>
      </c>
      <c r="G7" s="151"/>
      <c r="Q7" s="163" t="s">
        <v>63</v>
      </c>
      <c r="AG7" s="162" t="s">
        <v>64</v>
      </c>
      <c r="AH7" s="163" t="s">
        <v>63</v>
      </c>
      <c r="AI7" s="150" t="s">
        <v>62</v>
      </c>
    </row>
    <row r="8" spans="1:35">
      <c r="A8" s="152">
        <v>2</v>
      </c>
      <c r="B8" s="152" t="s">
        <v>65</v>
      </c>
      <c r="C8" s="165">
        <f>C7*(1-销量!$P$7)</f>
        <v>321900</v>
      </c>
      <c r="D8" s="165">
        <f>D7*(1-销量!$P$7)</f>
        <v>307800</v>
      </c>
      <c r="E8" s="165">
        <f>E7*(1-销量!$P$7)</f>
        <v>173100</v>
      </c>
      <c r="F8" s="165">
        <f t="shared" si="0"/>
        <v>802800.000000001</v>
      </c>
      <c r="G8" s="166"/>
      <c r="Q8" s="152" t="s">
        <v>67</v>
      </c>
      <c r="AG8" s="162" t="s">
        <v>66</v>
      </c>
      <c r="AH8" s="152" t="s">
        <v>67</v>
      </c>
      <c r="AI8" s="150" t="s">
        <v>62</v>
      </c>
    </row>
    <row r="9" spans="1:35">
      <c r="A9" s="152">
        <v>3</v>
      </c>
      <c r="B9" s="163" t="s">
        <v>68</v>
      </c>
      <c r="C9" s="165">
        <f>+C7-C8</f>
        <v>10408100</v>
      </c>
      <c r="D9" s="165">
        <f>+D7-D8</f>
        <v>9952200</v>
      </c>
      <c r="E9" s="165">
        <f>+E7-E8</f>
        <v>5596900</v>
      </c>
      <c r="F9" s="165">
        <f t="shared" si="0"/>
        <v>25957200</v>
      </c>
      <c r="Q9" s="163" t="s">
        <v>68</v>
      </c>
      <c r="AG9" s="162" t="s">
        <v>69</v>
      </c>
      <c r="AH9" s="163" t="s">
        <v>68</v>
      </c>
      <c r="AI9" s="150" t="s">
        <v>70</v>
      </c>
    </row>
    <row r="10" spans="1:35">
      <c r="A10" s="152">
        <v>4</v>
      </c>
      <c r="B10" s="162" t="s">
        <v>73</v>
      </c>
      <c r="C10" s="165">
        <f>C6*C33</f>
        <v>8265991.64658884</v>
      </c>
      <c r="D10" s="165">
        <f>D6*D33</f>
        <v>6411940.33125266</v>
      </c>
      <c r="E10" s="165">
        <f>E6*E33</f>
        <v>3983844.86834973</v>
      </c>
      <c r="F10" s="165">
        <f t="shared" si="0"/>
        <v>18661776.8461912</v>
      </c>
      <c r="Q10" s="162" t="s">
        <v>73</v>
      </c>
      <c r="AG10" s="162" t="s">
        <v>72</v>
      </c>
      <c r="AH10" s="162" t="s">
        <v>73</v>
      </c>
      <c r="AI10" s="150" t="s">
        <v>74</v>
      </c>
    </row>
    <row r="11" spans="1:34">
      <c r="A11" s="152">
        <v>5</v>
      </c>
      <c r="B11" s="162" t="s">
        <v>75</v>
      </c>
      <c r="C11" s="165">
        <f>+C6*C36</f>
        <v>367282.721616473</v>
      </c>
      <c r="D11" s="165">
        <f>+D6*D36</f>
        <v>284901.678636072</v>
      </c>
      <c r="E11" s="165">
        <f>+E6*E36</f>
        <v>177014.137964818</v>
      </c>
      <c r="F11" s="165">
        <f t="shared" si="0"/>
        <v>829198.538217363</v>
      </c>
      <c r="Q11" s="162" t="s">
        <v>75</v>
      </c>
      <c r="AG11" s="162" t="s">
        <v>76</v>
      </c>
      <c r="AH11" s="162" t="s">
        <v>75</v>
      </c>
    </row>
    <row r="12" spans="1:34">
      <c r="A12" s="152">
        <v>6</v>
      </c>
      <c r="B12" s="162" t="s">
        <v>77</v>
      </c>
      <c r="C12" s="165">
        <f>+C6*C37</f>
        <v>184919.606939152</v>
      </c>
      <c r="D12" s="165">
        <f>+D6*D37</f>
        <v>143442.376482663</v>
      </c>
      <c r="E12" s="165">
        <f>+E6*E37</f>
        <v>89123.1274672053</v>
      </c>
      <c r="F12" s="165">
        <f t="shared" si="0"/>
        <v>417485.11088902</v>
      </c>
      <c r="Q12" s="162" t="s">
        <v>77</v>
      </c>
      <c r="AG12" s="162" t="s">
        <v>78</v>
      </c>
      <c r="AH12" s="162" t="s">
        <v>77</v>
      </c>
    </row>
    <row r="13" spans="1:35">
      <c r="A13" s="152">
        <v>7</v>
      </c>
      <c r="B13" s="162" t="s">
        <v>79</v>
      </c>
      <c r="C13" s="165">
        <f>+C6*C38</f>
        <v>374952.198401968</v>
      </c>
      <c r="D13" s="165">
        <f>+D6*D38</f>
        <v>290850.901623832</v>
      </c>
      <c r="E13" s="165">
        <f>+E6*E38</f>
        <v>180710.488873596</v>
      </c>
      <c r="F13" s="165">
        <f t="shared" si="0"/>
        <v>846513.588899396</v>
      </c>
      <c r="Q13" s="162" t="s">
        <v>79</v>
      </c>
      <c r="AG13" s="162" t="s">
        <v>80</v>
      </c>
      <c r="AH13" s="162" t="s">
        <v>79</v>
      </c>
      <c r="AI13" s="150" t="s">
        <v>62</v>
      </c>
    </row>
    <row r="14" spans="1:34">
      <c r="A14" s="152">
        <v>8</v>
      </c>
      <c r="B14" s="167" t="s">
        <v>81</v>
      </c>
      <c r="C14" s="165">
        <f>SUM(C11:C13)</f>
        <v>927154.526957593</v>
      </c>
      <c r="D14" s="165">
        <f>SUM(D11:D13)</f>
        <v>719194.956742566</v>
      </c>
      <c r="E14" s="165">
        <f>SUM(E11:E13)</f>
        <v>446847.754305619</v>
      </c>
      <c r="F14" s="165">
        <f t="shared" si="0"/>
        <v>2093197.23800578</v>
      </c>
      <c r="Q14" s="167" t="s">
        <v>81</v>
      </c>
      <c r="AG14" s="162" t="s">
        <v>82</v>
      </c>
      <c r="AH14" s="167" t="s">
        <v>81</v>
      </c>
    </row>
    <row r="15" spans="1:34">
      <c r="A15" s="152">
        <v>9</v>
      </c>
      <c r="B15" s="167" t="s">
        <v>83</v>
      </c>
      <c r="C15" s="165">
        <f>+C9-C10-C14</f>
        <v>1214953.82645357</v>
      </c>
      <c r="D15" s="165">
        <f>+D9-D10-D14</f>
        <v>2821064.71200477</v>
      </c>
      <c r="E15" s="165">
        <f>+E9-E10-E14</f>
        <v>1166207.37734465</v>
      </c>
      <c r="F15" s="165">
        <f t="shared" si="0"/>
        <v>5202225.91580299</v>
      </c>
      <c r="Q15" s="167" t="s">
        <v>83</v>
      </c>
      <c r="AG15" s="162" t="s">
        <v>84</v>
      </c>
      <c r="AH15" s="167" t="s">
        <v>83</v>
      </c>
    </row>
    <row r="16" spans="1:34">
      <c r="A16" s="152">
        <v>10</v>
      </c>
      <c r="B16" s="162" t="s">
        <v>85</v>
      </c>
      <c r="C16" s="168">
        <f>+C15/C9</f>
        <v>0.116731567380556</v>
      </c>
      <c r="D16" s="168">
        <f>+D15/D9</f>
        <v>0.283461416772651</v>
      </c>
      <c r="E16" s="168">
        <f>+E15/E9</f>
        <v>0.208366663214396</v>
      </c>
      <c r="F16" s="168">
        <f>+F15/F9</f>
        <v>0.200415526936765</v>
      </c>
      <c r="Q16" s="162" t="s">
        <v>85</v>
      </c>
      <c r="AG16" s="162" t="s">
        <v>86</v>
      </c>
      <c r="AH16" s="162" t="s">
        <v>85</v>
      </c>
    </row>
    <row r="17" spans="1:34">
      <c r="A17" s="152">
        <v>11</v>
      </c>
      <c r="B17" s="162" t="s">
        <v>87</v>
      </c>
      <c r="C17" s="165">
        <f>C6*C43+C18</f>
        <v>360470.609116985</v>
      </c>
      <c r="D17" s="165">
        <f>D6*D43+D18</f>
        <v>293186.824997965</v>
      </c>
      <c r="E17" s="165">
        <f>E6*E43+E18</f>
        <v>179472.652511002</v>
      </c>
      <c r="F17" s="165">
        <f t="shared" ref="F17:F20" si="1">+SUM(C17:E17)</f>
        <v>833130.086625952</v>
      </c>
      <c r="G17" s="166"/>
      <c r="Q17" s="162" t="s">
        <v>87</v>
      </c>
      <c r="AG17" s="162" t="s">
        <v>88</v>
      </c>
      <c r="AH17" s="162" t="s">
        <v>87</v>
      </c>
    </row>
    <row r="18" s="148" customFormat="1" spans="1:9">
      <c r="A18" s="152">
        <v>12</v>
      </c>
      <c r="B18" s="170" t="s">
        <v>89</v>
      </c>
      <c r="C18" s="171">
        <f>$F$18/$F$6*C6</f>
        <v>11083.3333333333</v>
      </c>
      <c r="D18" s="171">
        <f>$F$18/$F$6*D6</f>
        <v>22166.6666666667</v>
      </c>
      <c r="E18" s="171">
        <f>$F$18/$F$6*E6</f>
        <v>11083.3333333333</v>
      </c>
      <c r="F18" s="165">
        <f>项目投资!E26</f>
        <v>44333.3333333333</v>
      </c>
      <c r="G18" s="172" t="s">
        <v>90</v>
      </c>
      <c r="H18" s="172"/>
      <c r="I18" s="172"/>
    </row>
    <row r="19" spans="1:35">
      <c r="A19" s="152">
        <v>13</v>
      </c>
      <c r="B19" s="162" t="s">
        <v>91</v>
      </c>
      <c r="C19" s="165">
        <f>C6*C44</f>
        <v>59651.486109404</v>
      </c>
      <c r="D19" s="165">
        <f>D6*D44</f>
        <v>46271.734349246</v>
      </c>
      <c r="E19" s="165">
        <f>E6*E44</f>
        <v>28749.395957163</v>
      </c>
      <c r="F19" s="165">
        <f t="shared" si="1"/>
        <v>134672.616415813</v>
      </c>
      <c r="G19" s="148"/>
      <c r="Q19" s="162" t="s">
        <v>91</v>
      </c>
      <c r="AG19" s="162" t="s">
        <v>92</v>
      </c>
      <c r="AH19" s="162" t="s">
        <v>91</v>
      </c>
      <c r="AI19" s="150" t="s">
        <v>62</v>
      </c>
    </row>
    <row r="20" spans="1:34">
      <c r="A20" s="152">
        <v>14</v>
      </c>
      <c r="B20" s="162" t="s">
        <v>93</v>
      </c>
      <c r="C20" s="165">
        <f>C6*C45</f>
        <v>289735.789674248</v>
      </c>
      <c r="D20" s="165">
        <f>D6*D45</f>
        <v>224748.423982052</v>
      </c>
      <c r="E20" s="165">
        <f>E6*E45</f>
        <v>139639.923220506</v>
      </c>
      <c r="F20" s="165">
        <f t="shared" si="1"/>
        <v>654124.136876806</v>
      </c>
      <c r="Q20" s="162" t="s">
        <v>93</v>
      </c>
      <c r="AG20" s="162" t="s">
        <v>94</v>
      </c>
      <c r="AH20" s="162" t="s">
        <v>93</v>
      </c>
    </row>
    <row r="21" spans="1:34">
      <c r="A21" s="152">
        <v>15</v>
      </c>
      <c r="B21" s="162" t="s">
        <v>95</v>
      </c>
      <c r="C21" s="173">
        <f>$F$21/$F$6*C6</f>
        <v>0</v>
      </c>
      <c r="D21" s="173">
        <f>$F$21/$F$6*D6</f>
        <v>0</v>
      </c>
      <c r="E21" s="173">
        <f>$F$21/$F$6*E6</f>
        <v>0</v>
      </c>
      <c r="F21" s="165">
        <f>项目投资!D27</f>
        <v>0</v>
      </c>
      <c r="Q21" s="162" t="s">
        <v>95</v>
      </c>
      <c r="AG21" s="162"/>
      <c r="AH21" s="162"/>
    </row>
    <row r="22" spans="1:34">
      <c r="A22" s="152">
        <v>16</v>
      </c>
      <c r="B22" s="162" t="s">
        <v>96</v>
      </c>
      <c r="C22" s="165">
        <f>C6*C47</f>
        <v>255649.22618316</v>
      </c>
      <c r="D22" s="165">
        <f>D6*D47</f>
        <v>198307.43292534</v>
      </c>
      <c r="E22" s="165">
        <f>E6*E47</f>
        <v>123211.69695927</v>
      </c>
      <c r="F22" s="165">
        <f t="shared" ref="F22:F26" si="2">+SUM(C22:E22)</f>
        <v>577168.35606777</v>
      </c>
      <c r="Q22" s="162" t="s">
        <v>96</v>
      </c>
      <c r="AG22" s="162" t="s">
        <v>97</v>
      </c>
      <c r="AH22" s="162" t="s">
        <v>96</v>
      </c>
    </row>
    <row r="23" spans="1:34">
      <c r="A23" s="152">
        <v>17</v>
      </c>
      <c r="B23" s="167" t="s">
        <v>98</v>
      </c>
      <c r="C23" s="173">
        <f>+C22+C21+C20+C19+C17</f>
        <v>965507.111083797</v>
      </c>
      <c r="D23" s="173">
        <f>+D22+D21+D20+D19+D17</f>
        <v>762514.416254603</v>
      </c>
      <c r="E23" s="173">
        <f>+E22+E21+E20+E19+E17</f>
        <v>471073.668647941</v>
      </c>
      <c r="F23" s="165">
        <f t="shared" si="2"/>
        <v>2199095.19598634</v>
      </c>
      <c r="Q23" s="167" t="s">
        <v>98</v>
      </c>
      <c r="AG23" s="162" t="s">
        <v>99</v>
      </c>
      <c r="AH23" s="167" t="s">
        <v>98</v>
      </c>
    </row>
    <row r="24" spans="1:34">
      <c r="A24" s="152">
        <v>18</v>
      </c>
      <c r="B24" s="174" t="s">
        <v>100</v>
      </c>
      <c r="C24" s="173">
        <f>+C15-C23</f>
        <v>249446.715369773</v>
      </c>
      <c r="D24" s="173">
        <f>+D15-D23</f>
        <v>2058550.29575017</v>
      </c>
      <c r="E24" s="173">
        <f>+E15-E23</f>
        <v>695133.708696709</v>
      </c>
      <c r="F24" s="165">
        <f t="shared" si="2"/>
        <v>3003130.71981665</v>
      </c>
      <c r="H24" s="175"/>
      <c r="Q24" s="162" t="s">
        <v>100</v>
      </c>
      <c r="AG24" s="162" t="s">
        <v>101</v>
      </c>
      <c r="AH24" s="162" t="s">
        <v>100</v>
      </c>
    </row>
    <row r="25" spans="1:34">
      <c r="A25" s="152">
        <v>19</v>
      </c>
      <c r="B25" s="162" t="s">
        <v>169</v>
      </c>
      <c r="C25" s="173">
        <f>IF(C24&lt;0,0,C24*0.25)</f>
        <v>62361.6788424432</v>
      </c>
      <c r="D25" s="173">
        <f>IF(D24&lt;0,0,D24*0.25)</f>
        <v>514637.573937542</v>
      </c>
      <c r="E25" s="173">
        <f>IF(E24&lt;0,0,E24*0.25)</f>
        <v>173783.427174177</v>
      </c>
      <c r="F25" s="165">
        <f t="shared" si="2"/>
        <v>750782.679954162</v>
      </c>
      <c r="G25" s="2"/>
      <c r="H25" s="2"/>
      <c r="I25" s="2"/>
      <c r="Q25" s="162" t="s">
        <v>38</v>
      </c>
      <c r="AG25" s="162" t="s">
        <v>102</v>
      </c>
      <c r="AH25" s="162" t="s">
        <v>38</v>
      </c>
    </row>
    <row r="26" spans="1:34">
      <c r="A26" s="152">
        <v>20</v>
      </c>
      <c r="B26" s="162" t="s">
        <v>103</v>
      </c>
      <c r="C26" s="173">
        <f>C24-C25</f>
        <v>187085.036527329</v>
      </c>
      <c r="D26" s="173">
        <f>D24-D25</f>
        <v>1543912.72181263</v>
      </c>
      <c r="E26" s="173">
        <f>E24-E25</f>
        <v>521350.281522532</v>
      </c>
      <c r="F26" s="165">
        <f t="shared" si="2"/>
        <v>2252348.03986249</v>
      </c>
      <c r="G26" s="2"/>
      <c r="H26" s="2"/>
      <c r="I26" s="2"/>
      <c r="Q26" s="162" t="s">
        <v>103</v>
      </c>
      <c r="AG26" s="162" t="s">
        <v>104</v>
      </c>
      <c r="AH26" s="162" t="s">
        <v>103</v>
      </c>
    </row>
    <row r="27" spans="1:34">
      <c r="A27" s="152">
        <v>21</v>
      </c>
      <c r="B27" s="162" t="s">
        <v>107</v>
      </c>
      <c r="C27" s="177">
        <f>C26/C7</f>
        <v>0.0174356977192292</v>
      </c>
      <c r="D27" s="177">
        <f>D26/D7</f>
        <v>0.150478822788755</v>
      </c>
      <c r="E27" s="177">
        <f>E26/E7</f>
        <v>0.0903553347526051</v>
      </c>
      <c r="F27" s="177">
        <f>F26/F7</f>
        <v>0.0841684618782693</v>
      </c>
      <c r="G27" s="2"/>
      <c r="H27" s="2"/>
      <c r="I27" s="2"/>
      <c r="Q27" s="162" t="s">
        <v>107</v>
      </c>
      <c r="AG27" s="162" t="s">
        <v>106</v>
      </c>
      <c r="AH27" s="162" t="s">
        <v>107</v>
      </c>
    </row>
    <row r="28" spans="7:17">
      <c r="G28" s="2"/>
      <c r="H28" s="2"/>
      <c r="I28" s="2"/>
      <c r="Q28" s="162"/>
    </row>
    <row r="29" spans="1:33">
      <c r="A29" s="150" t="s">
        <v>108</v>
      </c>
      <c r="F29" s="151" t="s">
        <v>170</v>
      </c>
      <c r="G29" s="2"/>
      <c r="H29" s="2"/>
      <c r="I29" s="2"/>
      <c r="Q29" s="162"/>
      <c r="AG29" s="150" t="s">
        <v>108</v>
      </c>
    </row>
    <row r="30" spans="1:34">
      <c r="A30" s="162" t="s">
        <v>110</v>
      </c>
      <c r="B30" s="167" t="s">
        <v>111</v>
      </c>
      <c r="C30" s="173"/>
      <c r="D30" s="173"/>
      <c r="E30" s="173"/>
      <c r="F30" s="173"/>
      <c r="G30" s="2"/>
      <c r="H30" s="2"/>
      <c r="I30" s="2"/>
      <c r="K30" s="2"/>
      <c r="Q30" s="167" t="s">
        <v>111</v>
      </c>
      <c r="AG30" s="162" t="s">
        <v>112</v>
      </c>
      <c r="AH30" s="167" t="s">
        <v>111</v>
      </c>
    </row>
    <row r="31" spans="1:34">
      <c r="A31" s="152">
        <v>1</v>
      </c>
      <c r="B31" s="170" t="s">
        <v>113</v>
      </c>
      <c r="C31" s="178">
        <f>(C7-C8)/C6</f>
        <v>1040.81</v>
      </c>
      <c r="D31" s="178">
        <f>(D7-D8)/D6</f>
        <v>497.61</v>
      </c>
      <c r="E31" s="178">
        <f>(E7-E8)/E6</f>
        <v>559.69</v>
      </c>
      <c r="F31" s="173"/>
      <c r="G31" s="2"/>
      <c r="H31" s="2"/>
      <c r="I31" s="2"/>
      <c r="K31" s="2"/>
      <c r="Q31" s="162" t="s">
        <v>113</v>
      </c>
      <c r="AG31" s="162" t="s">
        <v>64</v>
      </c>
      <c r="AH31" s="162" t="s">
        <v>113</v>
      </c>
    </row>
    <row r="32" spans="1:34">
      <c r="A32" s="152">
        <v>2</v>
      </c>
      <c r="B32" s="162" t="s">
        <v>171</v>
      </c>
      <c r="C32" s="165">
        <f>C31*1</f>
        <v>1040.81</v>
      </c>
      <c r="D32" s="165">
        <f>D31*1</f>
        <v>497.61</v>
      </c>
      <c r="E32" s="165">
        <f>E31*1</f>
        <v>559.69</v>
      </c>
      <c r="F32" s="173"/>
      <c r="G32" s="2"/>
      <c r="H32" s="2"/>
      <c r="I32" s="2"/>
      <c r="J32" s="2"/>
      <c r="K32" s="2"/>
      <c r="L32" s="2"/>
      <c r="M32" s="2"/>
      <c r="AG32" s="162"/>
      <c r="AH32" s="162"/>
    </row>
    <row r="33" spans="1:34">
      <c r="A33" s="152">
        <v>3</v>
      </c>
      <c r="B33" s="170" t="s">
        <v>114</v>
      </c>
      <c r="C33" s="165">
        <f>材料成本!D27</f>
        <v>826.599164658884</v>
      </c>
      <c r="D33" s="165">
        <f>材料成本!E27</f>
        <v>320.597016562633</v>
      </c>
      <c r="E33" s="165">
        <f>材料成本!F27</f>
        <v>398.384486834973</v>
      </c>
      <c r="F33" s="173"/>
      <c r="H33" s="2"/>
      <c r="I33" s="2"/>
      <c r="J33" s="2"/>
      <c r="K33" s="2"/>
      <c r="L33" s="2"/>
      <c r="M33" s="2"/>
      <c r="Q33" s="162" t="s">
        <v>114</v>
      </c>
      <c r="AG33" s="162" t="s">
        <v>66</v>
      </c>
      <c r="AH33" s="162" t="s">
        <v>114</v>
      </c>
    </row>
    <row r="34" ht="17.25" customHeight="1" spans="1:34">
      <c r="A34" s="152">
        <v>4</v>
      </c>
      <c r="B34" s="162" t="s">
        <v>116</v>
      </c>
      <c r="C34" s="179">
        <f>C32-C33</f>
        <v>214.210835341116</v>
      </c>
      <c r="D34" s="179">
        <f>D32-D33</f>
        <v>177.012983437367</v>
      </c>
      <c r="E34" s="179">
        <f>E32-E33</f>
        <v>161.305513165027</v>
      </c>
      <c r="F34" s="173"/>
      <c r="H34" s="2"/>
      <c r="I34" s="2"/>
      <c r="J34" s="2"/>
      <c r="K34" s="2"/>
      <c r="L34" s="2"/>
      <c r="M34" s="2"/>
      <c r="Q34" s="162" t="s">
        <v>116</v>
      </c>
      <c r="AG34" s="162" t="s">
        <v>115</v>
      </c>
      <c r="AH34" s="162" t="s">
        <v>116</v>
      </c>
    </row>
    <row r="35" spans="1:34">
      <c r="A35" s="162" t="s">
        <v>112</v>
      </c>
      <c r="B35" s="167" t="s">
        <v>10</v>
      </c>
      <c r="C35" s="173"/>
      <c r="D35" s="173"/>
      <c r="E35" s="173"/>
      <c r="F35" s="173"/>
      <c r="G35" s="2"/>
      <c r="H35" s="2"/>
      <c r="I35" s="2"/>
      <c r="J35" s="2"/>
      <c r="K35" s="2"/>
      <c r="L35" s="2"/>
      <c r="M35" s="2"/>
      <c r="N35" s="2"/>
      <c r="O35" s="2"/>
      <c r="P35" s="2"/>
      <c r="Q35" s="167" t="s">
        <v>10</v>
      </c>
      <c r="AG35" s="162" t="s">
        <v>118</v>
      </c>
      <c r="AH35" s="167" t="s">
        <v>10</v>
      </c>
    </row>
    <row r="36" spans="1:34">
      <c r="A36" s="152">
        <v>1</v>
      </c>
      <c r="B36" s="162" t="s">
        <v>119</v>
      </c>
      <c r="C36" s="171">
        <f>标准成本!E4</f>
        <v>36.7282721616473</v>
      </c>
      <c r="D36" s="171">
        <f>标准成本!E16</f>
        <v>14.2450839318036</v>
      </c>
      <c r="E36" s="171">
        <f>标准成本!E29</f>
        <v>17.7014137964818</v>
      </c>
      <c r="F36" s="178"/>
      <c r="G36" s="2"/>
      <c r="H36" s="2"/>
      <c r="I36" s="2"/>
      <c r="J36" s="2"/>
      <c r="K36" s="2"/>
      <c r="L36" s="2"/>
      <c r="M36" s="2"/>
      <c r="N36" s="2"/>
      <c r="O36" s="2"/>
      <c r="P36" s="2"/>
      <c r="Q36" s="162" t="s">
        <v>119</v>
      </c>
      <c r="AG36" s="162" t="s">
        <v>115</v>
      </c>
      <c r="AH36" s="162" t="s">
        <v>119</v>
      </c>
    </row>
    <row r="37" spans="1:34">
      <c r="A37" s="152">
        <v>2</v>
      </c>
      <c r="B37" s="162" t="s">
        <v>120</v>
      </c>
      <c r="C37" s="171">
        <f>标准成本!E6</f>
        <v>18.4919606939152</v>
      </c>
      <c r="D37" s="171">
        <f>标准成本!E18</f>
        <v>7.17211882413313</v>
      </c>
      <c r="E37" s="171">
        <f>标准成本!E31</f>
        <v>8.91231274672053</v>
      </c>
      <c r="F37" s="178"/>
      <c r="G37" s="2"/>
      <c r="H37" s="2"/>
      <c r="I37" s="2"/>
      <c r="J37" s="2"/>
      <c r="K37" s="2"/>
      <c r="L37" s="2"/>
      <c r="M37" s="2"/>
      <c r="N37" s="2"/>
      <c r="O37" s="2"/>
      <c r="P37" s="2"/>
      <c r="Q37" s="162" t="s">
        <v>120</v>
      </c>
      <c r="AG37" s="162" t="s">
        <v>69</v>
      </c>
      <c r="AH37" s="162" t="s">
        <v>120</v>
      </c>
    </row>
    <row r="38" spans="1:34">
      <c r="A38" s="152">
        <v>3</v>
      </c>
      <c r="B38" s="162" t="s">
        <v>121</v>
      </c>
      <c r="C38" s="171">
        <f>标准成本!E10</f>
        <v>37.4952198401968</v>
      </c>
      <c r="D38" s="171">
        <f>标准成本!E22</f>
        <v>14.5425450811916</v>
      </c>
      <c r="E38" s="171">
        <f>标准成本!E35</f>
        <v>18.0710488873596</v>
      </c>
      <c r="F38" s="178"/>
      <c r="G38" s="2"/>
      <c r="H38" s="2"/>
      <c r="I38" s="2"/>
      <c r="J38" s="2"/>
      <c r="K38" s="2"/>
      <c r="L38" s="2"/>
      <c r="M38" s="2"/>
      <c r="N38" s="2"/>
      <c r="O38" s="2"/>
      <c r="P38" s="2"/>
      <c r="Q38" s="162" t="s">
        <v>121</v>
      </c>
      <c r="AG38" s="162" t="s">
        <v>76</v>
      </c>
      <c r="AH38" s="162" t="s">
        <v>121</v>
      </c>
    </row>
    <row r="39" spans="1:34">
      <c r="A39" s="162" t="s">
        <v>118</v>
      </c>
      <c r="B39" s="167" t="s">
        <v>123</v>
      </c>
      <c r="C39" s="173"/>
      <c r="D39" s="173"/>
      <c r="E39" s="173"/>
      <c r="F39" s="173"/>
      <c r="Q39" s="167" t="s">
        <v>123</v>
      </c>
      <c r="AG39" s="162" t="s">
        <v>122</v>
      </c>
      <c r="AH39" s="167" t="s">
        <v>123</v>
      </c>
    </row>
    <row r="40" spans="1:34">
      <c r="A40" s="152">
        <v>1</v>
      </c>
      <c r="B40" s="162" t="s">
        <v>125</v>
      </c>
      <c r="C40" s="173">
        <f>C34-C36-C37-C38</f>
        <v>121.495382645357</v>
      </c>
      <c r="D40" s="173">
        <f>D34-D36-D37-D38</f>
        <v>141.053235600239</v>
      </c>
      <c r="E40" s="173">
        <f>E34-E36-E37-E38</f>
        <v>116.620737734465</v>
      </c>
      <c r="F40" s="173"/>
      <c r="Q40" s="162" t="s">
        <v>125</v>
      </c>
      <c r="AG40" s="162" t="s">
        <v>64</v>
      </c>
      <c r="AH40" s="162" t="s">
        <v>125</v>
      </c>
    </row>
    <row r="41" spans="1:34">
      <c r="A41" s="152">
        <v>2</v>
      </c>
      <c r="B41" s="162" t="s">
        <v>126</v>
      </c>
      <c r="C41" s="173"/>
      <c r="D41" s="173"/>
      <c r="E41" s="173"/>
      <c r="F41" s="173"/>
      <c r="Q41" s="162" t="s">
        <v>126</v>
      </c>
      <c r="AG41" s="162" t="s">
        <v>66</v>
      </c>
      <c r="AH41" s="162" t="s">
        <v>126</v>
      </c>
    </row>
    <row r="42" spans="1:34">
      <c r="A42" s="162" t="s">
        <v>122</v>
      </c>
      <c r="B42" s="167" t="s">
        <v>128</v>
      </c>
      <c r="C42" s="173"/>
      <c r="D42" s="173"/>
      <c r="E42" s="173"/>
      <c r="F42" s="173"/>
      <c r="Q42" s="167" t="s">
        <v>128</v>
      </c>
      <c r="AG42" s="162" t="s">
        <v>127</v>
      </c>
      <c r="AH42" s="167" t="s">
        <v>128</v>
      </c>
    </row>
    <row r="43" spans="1:34">
      <c r="A43" s="152">
        <v>1</v>
      </c>
      <c r="B43" s="174" t="s">
        <v>129</v>
      </c>
      <c r="C43" s="171">
        <f>标准成本!E5</f>
        <v>34.9387275783652</v>
      </c>
      <c r="D43" s="171">
        <f>标准成本!E17</f>
        <v>13.5510079165649</v>
      </c>
      <c r="E43" s="171">
        <f>标准成本!E30</f>
        <v>16.8389319177669</v>
      </c>
      <c r="F43" s="173"/>
      <c r="Q43" s="162" t="s">
        <v>129</v>
      </c>
      <c r="AG43" s="162" t="s">
        <v>64</v>
      </c>
      <c r="AH43" s="162" t="s">
        <v>129</v>
      </c>
    </row>
    <row r="44" spans="1:34">
      <c r="A44" s="152">
        <v>2</v>
      </c>
      <c r="B44" s="174" t="s">
        <v>130</v>
      </c>
      <c r="C44" s="171">
        <f>标准成本!E9</f>
        <v>5.9651486109404</v>
      </c>
      <c r="D44" s="171">
        <f>标准成本!E21</f>
        <v>2.3135867174623</v>
      </c>
      <c r="E44" s="171">
        <f>标准成本!E34</f>
        <v>2.8749395957163</v>
      </c>
      <c r="F44" s="173"/>
      <c r="Q44" s="162" t="s">
        <v>130</v>
      </c>
      <c r="AG44" s="162" t="s">
        <v>66</v>
      </c>
      <c r="AH44" s="162" t="s">
        <v>130</v>
      </c>
    </row>
    <row r="45" spans="1:34">
      <c r="A45" s="152">
        <v>3</v>
      </c>
      <c r="B45" s="174" t="s">
        <v>131</v>
      </c>
      <c r="C45" s="171">
        <f>标准成本!E8</f>
        <v>28.9735789674248</v>
      </c>
      <c r="D45" s="171">
        <f>标准成本!E20</f>
        <v>11.2374211991026</v>
      </c>
      <c r="E45" s="171">
        <f>标准成本!E33</f>
        <v>13.9639923220506</v>
      </c>
      <c r="F45" s="173"/>
      <c r="Q45" s="162" t="s">
        <v>131</v>
      </c>
      <c r="AG45" s="162" t="s">
        <v>115</v>
      </c>
      <c r="AH45" s="162" t="s">
        <v>131</v>
      </c>
    </row>
    <row r="46" s="149" customFormat="1" spans="1:34">
      <c r="A46" s="152">
        <v>4</v>
      </c>
      <c r="B46" s="174" t="s">
        <v>132</v>
      </c>
      <c r="C46" s="180">
        <f>C21/C6</f>
        <v>0</v>
      </c>
      <c r="D46" s="180">
        <f>D21/D6</f>
        <v>0</v>
      </c>
      <c r="E46" s="180">
        <f>E21/E6</f>
        <v>0</v>
      </c>
      <c r="F46" s="180"/>
      <c r="Q46" s="174" t="s">
        <v>134</v>
      </c>
      <c r="AG46" s="174" t="s">
        <v>72</v>
      </c>
      <c r="AH46" s="174" t="s">
        <v>134</v>
      </c>
    </row>
    <row r="47" s="149" customFormat="1" spans="1:34">
      <c r="A47" s="152">
        <v>5</v>
      </c>
      <c r="B47" s="174" t="s">
        <v>134</v>
      </c>
      <c r="C47" s="180">
        <f>标准成本!E11</f>
        <v>25.564922618316</v>
      </c>
      <c r="D47" s="180">
        <f>标准成本!E23</f>
        <v>9.915371646267</v>
      </c>
      <c r="E47" s="180">
        <f>标准成本!E36</f>
        <v>12.321169695927</v>
      </c>
      <c r="F47" s="180"/>
      <c r="Q47" s="174" t="s">
        <v>134</v>
      </c>
      <c r="AG47" s="174" t="s">
        <v>72</v>
      </c>
      <c r="AH47" s="174" t="s">
        <v>134</v>
      </c>
    </row>
    <row r="48" spans="1:34">
      <c r="A48" s="162" t="s">
        <v>127</v>
      </c>
      <c r="B48" s="167" t="s">
        <v>145</v>
      </c>
      <c r="C48" s="173">
        <f>C40-C43-C44-C45-C47-C46</f>
        <v>26.0530048703102</v>
      </c>
      <c r="D48" s="173">
        <f>D40-D43-D44-D45-D47-D46</f>
        <v>104.035848120842</v>
      </c>
      <c r="E48" s="173">
        <f>E40-E43-E44-E45-E47-E46</f>
        <v>70.6217042030043</v>
      </c>
      <c r="F48" s="173"/>
      <c r="Q48" s="167" t="s">
        <v>145</v>
      </c>
      <c r="AG48" s="162" t="s">
        <v>144</v>
      </c>
      <c r="AH48" s="167" t="s">
        <v>145</v>
      </c>
    </row>
    <row r="51" spans="3:5">
      <c r="C51" s="181"/>
      <c r="D51" s="181"/>
      <c r="E51" s="181"/>
    </row>
    <row r="54" spans="2:11">
      <c r="B54" s="2"/>
      <c r="C54" s="182"/>
      <c r="D54" s="182"/>
      <c r="E54" s="182"/>
      <c r="F54" s="182"/>
      <c r="G54" s="2"/>
      <c r="H54" s="2"/>
      <c r="I54" s="2"/>
      <c r="J54" s="2"/>
      <c r="K54" s="2"/>
    </row>
    <row r="55" spans="2:11">
      <c r="B55" s="2"/>
      <c r="C55" s="182"/>
      <c r="D55" s="182"/>
      <c r="E55" s="182"/>
      <c r="F55" s="182"/>
      <c r="G55" s="2"/>
      <c r="H55" s="2"/>
      <c r="I55" s="2"/>
      <c r="J55" s="2"/>
      <c r="K55" s="2"/>
    </row>
    <row r="56" spans="2:11">
      <c r="B56" s="2"/>
      <c r="C56" s="182"/>
      <c r="D56" s="182"/>
      <c r="E56" s="182"/>
      <c r="F56" s="182"/>
      <c r="G56" s="2"/>
      <c r="H56" s="2"/>
      <c r="I56" s="2"/>
      <c r="J56" s="2"/>
      <c r="K56" s="2"/>
    </row>
    <row r="57" spans="2:11">
      <c r="B57" s="2"/>
      <c r="C57" s="182"/>
      <c r="D57" s="182"/>
      <c r="E57" s="182"/>
      <c r="F57" s="182"/>
      <c r="G57" s="2"/>
      <c r="H57" s="2"/>
      <c r="I57" s="2"/>
      <c r="J57" s="2"/>
      <c r="K57" s="2"/>
    </row>
    <row r="58" spans="2:11">
      <c r="B58" s="2"/>
      <c r="C58" s="182"/>
      <c r="D58" s="182"/>
      <c r="E58" s="182"/>
      <c r="F58" s="182"/>
      <c r="G58" s="2"/>
      <c r="H58" s="2"/>
      <c r="I58" s="2"/>
      <c r="J58" s="2"/>
      <c r="K58" s="2"/>
    </row>
    <row r="59" spans="2:11">
      <c r="B59" s="2"/>
      <c r="C59" s="182"/>
      <c r="D59" s="182"/>
      <c r="E59" s="182"/>
      <c r="F59" s="182"/>
      <c r="G59" s="2"/>
      <c r="H59" s="2"/>
      <c r="I59" s="2"/>
      <c r="J59" s="2"/>
      <c r="K59" s="2"/>
    </row>
    <row r="60" spans="2:11">
      <c r="B60" s="2"/>
      <c r="C60" s="182"/>
      <c r="D60" s="182"/>
      <c r="E60" s="182"/>
      <c r="F60" s="182"/>
      <c r="G60" s="2"/>
      <c r="H60" s="2"/>
      <c r="I60" s="2"/>
      <c r="J60" s="2"/>
      <c r="K60" s="2"/>
    </row>
    <row r="61" spans="2:11">
      <c r="B61" s="2"/>
      <c r="C61" s="182"/>
      <c r="D61" s="182"/>
      <c r="E61" s="182"/>
      <c r="F61" s="182"/>
      <c r="G61" s="2"/>
      <c r="H61" s="2"/>
      <c r="I61" s="2"/>
      <c r="J61" s="2"/>
      <c r="K61" s="2"/>
    </row>
    <row r="62" spans="2:11">
      <c r="B62" s="2"/>
      <c r="C62" s="182"/>
      <c r="D62" s="182"/>
      <c r="E62" s="182"/>
      <c r="F62" s="182"/>
      <c r="G62" s="2"/>
      <c r="H62" s="2"/>
      <c r="I62" s="2"/>
      <c r="J62" s="2"/>
      <c r="K62" s="2"/>
    </row>
    <row r="63" spans="2:11">
      <c r="B63" s="2"/>
      <c r="C63" s="182"/>
      <c r="D63" s="182"/>
      <c r="E63" s="182"/>
      <c r="F63" s="182"/>
      <c r="G63" s="2"/>
      <c r="H63" s="2"/>
      <c r="I63" s="2"/>
      <c r="J63" s="2"/>
      <c r="K63" s="2"/>
    </row>
    <row r="64" spans="2:11">
      <c r="B64" s="2"/>
      <c r="C64" s="182"/>
      <c r="D64" s="182"/>
      <c r="E64" s="182"/>
      <c r="F64" s="182"/>
      <c r="G64" s="2"/>
      <c r="H64" s="2"/>
      <c r="I64" s="2"/>
      <c r="J64" s="2"/>
      <c r="K64" s="2"/>
    </row>
    <row r="65" spans="2:11">
      <c r="B65" s="2"/>
      <c r="C65" s="182"/>
      <c r="D65" s="182"/>
      <c r="E65" s="182"/>
      <c r="F65" s="182"/>
      <c r="G65" s="2"/>
      <c r="H65" s="2"/>
      <c r="I65" s="2"/>
      <c r="J65" s="2"/>
      <c r="K65" s="2"/>
    </row>
    <row r="66" spans="2:11">
      <c r="B66" s="2"/>
      <c r="C66" s="182"/>
      <c r="D66" s="182"/>
      <c r="E66" s="182"/>
      <c r="F66" s="182"/>
      <c r="G66" s="2"/>
      <c r="H66" s="2"/>
      <c r="I66" s="2"/>
      <c r="J66" s="2"/>
      <c r="K66" s="2"/>
    </row>
    <row r="67" spans="2:7">
      <c r="B67" s="2"/>
      <c r="C67" s="182"/>
      <c r="D67" s="182"/>
      <c r="E67" s="182"/>
      <c r="F67" s="182"/>
      <c r="G67" s="2"/>
    </row>
    <row r="68" spans="2:7">
      <c r="B68" s="2"/>
      <c r="C68" s="182"/>
      <c r="D68" s="182"/>
      <c r="E68" s="182"/>
      <c r="F68" s="182"/>
      <c r="G68" s="2"/>
    </row>
    <row r="69" spans="2:7">
      <c r="B69" s="2"/>
      <c r="C69" s="182"/>
      <c r="D69" s="182"/>
      <c r="E69" s="182"/>
      <c r="F69" s="182"/>
      <c r="G69" s="2"/>
    </row>
    <row r="70" spans="2:7">
      <c r="B70" s="2"/>
      <c r="C70" s="182"/>
      <c r="D70" s="182"/>
      <c r="E70" s="182"/>
      <c r="F70" s="182"/>
      <c r="G70" s="2"/>
    </row>
    <row r="71" spans="2:7">
      <c r="B71" s="2"/>
      <c r="C71" s="182"/>
      <c r="D71" s="182"/>
      <c r="E71" s="182"/>
      <c r="F71" s="182"/>
      <c r="G71" s="2"/>
    </row>
    <row r="72" spans="2:7">
      <c r="B72" s="2"/>
      <c r="C72" s="182"/>
      <c r="D72" s="182"/>
      <c r="E72" s="182"/>
      <c r="F72" s="182"/>
      <c r="G72" s="2"/>
    </row>
    <row r="73" spans="2:7">
      <c r="B73" s="2"/>
      <c r="C73" s="182"/>
      <c r="D73" s="182"/>
      <c r="E73" s="182"/>
      <c r="F73" s="182"/>
      <c r="G73" s="2"/>
    </row>
    <row r="74" spans="2:7">
      <c r="B74" s="2"/>
      <c r="C74" s="182"/>
      <c r="D74" s="182"/>
      <c r="E74" s="182"/>
      <c r="F74" s="182"/>
      <c r="G74" s="2"/>
    </row>
  </sheetData>
  <mergeCells count="8">
    <mergeCell ref="A1:B1"/>
    <mergeCell ref="C1:F1"/>
    <mergeCell ref="A2:B2"/>
    <mergeCell ref="C2:F2"/>
    <mergeCell ref="A3:B3"/>
    <mergeCell ref="A4:B4"/>
    <mergeCell ref="A5:B5"/>
    <mergeCell ref="F3:F5"/>
  </mergeCells>
  <printOptions horizontalCentered="1"/>
  <pageMargins left="0.393700787401575" right="0.31496062992126" top="0.354330708661417" bottom="0.15748031496063" header="0.31496062992126" footer="0.31496062992126"/>
  <pageSetup paperSize="9" orientation="landscape"/>
  <headerFooter/>
  <rowBreaks count="1" manualBreakCount="1">
    <brk id="28" max="5" man="1"/>
  </rowBreaks>
  <ignoredErrors>
    <ignoredError sqref="F21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4"/>
  <sheetViews>
    <sheetView zoomScale="85" zoomScaleNormal="85" workbookViewId="0">
      <pane xSplit="2" ySplit="7" topLeftCell="C8" activePane="bottomRight" state="frozen"/>
      <selection/>
      <selection pane="topRight"/>
      <selection pane="bottomLeft"/>
      <selection pane="bottomRight" activeCell="F19" sqref="F19"/>
    </sheetView>
  </sheetViews>
  <sheetFormatPr defaultColWidth="9" defaultRowHeight="14.5"/>
  <cols>
    <col min="1" max="1" width="5.12727272727273" style="150" customWidth="1"/>
    <col min="2" max="2" width="17.5" style="150" customWidth="1"/>
    <col min="3" max="3" width="15.5" style="151" customWidth="1"/>
    <col min="4" max="5" width="15.5454545454545" style="151" customWidth="1"/>
    <col min="6" max="6" width="18.7545454545455" style="151" customWidth="1"/>
    <col min="7" max="7" width="12.3727272727273" style="150" customWidth="1"/>
    <col min="8" max="8" width="10.1272727272727" style="150" customWidth="1"/>
    <col min="9" max="15" width="9" style="150" customWidth="1"/>
    <col min="16" max="16" width="9" style="150"/>
    <col min="17" max="17" width="9" style="150" hidden="1" customWidth="1"/>
    <col min="18" max="32" width="9" style="150"/>
    <col min="33" max="33" width="4.37272727272727" style="150" customWidth="1"/>
    <col min="34" max="34" width="13.8727272727273" style="150" customWidth="1"/>
    <col min="35" max="16384" width="9" style="150"/>
  </cols>
  <sheetData>
    <row r="1" spans="1:6">
      <c r="A1" s="152" t="s">
        <v>155</v>
      </c>
      <c r="B1" s="152"/>
      <c r="C1" s="153" t="s">
        <v>173</v>
      </c>
      <c r="D1" s="154"/>
      <c r="E1" s="154"/>
      <c r="F1" s="155"/>
    </row>
    <row r="2" spans="1:6">
      <c r="A2" s="152" t="s">
        <v>157</v>
      </c>
      <c r="B2" s="152"/>
      <c r="C2" s="156" t="s">
        <v>158</v>
      </c>
      <c r="D2" s="156"/>
      <c r="E2" s="156"/>
      <c r="F2" s="156"/>
    </row>
    <row r="3" spans="1:6">
      <c r="A3" s="152" t="s">
        <v>159</v>
      </c>
      <c r="B3" s="152"/>
      <c r="C3" s="157" t="s">
        <v>160</v>
      </c>
      <c r="D3" s="157" t="s">
        <v>161</v>
      </c>
      <c r="E3" s="157" t="s">
        <v>162</v>
      </c>
      <c r="F3" s="158" t="s">
        <v>60</v>
      </c>
    </row>
    <row r="4" spans="1:6">
      <c r="A4" s="152" t="s">
        <v>163</v>
      </c>
      <c r="B4" s="152"/>
      <c r="C4" s="79"/>
      <c r="D4" s="79"/>
      <c r="E4" s="79"/>
      <c r="F4" s="159"/>
    </row>
    <row r="5" ht="33" spans="1:35">
      <c r="A5" s="152" t="s">
        <v>164</v>
      </c>
      <c r="B5" s="152"/>
      <c r="C5" s="160" t="s">
        <v>165</v>
      </c>
      <c r="D5" s="160" t="s">
        <v>166</v>
      </c>
      <c r="E5" s="160" t="s">
        <v>167</v>
      </c>
      <c r="F5" s="161"/>
      <c r="AI5" s="150" t="s">
        <v>61</v>
      </c>
    </row>
    <row r="6" ht="16.5" spans="1:35">
      <c r="A6" s="162" t="s">
        <v>21</v>
      </c>
      <c r="B6" s="163" t="s">
        <v>168</v>
      </c>
      <c r="C6" s="164">
        <f>销量!C11</f>
        <v>10000</v>
      </c>
      <c r="D6" s="164">
        <f>销量!D11</f>
        <v>25000</v>
      </c>
      <c r="E6" s="164">
        <f>销量!E11</f>
        <v>15000</v>
      </c>
      <c r="F6" s="165">
        <f t="shared" ref="F6:F15" si="0">+SUM(C6:E6)</f>
        <v>50000</v>
      </c>
      <c r="Q6" s="163" t="s">
        <v>3</v>
      </c>
      <c r="AG6" s="162" t="s">
        <v>21</v>
      </c>
      <c r="AH6" s="163" t="s">
        <v>3</v>
      </c>
      <c r="AI6" s="150" t="s">
        <v>62</v>
      </c>
    </row>
    <row r="7" spans="1:35">
      <c r="A7" s="152">
        <v>1</v>
      </c>
      <c r="B7" s="163" t="s">
        <v>63</v>
      </c>
      <c r="C7" s="165">
        <f>C6*销量!C8</f>
        <v>10730000</v>
      </c>
      <c r="D7" s="165">
        <f>D6*销量!D8</f>
        <v>12825000</v>
      </c>
      <c r="E7" s="165">
        <f>E6*销量!E8</f>
        <v>8655000</v>
      </c>
      <c r="F7" s="165">
        <f t="shared" si="0"/>
        <v>32210000</v>
      </c>
      <c r="G7" s="151"/>
      <c r="Q7" s="163" t="s">
        <v>63</v>
      </c>
      <c r="AG7" s="162" t="s">
        <v>64</v>
      </c>
      <c r="AH7" s="163" t="s">
        <v>63</v>
      </c>
      <c r="AI7" s="150" t="s">
        <v>62</v>
      </c>
    </row>
    <row r="8" spans="1:35">
      <c r="A8" s="152">
        <v>2</v>
      </c>
      <c r="B8" s="152" t="s">
        <v>65</v>
      </c>
      <c r="C8" s="165">
        <f>C7*(1-销量!$P$8)</f>
        <v>634142.999999999</v>
      </c>
      <c r="D8" s="165">
        <f>D7*(1-销量!$P$8)</f>
        <v>757957.499999999</v>
      </c>
      <c r="E8" s="165">
        <f>E7*(1-销量!$P$8)</f>
        <v>511510.499999999</v>
      </c>
      <c r="F8" s="165">
        <f t="shared" si="0"/>
        <v>1903611</v>
      </c>
      <c r="G8" s="166"/>
      <c r="Q8" s="152" t="s">
        <v>67</v>
      </c>
      <c r="AG8" s="162" t="s">
        <v>66</v>
      </c>
      <c r="AH8" s="152" t="s">
        <v>67</v>
      </c>
      <c r="AI8" s="150" t="s">
        <v>62</v>
      </c>
    </row>
    <row r="9" spans="1:35">
      <c r="A9" s="152">
        <v>3</v>
      </c>
      <c r="B9" s="163" t="s">
        <v>68</v>
      </c>
      <c r="C9" s="165">
        <f>+C7-C8</f>
        <v>10095857</v>
      </c>
      <c r="D9" s="165">
        <f>+D7-D8</f>
        <v>12067042.5</v>
      </c>
      <c r="E9" s="165">
        <f>+E7-E8</f>
        <v>8143489.5</v>
      </c>
      <c r="F9" s="165">
        <f t="shared" si="0"/>
        <v>30306389</v>
      </c>
      <c r="Q9" s="163" t="s">
        <v>68</v>
      </c>
      <c r="AG9" s="162" t="s">
        <v>69</v>
      </c>
      <c r="AH9" s="163" t="s">
        <v>68</v>
      </c>
      <c r="AI9" s="150" t="s">
        <v>70</v>
      </c>
    </row>
    <row r="10" spans="1:35">
      <c r="A10" s="152">
        <v>4</v>
      </c>
      <c r="B10" s="162" t="s">
        <v>73</v>
      </c>
      <c r="C10" s="165">
        <f>C6*C33</f>
        <v>8018011.89719117</v>
      </c>
      <c r="D10" s="165">
        <f>D6*D33</f>
        <v>7774477.65164385</v>
      </c>
      <c r="E10" s="165">
        <f>E6*E33</f>
        <v>5796494.28344886</v>
      </c>
      <c r="F10" s="165">
        <f t="shared" si="0"/>
        <v>21588983.8322839</v>
      </c>
      <c r="Q10" s="162" t="s">
        <v>73</v>
      </c>
      <c r="AG10" s="162" t="s">
        <v>72</v>
      </c>
      <c r="AH10" s="162" t="s">
        <v>73</v>
      </c>
      <c r="AI10" s="150" t="s">
        <v>74</v>
      </c>
    </row>
    <row r="11" spans="1:34">
      <c r="A11" s="152">
        <v>5</v>
      </c>
      <c r="B11" s="162" t="s">
        <v>75</v>
      </c>
      <c r="C11" s="165">
        <f>+C6*C36</f>
        <v>367282.721616473</v>
      </c>
      <c r="D11" s="165">
        <f>+D6*D36</f>
        <v>356127.09829509</v>
      </c>
      <c r="E11" s="165">
        <f>+E6*E36</f>
        <v>265521.206947227</v>
      </c>
      <c r="F11" s="165">
        <f t="shared" si="0"/>
        <v>988931.02685879</v>
      </c>
      <c r="Q11" s="162" t="s">
        <v>75</v>
      </c>
      <c r="AG11" s="162" t="s">
        <v>76</v>
      </c>
      <c r="AH11" s="162" t="s">
        <v>75</v>
      </c>
    </row>
    <row r="12" spans="1:34">
      <c r="A12" s="152">
        <v>6</v>
      </c>
      <c r="B12" s="162" t="s">
        <v>77</v>
      </c>
      <c r="C12" s="165">
        <f>+C6*C37</f>
        <v>184919.606939152</v>
      </c>
      <c r="D12" s="165">
        <f>+D6*D37</f>
        <v>179302.970603328</v>
      </c>
      <c r="E12" s="165">
        <f>+E6*E37</f>
        <v>133684.691200808</v>
      </c>
      <c r="F12" s="165">
        <f t="shared" si="0"/>
        <v>497907.268743289</v>
      </c>
      <c r="Q12" s="162" t="s">
        <v>77</v>
      </c>
      <c r="AG12" s="162" t="s">
        <v>78</v>
      </c>
      <c r="AH12" s="162" t="s">
        <v>77</v>
      </c>
    </row>
    <row r="13" spans="1:35">
      <c r="A13" s="152">
        <v>7</v>
      </c>
      <c r="B13" s="162" t="s">
        <v>79</v>
      </c>
      <c r="C13" s="165">
        <f>+C6*C38</f>
        <v>374952.198401968</v>
      </c>
      <c r="D13" s="165">
        <f>+D6*D38</f>
        <v>363563.62702979</v>
      </c>
      <c r="E13" s="165">
        <f>+E6*E38</f>
        <v>271065.733310394</v>
      </c>
      <c r="F13" s="165">
        <f t="shared" si="0"/>
        <v>1009581.55874215</v>
      </c>
      <c r="Q13" s="162" t="s">
        <v>79</v>
      </c>
      <c r="AG13" s="162" t="s">
        <v>80</v>
      </c>
      <c r="AH13" s="162" t="s">
        <v>79</v>
      </c>
      <c r="AI13" s="150" t="s">
        <v>62</v>
      </c>
    </row>
    <row r="14" spans="1:34">
      <c r="A14" s="152">
        <v>8</v>
      </c>
      <c r="B14" s="167" t="s">
        <v>81</v>
      </c>
      <c r="C14" s="165">
        <f>SUM(C11:C13)</f>
        <v>927154.526957593</v>
      </c>
      <c r="D14" s="165">
        <f>SUM(D11:D13)</f>
        <v>898993.695928208</v>
      </c>
      <c r="E14" s="165">
        <f>SUM(E11:E13)</f>
        <v>670271.631458429</v>
      </c>
      <c r="F14" s="165">
        <f t="shared" si="0"/>
        <v>2496419.85434423</v>
      </c>
      <c r="Q14" s="167" t="s">
        <v>81</v>
      </c>
      <c r="AG14" s="162" t="s">
        <v>82</v>
      </c>
      <c r="AH14" s="167" t="s">
        <v>81</v>
      </c>
    </row>
    <row r="15" spans="1:34">
      <c r="A15" s="152">
        <v>9</v>
      </c>
      <c r="B15" s="167" t="s">
        <v>83</v>
      </c>
      <c r="C15" s="165">
        <f>+C9-C10-C14</f>
        <v>1150690.57585123</v>
      </c>
      <c r="D15" s="165">
        <f>+D9-D10-D14</f>
        <v>3393571.15242794</v>
      </c>
      <c r="E15" s="165">
        <f>+E9-E10-E14</f>
        <v>1676723.58509271</v>
      </c>
      <c r="F15" s="165">
        <f t="shared" si="0"/>
        <v>6220985.31337189</v>
      </c>
      <c r="Q15" s="167" t="s">
        <v>83</v>
      </c>
      <c r="AG15" s="162" t="s">
        <v>84</v>
      </c>
      <c r="AH15" s="167" t="s">
        <v>83</v>
      </c>
    </row>
    <row r="16" spans="1:34">
      <c r="A16" s="152">
        <v>10</v>
      </c>
      <c r="B16" s="162" t="s">
        <v>85</v>
      </c>
      <c r="C16" s="168">
        <f>+C15/C9</f>
        <v>0.113976512925176</v>
      </c>
      <c r="D16" s="168">
        <f>+D15/D9</f>
        <v>0.281226419184978</v>
      </c>
      <c r="E16" s="168">
        <f>+E15/E9</f>
        <v>0.205897433169493</v>
      </c>
      <c r="F16" s="168">
        <f>+F15/F9</f>
        <v>0.205269763856456</v>
      </c>
      <c r="Q16" s="162" t="s">
        <v>85</v>
      </c>
      <c r="AG16" s="162" t="s">
        <v>86</v>
      </c>
      <c r="AH16" s="162" t="s">
        <v>85</v>
      </c>
    </row>
    <row r="17" spans="1:34">
      <c r="A17" s="152">
        <v>11</v>
      </c>
      <c r="B17" s="162" t="s">
        <v>87</v>
      </c>
      <c r="C17" s="165">
        <f>C6*C43+C18</f>
        <v>358253.942450319</v>
      </c>
      <c r="D17" s="165">
        <f>D6*D43+D18</f>
        <v>360941.864580789</v>
      </c>
      <c r="E17" s="165">
        <f>E6*E43+E18</f>
        <v>265883.978766504</v>
      </c>
      <c r="F17" s="165">
        <f t="shared" ref="F17:F20" si="1">+SUM(C17:E17)</f>
        <v>985079.785797611</v>
      </c>
      <c r="G17" s="166"/>
      <c r="Q17" s="162" t="s">
        <v>87</v>
      </c>
      <c r="AG17" s="162" t="s">
        <v>88</v>
      </c>
      <c r="AH17" s="162" t="s">
        <v>87</v>
      </c>
    </row>
    <row r="18" s="148" customFormat="1" spans="1:9">
      <c r="A18" s="152">
        <v>12</v>
      </c>
      <c r="B18" s="170" t="s">
        <v>89</v>
      </c>
      <c r="C18" s="171">
        <f>$F$18/$F$6*C6</f>
        <v>8866.66666666667</v>
      </c>
      <c r="D18" s="171">
        <f>$F$18/$F$6*D6</f>
        <v>22166.6666666667</v>
      </c>
      <c r="E18" s="171">
        <f>$F$18/$F$6*E6</f>
        <v>13300</v>
      </c>
      <c r="F18" s="165">
        <f>项目投资!F26</f>
        <v>44333.3333333333</v>
      </c>
      <c r="G18" s="172" t="s">
        <v>90</v>
      </c>
      <c r="H18" s="172"/>
      <c r="I18" s="172"/>
    </row>
    <row r="19" spans="1:35">
      <c r="A19" s="152">
        <v>13</v>
      </c>
      <c r="B19" s="162" t="s">
        <v>91</v>
      </c>
      <c r="C19" s="165">
        <f>C6*C44</f>
        <v>59651.486109404</v>
      </c>
      <c r="D19" s="165">
        <f>D6*D44</f>
        <v>57839.6679365575</v>
      </c>
      <c r="E19" s="165">
        <f>E6*E44</f>
        <v>43124.0939357445</v>
      </c>
      <c r="F19" s="165">
        <f t="shared" si="1"/>
        <v>160615.247981706</v>
      </c>
      <c r="G19" s="148"/>
      <c r="Q19" s="162" t="s">
        <v>91</v>
      </c>
      <c r="AG19" s="162" t="s">
        <v>92</v>
      </c>
      <c r="AH19" s="162" t="s">
        <v>91</v>
      </c>
      <c r="AI19" s="150" t="s">
        <v>62</v>
      </c>
    </row>
    <row r="20" spans="1:34">
      <c r="A20" s="152">
        <v>14</v>
      </c>
      <c r="B20" s="162" t="s">
        <v>93</v>
      </c>
      <c r="C20" s="165">
        <f>C6*C45</f>
        <v>289735.789674248</v>
      </c>
      <c r="D20" s="165">
        <f>D6*D45</f>
        <v>280935.529977565</v>
      </c>
      <c r="E20" s="165">
        <f>E6*E45</f>
        <v>209459.884830759</v>
      </c>
      <c r="F20" s="165">
        <f t="shared" si="1"/>
        <v>780131.204482572</v>
      </c>
      <c r="Q20" s="162" t="s">
        <v>93</v>
      </c>
      <c r="AG20" s="162" t="s">
        <v>94</v>
      </c>
      <c r="AH20" s="162" t="s">
        <v>93</v>
      </c>
    </row>
    <row r="21" spans="1:34">
      <c r="A21" s="152">
        <v>15</v>
      </c>
      <c r="B21" s="162" t="s">
        <v>95</v>
      </c>
      <c r="C21" s="173">
        <f>$F$21/$F$6*C6</f>
        <v>0</v>
      </c>
      <c r="D21" s="173">
        <f>$F$21/$F$6*D6</f>
        <v>0</v>
      </c>
      <c r="E21" s="173">
        <f>$F$21/$F$6*E6</f>
        <v>0</v>
      </c>
      <c r="F21" s="165">
        <f>项目投资!E27</f>
        <v>0</v>
      </c>
      <c r="Q21" s="162" t="s">
        <v>95</v>
      </c>
      <c r="AG21" s="162"/>
      <c r="AH21" s="162"/>
    </row>
    <row r="22" spans="1:34">
      <c r="A22" s="152">
        <v>16</v>
      </c>
      <c r="B22" s="162" t="s">
        <v>96</v>
      </c>
      <c r="C22" s="165">
        <f>C6*C47</f>
        <v>255649.22618316</v>
      </c>
      <c r="D22" s="165">
        <f>D6*D47</f>
        <v>247884.291156675</v>
      </c>
      <c r="E22" s="165">
        <f>E6*E47</f>
        <v>184817.545438905</v>
      </c>
      <c r="F22" s="165">
        <f t="shared" ref="F22:F26" si="2">+SUM(C22:E22)</f>
        <v>688351.06277874</v>
      </c>
      <c r="Q22" s="162" t="s">
        <v>96</v>
      </c>
      <c r="AG22" s="162" t="s">
        <v>97</v>
      </c>
      <c r="AH22" s="162" t="s">
        <v>96</v>
      </c>
    </row>
    <row r="23" spans="1:34">
      <c r="A23" s="152">
        <v>17</v>
      </c>
      <c r="B23" s="167" t="s">
        <v>98</v>
      </c>
      <c r="C23" s="173">
        <f>+C22+C21+C20+C19+C17</f>
        <v>963290.444417131</v>
      </c>
      <c r="D23" s="173">
        <f>+D22+D21+D20+D19+D17</f>
        <v>947601.353651587</v>
      </c>
      <c r="E23" s="173">
        <f>+E22+E21+E20+E19+E17</f>
        <v>703285.502971912</v>
      </c>
      <c r="F23" s="165">
        <f t="shared" si="2"/>
        <v>2614177.30104063</v>
      </c>
      <c r="Q23" s="167" t="s">
        <v>98</v>
      </c>
      <c r="AG23" s="162" t="s">
        <v>99</v>
      </c>
      <c r="AH23" s="167" t="s">
        <v>98</v>
      </c>
    </row>
    <row r="24" spans="1:34">
      <c r="A24" s="152">
        <v>18</v>
      </c>
      <c r="B24" s="174" t="s">
        <v>100</v>
      </c>
      <c r="C24" s="173">
        <f>+C15-C23</f>
        <v>187400.131434099</v>
      </c>
      <c r="D24" s="173">
        <f>+D15-D23</f>
        <v>2445969.79877635</v>
      </c>
      <c r="E24" s="173">
        <f>+E15-E23</f>
        <v>973438.082120798</v>
      </c>
      <c r="F24" s="165">
        <f t="shared" si="2"/>
        <v>3606808.01233125</v>
      </c>
      <c r="H24" s="175"/>
      <c r="Q24" s="162" t="s">
        <v>100</v>
      </c>
      <c r="AG24" s="162" t="s">
        <v>101</v>
      </c>
      <c r="AH24" s="162" t="s">
        <v>100</v>
      </c>
    </row>
    <row r="25" spans="1:34">
      <c r="A25" s="152">
        <v>19</v>
      </c>
      <c r="B25" s="162" t="s">
        <v>169</v>
      </c>
      <c r="C25" s="173">
        <f>IF(C24&lt;0,0,C24*0.25)</f>
        <v>46850.0328585248</v>
      </c>
      <c r="D25" s="173">
        <f>IF(D24&lt;0,0,D24*0.25)</f>
        <v>611492.449694088</v>
      </c>
      <c r="E25" s="173">
        <f>IF(E24&lt;0,0,E24*0.25)</f>
        <v>243359.5205302</v>
      </c>
      <c r="F25" s="165">
        <f t="shared" si="2"/>
        <v>901702.003082813</v>
      </c>
      <c r="G25" s="2"/>
      <c r="H25" s="2"/>
      <c r="I25" s="2"/>
      <c r="Q25" s="162" t="s">
        <v>38</v>
      </c>
      <c r="AG25" s="162" t="s">
        <v>102</v>
      </c>
      <c r="AH25" s="162" t="s">
        <v>38</v>
      </c>
    </row>
    <row r="26" spans="1:34">
      <c r="A26" s="152">
        <v>20</v>
      </c>
      <c r="B26" s="162" t="s">
        <v>103</v>
      </c>
      <c r="C26" s="173">
        <f>C24-C25</f>
        <v>140550.098575574</v>
      </c>
      <c r="D26" s="173">
        <f>D24-D25</f>
        <v>1834477.34908227</v>
      </c>
      <c r="E26" s="173">
        <f>E24-E25</f>
        <v>730078.561590599</v>
      </c>
      <c r="F26" s="165">
        <f t="shared" si="2"/>
        <v>2705106.00924844</v>
      </c>
      <c r="G26" s="2"/>
      <c r="H26" s="2"/>
      <c r="I26" s="2"/>
      <c r="Q26" s="162" t="s">
        <v>103</v>
      </c>
      <c r="AG26" s="162" t="s">
        <v>104</v>
      </c>
      <c r="AH26" s="162" t="s">
        <v>103</v>
      </c>
    </row>
    <row r="27" spans="1:34">
      <c r="A27" s="152">
        <v>21</v>
      </c>
      <c r="B27" s="162" t="s">
        <v>107</v>
      </c>
      <c r="C27" s="177">
        <f>C26/C7</f>
        <v>0.0130987976305288</v>
      </c>
      <c r="D27" s="177">
        <f>D26/D7</f>
        <v>0.143039169519085</v>
      </c>
      <c r="E27" s="177">
        <f>E26/E7</f>
        <v>0.0843533866655804</v>
      </c>
      <c r="F27" s="177">
        <f>F26/F7</f>
        <v>0.083983421584863</v>
      </c>
      <c r="G27" s="2"/>
      <c r="H27" s="2"/>
      <c r="I27" s="2"/>
      <c r="Q27" s="162" t="s">
        <v>107</v>
      </c>
      <c r="AG27" s="162" t="s">
        <v>106</v>
      </c>
      <c r="AH27" s="162" t="s">
        <v>107</v>
      </c>
    </row>
    <row r="28" spans="7:17">
      <c r="G28" s="2"/>
      <c r="H28" s="2"/>
      <c r="I28" s="2"/>
      <c r="Q28" s="162"/>
    </row>
    <row r="29" spans="1:33">
      <c r="A29" s="150" t="s">
        <v>108</v>
      </c>
      <c r="F29" s="151" t="s">
        <v>170</v>
      </c>
      <c r="G29" s="2"/>
      <c r="H29" s="2"/>
      <c r="I29" s="2"/>
      <c r="Q29" s="162"/>
      <c r="AG29" s="150" t="s">
        <v>108</v>
      </c>
    </row>
    <row r="30" spans="1:34">
      <c r="A30" s="162" t="s">
        <v>110</v>
      </c>
      <c r="B30" s="167" t="s">
        <v>111</v>
      </c>
      <c r="C30" s="173"/>
      <c r="D30" s="173"/>
      <c r="E30" s="173"/>
      <c r="F30" s="173"/>
      <c r="G30" s="2"/>
      <c r="H30" s="2"/>
      <c r="I30" s="2"/>
      <c r="K30" s="2"/>
      <c r="Q30" s="167" t="s">
        <v>111</v>
      </c>
      <c r="AG30" s="162" t="s">
        <v>112</v>
      </c>
      <c r="AH30" s="167" t="s">
        <v>111</v>
      </c>
    </row>
    <row r="31" spans="1:34">
      <c r="A31" s="152">
        <v>1</v>
      </c>
      <c r="B31" s="170" t="s">
        <v>113</v>
      </c>
      <c r="C31" s="178">
        <f>(C7-C8)/C6</f>
        <v>1009.5857</v>
      </c>
      <c r="D31" s="178">
        <f>(D7-D8)/D6</f>
        <v>482.6817</v>
      </c>
      <c r="E31" s="178">
        <f>(E7-E8)/E6</f>
        <v>542.8993</v>
      </c>
      <c r="F31" s="173"/>
      <c r="G31" s="2"/>
      <c r="H31" s="2"/>
      <c r="I31" s="2"/>
      <c r="K31" s="2"/>
      <c r="Q31" s="162" t="s">
        <v>113</v>
      </c>
      <c r="AG31" s="162" t="s">
        <v>64</v>
      </c>
      <c r="AH31" s="162" t="s">
        <v>113</v>
      </c>
    </row>
    <row r="32" spans="1:34">
      <c r="A32" s="152">
        <v>2</v>
      </c>
      <c r="B32" s="162" t="s">
        <v>171</v>
      </c>
      <c r="C32" s="165">
        <f>C31*1</f>
        <v>1009.5857</v>
      </c>
      <c r="D32" s="165">
        <f>D31*1</f>
        <v>482.6817</v>
      </c>
      <c r="E32" s="165">
        <f>E31*1</f>
        <v>542.8993</v>
      </c>
      <c r="F32" s="173"/>
      <c r="G32" s="2"/>
      <c r="H32" s="2"/>
      <c r="I32" s="2"/>
      <c r="J32" s="2"/>
      <c r="K32" s="2"/>
      <c r="L32" s="2"/>
      <c r="M32" s="2"/>
      <c r="AG32" s="162"/>
      <c r="AH32" s="162"/>
    </row>
    <row r="33" spans="1:34">
      <c r="A33" s="152">
        <v>3</v>
      </c>
      <c r="B33" s="170" t="s">
        <v>114</v>
      </c>
      <c r="C33" s="165">
        <f>材料成本!D28</f>
        <v>801.801189719117</v>
      </c>
      <c r="D33" s="165">
        <f>材料成本!E28</f>
        <v>310.979106065754</v>
      </c>
      <c r="E33" s="165">
        <f>材料成本!F28</f>
        <v>386.432952229924</v>
      </c>
      <c r="F33" s="173"/>
      <c r="H33" s="2"/>
      <c r="I33" s="2"/>
      <c r="J33" s="2"/>
      <c r="K33" s="2"/>
      <c r="L33" s="2"/>
      <c r="M33" s="2"/>
      <c r="Q33" s="162" t="s">
        <v>114</v>
      </c>
      <c r="AG33" s="162" t="s">
        <v>66</v>
      </c>
      <c r="AH33" s="162" t="s">
        <v>114</v>
      </c>
    </row>
    <row r="34" ht="17.25" customHeight="1" spans="1:34">
      <c r="A34" s="152">
        <v>4</v>
      </c>
      <c r="B34" s="162" t="s">
        <v>116</v>
      </c>
      <c r="C34" s="179">
        <f>C32-C33</f>
        <v>207.784510280883</v>
      </c>
      <c r="D34" s="179">
        <f>D32-D33</f>
        <v>171.702593934246</v>
      </c>
      <c r="E34" s="179">
        <f>E32-E33</f>
        <v>156.466347770076</v>
      </c>
      <c r="F34" s="173"/>
      <c r="H34" s="2"/>
      <c r="I34" s="2"/>
      <c r="J34" s="2"/>
      <c r="K34" s="2"/>
      <c r="L34" s="2"/>
      <c r="M34" s="2"/>
      <c r="Q34" s="162" t="s">
        <v>116</v>
      </c>
      <c r="AG34" s="162" t="s">
        <v>115</v>
      </c>
      <c r="AH34" s="162" t="s">
        <v>116</v>
      </c>
    </row>
    <row r="35" spans="1:34">
      <c r="A35" s="162" t="s">
        <v>112</v>
      </c>
      <c r="B35" s="167" t="s">
        <v>10</v>
      </c>
      <c r="C35" s="173"/>
      <c r="D35" s="173"/>
      <c r="E35" s="173"/>
      <c r="F35" s="173"/>
      <c r="G35" s="2"/>
      <c r="H35" s="2"/>
      <c r="I35" s="2"/>
      <c r="J35" s="2"/>
      <c r="K35" s="2"/>
      <c r="L35" s="2"/>
      <c r="M35" s="2"/>
      <c r="N35" s="2"/>
      <c r="O35" s="2"/>
      <c r="P35" s="2"/>
      <c r="Q35" s="167" t="s">
        <v>10</v>
      </c>
      <c r="AG35" s="162" t="s">
        <v>118</v>
      </c>
      <c r="AH35" s="167" t="s">
        <v>10</v>
      </c>
    </row>
    <row r="36" spans="1:34">
      <c r="A36" s="152">
        <v>1</v>
      </c>
      <c r="B36" s="162" t="s">
        <v>119</v>
      </c>
      <c r="C36" s="171">
        <f>标准成本!E4</f>
        <v>36.7282721616473</v>
      </c>
      <c r="D36" s="171">
        <f>标准成本!E16</f>
        <v>14.2450839318036</v>
      </c>
      <c r="E36" s="171">
        <f>标准成本!E29</f>
        <v>17.7014137964818</v>
      </c>
      <c r="F36" s="178"/>
      <c r="G36" s="2"/>
      <c r="H36" s="2"/>
      <c r="I36" s="2"/>
      <c r="J36" s="2"/>
      <c r="K36" s="2"/>
      <c r="L36" s="2"/>
      <c r="M36" s="2"/>
      <c r="N36" s="2"/>
      <c r="O36" s="2"/>
      <c r="P36" s="2"/>
      <c r="Q36" s="162" t="s">
        <v>119</v>
      </c>
      <c r="AG36" s="162" t="s">
        <v>115</v>
      </c>
      <c r="AH36" s="162" t="s">
        <v>119</v>
      </c>
    </row>
    <row r="37" spans="1:34">
      <c r="A37" s="152">
        <v>2</v>
      </c>
      <c r="B37" s="162" t="s">
        <v>120</v>
      </c>
      <c r="C37" s="171">
        <f>标准成本!E6</f>
        <v>18.4919606939152</v>
      </c>
      <c r="D37" s="171">
        <f>标准成本!E18</f>
        <v>7.17211882413313</v>
      </c>
      <c r="E37" s="171">
        <f>标准成本!E31</f>
        <v>8.91231274672053</v>
      </c>
      <c r="F37" s="178"/>
      <c r="G37" s="2"/>
      <c r="H37" s="2"/>
      <c r="I37" s="2"/>
      <c r="J37" s="2"/>
      <c r="K37" s="2"/>
      <c r="L37" s="2"/>
      <c r="M37" s="2"/>
      <c r="N37" s="2"/>
      <c r="O37" s="2"/>
      <c r="P37" s="2"/>
      <c r="Q37" s="162" t="s">
        <v>120</v>
      </c>
      <c r="AG37" s="162" t="s">
        <v>69</v>
      </c>
      <c r="AH37" s="162" t="s">
        <v>120</v>
      </c>
    </row>
    <row r="38" spans="1:34">
      <c r="A38" s="152">
        <v>3</v>
      </c>
      <c r="B38" s="162" t="s">
        <v>121</v>
      </c>
      <c r="C38" s="171">
        <f>标准成本!E10</f>
        <v>37.4952198401968</v>
      </c>
      <c r="D38" s="171">
        <f>标准成本!E22</f>
        <v>14.5425450811916</v>
      </c>
      <c r="E38" s="171">
        <f>标准成本!E35</f>
        <v>18.0710488873596</v>
      </c>
      <c r="F38" s="178"/>
      <c r="G38" s="2"/>
      <c r="H38" s="2"/>
      <c r="I38" s="2"/>
      <c r="J38" s="2"/>
      <c r="K38" s="2"/>
      <c r="L38" s="2"/>
      <c r="M38" s="2"/>
      <c r="N38" s="2"/>
      <c r="O38" s="2"/>
      <c r="P38" s="2"/>
      <c r="Q38" s="162" t="s">
        <v>121</v>
      </c>
      <c r="AG38" s="162" t="s">
        <v>76</v>
      </c>
      <c r="AH38" s="162" t="s">
        <v>121</v>
      </c>
    </row>
    <row r="39" spans="1:34">
      <c r="A39" s="162" t="s">
        <v>118</v>
      </c>
      <c r="B39" s="167" t="s">
        <v>123</v>
      </c>
      <c r="C39" s="173"/>
      <c r="D39" s="173"/>
      <c r="E39" s="173"/>
      <c r="F39" s="173"/>
      <c r="Q39" s="167" t="s">
        <v>123</v>
      </c>
      <c r="AG39" s="162" t="s">
        <v>122</v>
      </c>
      <c r="AH39" s="167" t="s">
        <v>123</v>
      </c>
    </row>
    <row r="40" spans="1:34">
      <c r="A40" s="152">
        <v>1</v>
      </c>
      <c r="B40" s="162" t="s">
        <v>125</v>
      </c>
      <c r="C40" s="173">
        <f>C34-C36-C37-C38</f>
        <v>115.069057585123</v>
      </c>
      <c r="D40" s="173">
        <f>D34-D36-D37-D38</f>
        <v>135.742846097118</v>
      </c>
      <c r="E40" s="173">
        <f>E34-E36-E37-E38</f>
        <v>111.781572339514</v>
      </c>
      <c r="F40" s="173"/>
      <c r="Q40" s="162" t="s">
        <v>125</v>
      </c>
      <c r="AG40" s="162" t="s">
        <v>64</v>
      </c>
      <c r="AH40" s="162" t="s">
        <v>125</v>
      </c>
    </row>
    <row r="41" spans="1:34">
      <c r="A41" s="152">
        <v>2</v>
      </c>
      <c r="B41" s="162" t="s">
        <v>126</v>
      </c>
      <c r="C41" s="173"/>
      <c r="D41" s="173"/>
      <c r="E41" s="173"/>
      <c r="F41" s="173"/>
      <c r="Q41" s="162" t="s">
        <v>126</v>
      </c>
      <c r="AG41" s="162" t="s">
        <v>66</v>
      </c>
      <c r="AH41" s="162" t="s">
        <v>126</v>
      </c>
    </row>
    <row r="42" spans="1:34">
      <c r="A42" s="162" t="s">
        <v>122</v>
      </c>
      <c r="B42" s="167" t="s">
        <v>128</v>
      </c>
      <c r="C42" s="173"/>
      <c r="D42" s="173"/>
      <c r="E42" s="173"/>
      <c r="F42" s="173"/>
      <c r="Q42" s="167" t="s">
        <v>128</v>
      </c>
      <c r="AG42" s="162" t="s">
        <v>127</v>
      </c>
      <c r="AH42" s="167" t="s">
        <v>128</v>
      </c>
    </row>
    <row r="43" spans="1:34">
      <c r="A43" s="152">
        <v>1</v>
      </c>
      <c r="B43" s="174" t="s">
        <v>129</v>
      </c>
      <c r="C43" s="171">
        <f>标准成本!E5</f>
        <v>34.9387275783652</v>
      </c>
      <c r="D43" s="171">
        <f>标准成本!E17</f>
        <v>13.5510079165649</v>
      </c>
      <c r="E43" s="171">
        <f>标准成本!E30</f>
        <v>16.8389319177669</v>
      </c>
      <c r="F43" s="173"/>
      <c r="Q43" s="162" t="s">
        <v>129</v>
      </c>
      <c r="AG43" s="162" t="s">
        <v>64</v>
      </c>
      <c r="AH43" s="162" t="s">
        <v>129</v>
      </c>
    </row>
    <row r="44" spans="1:34">
      <c r="A44" s="152">
        <v>2</v>
      </c>
      <c r="B44" s="174" t="s">
        <v>130</v>
      </c>
      <c r="C44" s="171">
        <f>标准成本!E9</f>
        <v>5.9651486109404</v>
      </c>
      <c r="D44" s="171">
        <f>标准成本!E21</f>
        <v>2.3135867174623</v>
      </c>
      <c r="E44" s="171">
        <f>标准成本!E34</f>
        <v>2.8749395957163</v>
      </c>
      <c r="F44" s="173"/>
      <c r="Q44" s="162" t="s">
        <v>130</v>
      </c>
      <c r="AG44" s="162" t="s">
        <v>66</v>
      </c>
      <c r="AH44" s="162" t="s">
        <v>130</v>
      </c>
    </row>
    <row r="45" spans="1:34">
      <c r="A45" s="152">
        <v>3</v>
      </c>
      <c r="B45" s="174" t="s">
        <v>131</v>
      </c>
      <c r="C45" s="171">
        <f>标准成本!E8</f>
        <v>28.9735789674248</v>
      </c>
      <c r="D45" s="171">
        <f>标准成本!E20</f>
        <v>11.2374211991026</v>
      </c>
      <c r="E45" s="171">
        <f>标准成本!E33</f>
        <v>13.9639923220506</v>
      </c>
      <c r="F45" s="173"/>
      <c r="Q45" s="162" t="s">
        <v>131</v>
      </c>
      <c r="AG45" s="162" t="s">
        <v>115</v>
      </c>
      <c r="AH45" s="162" t="s">
        <v>131</v>
      </c>
    </row>
    <row r="46" s="149" customFormat="1" spans="1:34">
      <c r="A46" s="152">
        <v>4</v>
      </c>
      <c r="B46" s="174" t="s">
        <v>132</v>
      </c>
      <c r="C46" s="180">
        <f>C21/C6</f>
        <v>0</v>
      </c>
      <c r="D46" s="180">
        <f>D21/D6</f>
        <v>0</v>
      </c>
      <c r="E46" s="180">
        <f>E21/E6</f>
        <v>0</v>
      </c>
      <c r="F46" s="180"/>
      <c r="Q46" s="174" t="s">
        <v>134</v>
      </c>
      <c r="AG46" s="174" t="s">
        <v>72</v>
      </c>
      <c r="AH46" s="174" t="s">
        <v>134</v>
      </c>
    </row>
    <row r="47" s="149" customFormat="1" spans="1:34">
      <c r="A47" s="152">
        <v>5</v>
      </c>
      <c r="B47" s="174" t="s">
        <v>134</v>
      </c>
      <c r="C47" s="180">
        <f>标准成本!E11</f>
        <v>25.564922618316</v>
      </c>
      <c r="D47" s="180">
        <f>标准成本!E23</f>
        <v>9.915371646267</v>
      </c>
      <c r="E47" s="180">
        <f>标准成本!E36</f>
        <v>12.321169695927</v>
      </c>
      <c r="F47" s="180"/>
      <c r="Q47" s="174" t="s">
        <v>134</v>
      </c>
      <c r="AG47" s="174" t="s">
        <v>72</v>
      </c>
      <c r="AH47" s="174" t="s">
        <v>134</v>
      </c>
    </row>
    <row r="48" spans="1:34">
      <c r="A48" s="162" t="s">
        <v>127</v>
      </c>
      <c r="B48" s="167" t="s">
        <v>145</v>
      </c>
      <c r="C48" s="173">
        <f>C40-C43-C44-C45-C47-C46</f>
        <v>19.6266798100767</v>
      </c>
      <c r="D48" s="173">
        <f>D40-D43-D44-D45-D47-D46</f>
        <v>98.7254586177209</v>
      </c>
      <c r="E48" s="173">
        <f>E40-E43-E44-E45-E47-E46</f>
        <v>65.7825388080535</v>
      </c>
      <c r="F48" s="173"/>
      <c r="Q48" s="167" t="s">
        <v>145</v>
      </c>
      <c r="AG48" s="162" t="s">
        <v>144</v>
      </c>
      <c r="AH48" s="167" t="s">
        <v>145</v>
      </c>
    </row>
    <row r="51" spans="3:5">
      <c r="C51" s="181"/>
      <c r="D51" s="181"/>
      <c r="E51" s="181"/>
    </row>
    <row r="54" spans="2:11">
      <c r="B54" s="2"/>
      <c r="C54" s="182"/>
      <c r="D54" s="182"/>
      <c r="E54" s="182"/>
      <c r="F54" s="182"/>
      <c r="G54" s="2"/>
      <c r="H54" s="2"/>
      <c r="I54" s="2"/>
      <c r="J54" s="2"/>
      <c r="K54" s="2"/>
    </row>
    <row r="55" spans="2:11">
      <c r="B55" s="2"/>
      <c r="C55" s="182"/>
      <c r="D55" s="182"/>
      <c r="E55" s="182"/>
      <c r="F55" s="182"/>
      <c r="G55" s="2"/>
      <c r="H55" s="2"/>
      <c r="I55" s="2"/>
      <c r="J55" s="2"/>
      <c r="K55" s="2"/>
    </row>
    <row r="56" spans="2:11">
      <c r="B56" s="2"/>
      <c r="C56" s="182"/>
      <c r="D56" s="182"/>
      <c r="E56" s="182"/>
      <c r="F56" s="182"/>
      <c r="G56" s="2"/>
      <c r="H56" s="2"/>
      <c r="I56" s="2"/>
      <c r="J56" s="2"/>
      <c r="K56" s="2"/>
    </row>
    <row r="57" spans="2:11">
      <c r="B57" s="2"/>
      <c r="C57" s="182"/>
      <c r="D57" s="182"/>
      <c r="E57" s="182"/>
      <c r="F57" s="182"/>
      <c r="G57" s="2"/>
      <c r="H57" s="2"/>
      <c r="I57" s="2"/>
      <c r="J57" s="2"/>
      <c r="K57" s="2"/>
    </row>
    <row r="58" spans="2:11">
      <c r="B58" s="2"/>
      <c r="C58" s="182"/>
      <c r="D58" s="182"/>
      <c r="E58" s="182"/>
      <c r="F58" s="182"/>
      <c r="G58" s="2"/>
      <c r="H58" s="2"/>
      <c r="I58" s="2"/>
      <c r="J58" s="2"/>
      <c r="K58" s="2"/>
    </row>
    <row r="59" spans="2:11">
      <c r="B59" s="2"/>
      <c r="C59" s="182"/>
      <c r="D59" s="182"/>
      <c r="E59" s="182"/>
      <c r="F59" s="182"/>
      <c r="G59" s="2"/>
      <c r="H59" s="2"/>
      <c r="I59" s="2"/>
      <c r="J59" s="2"/>
      <c r="K59" s="2"/>
    </row>
    <row r="60" spans="2:11">
      <c r="B60" s="2"/>
      <c r="C60" s="182"/>
      <c r="D60" s="182"/>
      <c r="E60" s="182"/>
      <c r="F60" s="182"/>
      <c r="G60" s="2"/>
      <c r="H60" s="2"/>
      <c r="I60" s="2"/>
      <c r="J60" s="2"/>
      <c r="K60" s="2"/>
    </row>
    <row r="61" spans="2:11">
      <c r="B61" s="2"/>
      <c r="C61" s="182"/>
      <c r="D61" s="182"/>
      <c r="E61" s="182"/>
      <c r="F61" s="182"/>
      <c r="G61" s="2"/>
      <c r="H61" s="2"/>
      <c r="I61" s="2"/>
      <c r="J61" s="2"/>
      <c r="K61" s="2"/>
    </row>
    <row r="62" spans="2:11">
      <c r="B62" s="2"/>
      <c r="C62" s="182"/>
      <c r="D62" s="182"/>
      <c r="E62" s="182"/>
      <c r="F62" s="182"/>
      <c r="G62" s="2"/>
      <c r="H62" s="2"/>
      <c r="I62" s="2"/>
      <c r="J62" s="2"/>
      <c r="K62" s="2"/>
    </row>
    <row r="63" spans="2:11">
      <c r="B63" s="2"/>
      <c r="C63" s="182"/>
      <c r="D63" s="182"/>
      <c r="E63" s="182"/>
      <c r="F63" s="182"/>
      <c r="G63" s="2"/>
      <c r="H63" s="2"/>
      <c r="I63" s="2"/>
      <c r="J63" s="2"/>
      <c r="K63" s="2"/>
    </row>
    <row r="64" spans="2:11">
      <c r="B64" s="2"/>
      <c r="C64" s="182"/>
      <c r="D64" s="182"/>
      <c r="E64" s="182"/>
      <c r="F64" s="182"/>
      <c r="G64" s="2"/>
      <c r="H64" s="2"/>
      <c r="I64" s="2"/>
      <c r="J64" s="2"/>
      <c r="K64" s="2"/>
    </row>
    <row r="65" spans="2:11">
      <c r="B65" s="2"/>
      <c r="C65" s="182"/>
      <c r="D65" s="182"/>
      <c r="E65" s="182"/>
      <c r="F65" s="182"/>
      <c r="G65" s="2"/>
      <c r="H65" s="2"/>
      <c r="I65" s="2"/>
      <c r="J65" s="2"/>
      <c r="K65" s="2"/>
    </row>
    <row r="66" spans="2:11">
      <c r="B66" s="2"/>
      <c r="C66" s="182"/>
      <c r="D66" s="182"/>
      <c r="E66" s="182"/>
      <c r="F66" s="182"/>
      <c r="G66" s="2"/>
      <c r="H66" s="2"/>
      <c r="I66" s="2"/>
      <c r="J66" s="2"/>
      <c r="K66" s="2"/>
    </row>
    <row r="67" spans="2:7">
      <c r="B67" s="2"/>
      <c r="C67" s="182"/>
      <c r="D67" s="182"/>
      <c r="E67" s="182"/>
      <c r="F67" s="182"/>
      <c r="G67" s="2"/>
    </row>
    <row r="68" spans="2:7">
      <c r="B68" s="2"/>
      <c r="C68" s="182"/>
      <c r="D68" s="182"/>
      <c r="E68" s="182"/>
      <c r="F68" s="182"/>
      <c r="G68" s="2"/>
    </row>
    <row r="69" spans="2:7">
      <c r="B69" s="2"/>
      <c r="C69" s="182"/>
      <c r="D69" s="182"/>
      <c r="E69" s="182"/>
      <c r="F69" s="182"/>
      <c r="G69" s="2"/>
    </row>
    <row r="70" spans="2:7">
      <c r="B70" s="2"/>
      <c r="C70" s="182"/>
      <c r="D70" s="182"/>
      <c r="E70" s="182"/>
      <c r="F70" s="182"/>
      <c r="G70" s="2"/>
    </row>
    <row r="71" spans="2:7">
      <c r="B71" s="2"/>
      <c r="C71" s="182"/>
      <c r="D71" s="182"/>
      <c r="E71" s="182"/>
      <c r="F71" s="182"/>
      <c r="G71" s="2"/>
    </row>
    <row r="72" spans="2:7">
      <c r="B72" s="2"/>
      <c r="C72" s="182"/>
      <c r="D72" s="182"/>
      <c r="E72" s="182"/>
      <c r="F72" s="182"/>
      <c r="G72" s="2"/>
    </row>
    <row r="73" spans="2:7">
      <c r="B73" s="2"/>
      <c r="C73" s="182"/>
      <c r="D73" s="182"/>
      <c r="E73" s="182"/>
      <c r="F73" s="182"/>
      <c r="G73" s="2"/>
    </row>
    <row r="74" spans="2:7">
      <c r="B74" s="2"/>
      <c r="C74" s="182"/>
      <c r="D74" s="182"/>
      <c r="E74" s="182"/>
      <c r="F74" s="182"/>
      <c r="G74" s="2"/>
    </row>
  </sheetData>
  <mergeCells count="8">
    <mergeCell ref="A1:B1"/>
    <mergeCell ref="C1:F1"/>
    <mergeCell ref="A2:B2"/>
    <mergeCell ref="C2:F2"/>
    <mergeCell ref="A3:B3"/>
    <mergeCell ref="A4:B4"/>
    <mergeCell ref="A5:B5"/>
    <mergeCell ref="F3:F5"/>
  </mergeCells>
  <printOptions horizontalCentered="1"/>
  <pageMargins left="0.393700787401575" right="0.31496062992126" top="0.354330708661417" bottom="0.15748031496063" header="0.31496062992126" footer="0.31496062992126"/>
  <pageSetup paperSize="9" orientation="landscape"/>
  <headerFooter/>
  <rowBreaks count="1" manualBreakCount="1">
    <brk id="28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4"/>
  <sheetViews>
    <sheetView zoomScale="85" zoomScaleNormal="85" workbookViewId="0">
      <pane xSplit="2" ySplit="7" topLeftCell="C8" activePane="bottomRight" state="frozen"/>
      <selection/>
      <selection pane="topRight"/>
      <selection pane="bottomLeft"/>
      <selection pane="bottomRight" activeCell="G24" sqref="G24"/>
    </sheetView>
  </sheetViews>
  <sheetFormatPr defaultColWidth="9" defaultRowHeight="14.5"/>
  <cols>
    <col min="1" max="1" width="5.12727272727273" style="150" customWidth="1"/>
    <col min="2" max="2" width="17.5" style="150" customWidth="1"/>
    <col min="3" max="5" width="15.5454545454545" style="151" customWidth="1"/>
    <col min="6" max="6" width="16.8181818181818" style="151" customWidth="1"/>
    <col min="7" max="7" width="12.3727272727273" style="150" customWidth="1"/>
    <col min="8" max="8" width="10.1272727272727" style="150" customWidth="1"/>
    <col min="9" max="15" width="9" style="150" customWidth="1"/>
    <col min="16" max="16" width="9" style="150"/>
    <col min="17" max="17" width="9" style="150" hidden="1" customWidth="1"/>
    <col min="18" max="32" width="9" style="150"/>
    <col min="33" max="33" width="4.37272727272727" style="150" customWidth="1"/>
    <col min="34" max="34" width="13.8727272727273" style="150" customWidth="1"/>
    <col min="35" max="16384" width="9" style="150"/>
  </cols>
  <sheetData>
    <row r="1" spans="1:6">
      <c r="A1" s="152" t="s">
        <v>155</v>
      </c>
      <c r="B1" s="152"/>
      <c r="C1" s="153" t="s">
        <v>174</v>
      </c>
      <c r="D1" s="154"/>
      <c r="E1" s="154"/>
      <c r="F1" s="155"/>
    </row>
    <row r="2" spans="1:6">
      <c r="A2" s="152" t="s">
        <v>157</v>
      </c>
      <c r="B2" s="152"/>
      <c r="C2" s="156" t="s">
        <v>158</v>
      </c>
      <c r="D2" s="156"/>
      <c r="E2" s="156"/>
      <c r="F2" s="156"/>
    </row>
    <row r="3" spans="1:6">
      <c r="A3" s="152" t="s">
        <v>159</v>
      </c>
      <c r="B3" s="152"/>
      <c r="C3" s="157" t="s">
        <v>160</v>
      </c>
      <c r="D3" s="157" t="s">
        <v>161</v>
      </c>
      <c r="E3" s="157" t="s">
        <v>162</v>
      </c>
      <c r="F3" s="158" t="s">
        <v>60</v>
      </c>
    </row>
    <row r="4" spans="1:6">
      <c r="A4" s="152" t="s">
        <v>163</v>
      </c>
      <c r="B4" s="152"/>
      <c r="C4" s="79"/>
      <c r="D4" s="79"/>
      <c r="E4" s="79"/>
      <c r="F4" s="159"/>
    </row>
    <row r="5" ht="33" spans="1:35">
      <c r="A5" s="152" t="s">
        <v>164</v>
      </c>
      <c r="B5" s="152"/>
      <c r="C5" s="160" t="s">
        <v>165</v>
      </c>
      <c r="D5" s="160" t="s">
        <v>166</v>
      </c>
      <c r="E5" s="160" t="s">
        <v>167</v>
      </c>
      <c r="F5" s="161"/>
      <c r="AI5" s="150" t="s">
        <v>61</v>
      </c>
    </row>
    <row r="6" ht="16.5" spans="1:35">
      <c r="A6" s="162" t="s">
        <v>21</v>
      </c>
      <c r="B6" s="163" t="s">
        <v>168</v>
      </c>
      <c r="C6" s="164">
        <f>销量!C12</f>
        <v>10000</v>
      </c>
      <c r="D6" s="164">
        <f>销量!D12</f>
        <v>30000</v>
      </c>
      <c r="E6" s="164">
        <f>销量!E12</f>
        <v>20000</v>
      </c>
      <c r="F6" s="165">
        <f t="shared" ref="F6:F15" si="0">+SUM(C6:E6)</f>
        <v>60000</v>
      </c>
      <c r="Q6" s="163" t="s">
        <v>3</v>
      </c>
      <c r="AG6" s="162" t="s">
        <v>21</v>
      </c>
      <c r="AH6" s="163" t="s">
        <v>3</v>
      </c>
      <c r="AI6" s="150" t="s">
        <v>62</v>
      </c>
    </row>
    <row r="7" spans="1:35">
      <c r="A7" s="152">
        <v>1</v>
      </c>
      <c r="B7" s="163" t="s">
        <v>63</v>
      </c>
      <c r="C7" s="165">
        <f>C6*销量!C8</f>
        <v>10730000</v>
      </c>
      <c r="D7" s="165">
        <f>D6*销量!D8</f>
        <v>15390000</v>
      </c>
      <c r="E7" s="165">
        <f>E6*销量!E8</f>
        <v>11540000</v>
      </c>
      <c r="F7" s="165">
        <f t="shared" si="0"/>
        <v>37660000</v>
      </c>
      <c r="G7" s="151"/>
      <c r="Q7" s="163" t="s">
        <v>63</v>
      </c>
      <c r="AG7" s="162" t="s">
        <v>64</v>
      </c>
      <c r="AH7" s="163" t="s">
        <v>63</v>
      </c>
      <c r="AI7" s="150" t="s">
        <v>62</v>
      </c>
    </row>
    <row r="8" spans="1:35">
      <c r="A8" s="152">
        <v>2</v>
      </c>
      <c r="B8" s="152" t="s">
        <v>65</v>
      </c>
      <c r="C8" s="165">
        <f>C7*(1-销量!$P$9)</f>
        <v>937018.709999999</v>
      </c>
      <c r="D8" s="165">
        <f>D7*(1-销量!$P$9)</f>
        <v>1343962.53</v>
      </c>
      <c r="E8" s="165">
        <f>E7*(1-销量!$P$9)</f>
        <v>1007753.58</v>
      </c>
      <c r="F8" s="165">
        <f t="shared" si="0"/>
        <v>3288734.82</v>
      </c>
      <c r="G8" s="166"/>
      <c r="Q8" s="152" t="s">
        <v>67</v>
      </c>
      <c r="AG8" s="162" t="s">
        <v>66</v>
      </c>
      <c r="AH8" s="152" t="s">
        <v>67</v>
      </c>
      <c r="AI8" s="150" t="s">
        <v>62</v>
      </c>
    </row>
    <row r="9" spans="1:35">
      <c r="A9" s="152">
        <v>3</v>
      </c>
      <c r="B9" s="163" t="s">
        <v>68</v>
      </c>
      <c r="C9" s="165">
        <f>+C7-C8</f>
        <v>9792981.29</v>
      </c>
      <c r="D9" s="165">
        <f>+D7-D8</f>
        <v>14046037.47</v>
      </c>
      <c r="E9" s="165">
        <f>+E7-E8</f>
        <v>10532246.42</v>
      </c>
      <c r="F9" s="165">
        <f t="shared" si="0"/>
        <v>34371265.18</v>
      </c>
      <c r="Q9" s="163" t="s">
        <v>68</v>
      </c>
      <c r="AG9" s="162" t="s">
        <v>69</v>
      </c>
      <c r="AH9" s="163" t="s">
        <v>68</v>
      </c>
      <c r="AI9" s="150" t="s">
        <v>70</v>
      </c>
    </row>
    <row r="10" spans="1:35">
      <c r="A10" s="152">
        <v>4</v>
      </c>
      <c r="B10" s="162" t="s">
        <v>73</v>
      </c>
      <c r="C10" s="165">
        <f>C6*C33</f>
        <v>7777471.54027544</v>
      </c>
      <c r="D10" s="165">
        <f>D6*D33</f>
        <v>9049491.98651344</v>
      </c>
      <c r="E10" s="165">
        <f>E6*E33</f>
        <v>7496799.27326052</v>
      </c>
      <c r="F10" s="165">
        <f t="shared" si="0"/>
        <v>24323762.8000494</v>
      </c>
      <c r="Q10" s="162" t="s">
        <v>73</v>
      </c>
      <c r="AG10" s="162" t="s">
        <v>72</v>
      </c>
      <c r="AH10" s="162" t="s">
        <v>73</v>
      </c>
      <c r="AI10" s="150" t="s">
        <v>74</v>
      </c>
    </row>
    <row r="11" spans="1:34">
      <c r="A11" s="152">
        <v>5</v>
      </c>
      <c r="B11" s="162" t="s">
        <v>75</v>
      </c>
      <c r="C11" s="165">
        <f>+C6*C36</f>
        <v>367282.721616473</v>
      </c>
      <c r="D11" s="165">
        <f>+D6*D36</f>
        <v>427352.517954108</v>
      </c>
      <c r="E11" s="165">
        <f>+E6*E36</f>
        <v>354028.275929636</v>
      </c>
      <c r="F11" s="165">
        <f t="shared" si="0"/>
        <v>1148663.51550022</v>
      </c>
      <c r="Q11" s="162" t="s">
        <v>75</v>
      </c>
      <c r="AG11" s="162" t="s">
        <v>76</v>
      </c>
      <c r="AH11" s="162" t="s">
        <v>75</v>
      </c>
    </row>
    <row r="12" spans="1:34">
      <c r="A12" s="152">
        <v>6</v>
      </c>
      <c r="B12" s="162" t="s">
        <v>77</v>
      </c>
      <c r="C12" s="165">
        <f>+C6*C37</f>
        <v>184919.606939152</v>
      </c>
      <c r="D12" s="165">
        <f>+D6*D37</f>
        <v>215163.564723994</v>
      </c>
      <c r="E12" s="165">
        <f>+E6*E37</f>
        <v>178246.254934411</v>
      </c>
      <c r="F12" s="165">
        <f t="shared" si="0"/>
        <v>578329.426597557</v>
      </c>
      <c r="Q12" s="162" t="s">
        <v>77</v>
      </c>
      <c r="AG12" s="162" t="s">
        <v>78</v>
      </c>
      <c r="AH12" s="162" t="s">
        <v>77</v>
      </c>
    </row>
    <row r="13" spans="1:35">
      <c r="A13" s="152">
        <v>7</v>
      </c>
      <c r="B13" s="162" t="s">
        <v>79</v>
      </c>
      <c r="C13" s="165">
        <f>+C6*C38</f>
        <v>374952.198401968</v>
      </c>
      <c r="D13" s="165">
        <f>+D6*D38</f>
        <v>436276.352435748</v>
      </c>
      <c r="E13" s="165">
        <f>+E6*E38</f>
        <v>361420.977747192</v>
      </c>
      <c r="F13" s="165">
        <f t="shared" si="0"/>
        <v>1172649.52858491</v>
      </c>
      <c r="Q13" s="162" t="s">
        <v>79</v>
      </c>
      <c r="AG13" s="162" t="s">
        <v>80</v>
      </c>
      <c r="AH13" s="162" t="s">
        <v>79</v>
      </c>
      <c r="AI13" s="150" t="s">
        <v>62</v>
      </c>
    </row>
    <row r="14" spans="1:34">
      <c r="A14" s="152">
        <v>8</v>
      </c>
      <c r="B14" s="167" t="s">
        <v>81</v>
      </c>
      <c r="C14" s="165">
        <f>SUM(C11:C13)</f>
        <v>927154.526957593</v>
      </c>
      <c r="D14" s="165">
        <f>SUM(D11:D13)</f>
        <v>1078792.43511385</v>
      </c>
      <c r="E14" s="165">
        <f>SUM(E11:E13)</f>
        <v>893695.508611238</v>
      </c>
      <c r="F14" s="165">
        <f t="shared" si="0"/>
        <v>2899642.47068268</v>
      </c>
      <c r="Q14" s="167" t="s">
        <v>81</v>
      </c>
      <c r="AG14" s="162" t="s">
        <v>82</v>
      </c>
      <c r="AH14" s="167" t="s">
        <v>81</v>
      </c>
    </row>
    <row r="15" spans="1:34">
      <c r="A15" s="152">
        <v>9</v>
      </c>
      <c r="B15" s="167" t="s">
        <v>83</v>
      </c>
      <c r="C15" s="165">
        <f>+C9-C10-C14</f>
        <v>1088355.22276697</v>
      </c>
      <c r="D15" s="165">
        <f>+D9-D10-D14</f>
        <v>3917753.04837271</v>
      </c>
      <c r="E15" s="165">
        <f>+E9-E10-E14</f>
        <v>2141751.63812824</v>
      </c>
      <c r="F15" s="165">
        <f t="shared" si="0"/>
        <v>7147859.90926792</v>
      </c>
      <c r="Q15" s="167" t="s">
        <v>83</v>
      </c>
      <c r="AG15" s="162" t="s">
        <v>84</v>
      </c>
      <c r="AH15" s="167" t="s">
        <v>83</v>
      </c>
    </row>
    <row r="16" spans="1:34">
      <c r="A16" s="152">
        <v>10</v>
      </c>
      <c r="B16" s="162" t="s">
        <v>85</v>
      </c>
      <c r="C16" s="168">
        <f>+C15/C9</f>
        <v>0.111136250600043</v>
      </c>
      <c r="D16" s="168">
        <f>+D15/D9</f>
        <v>0.278922297960573</v>
      </c>
      <c r="E16" s="168">
        <f>+E15/E9</f>
        <v>0.203351835185056</v>
      </c>
      <c r="F16" s="168">
        <f>+F15/F9</f>
        <v>0.207960337562061</v>
      </c>
      <c r="G16" s="169"/>
      <c r="H16" s="169"/>
      <c r="I16" s="169"/>
      <c r="Q16" s="162" t="s">
        <v>85</v>
      </c>
      <c r="AG16" s="162" t="s">
        <v>86</v>
      </c>
      <c r="AH16" s="162" t="s">
        <v>85</v>
      </c>
    </row>
    <row r="17" spans="1:34">
      <c r="A17" s="152">
        <v>11</v>
      </c>
      <c r="B17" s="162" t="s">
        <v>87</v>
      </c>
      <c r="C17" s="165">
        <f>C6*C43+C18</f>
        <v>356776.164672541</v>
      </c>
      <c r="D17" s="165">
        <f>D6*D43+D18</f>
        <v>428696.904163614</v>
      </c>
      <c r="E17" s="165">
        <f>E6*E43+E18</f>
        <v>351556.416133116</v>
      </c>
      <c r="F17" s="165">
        <f t="shared" ref="F17:F20" si="1">+SUM(C17:E17)</f>
        <v>1137029.48496927</v>
      </c>
      <c r="G17" s="166"/>
      <c r="Q17" s="162" t="s">
        <v>87</v>
      </c>
      <c r="AG17" s="162" t="s">
        <v>88</v>
      </c>
      <c r="AH17" s="162" t="s">
        <v>87</v>
      </c>
    </row>
    <row r="18" s="148" customFormat="1" spans="1:9">
      <c r="A18" s="152">
        <v>12</v>
      </c>
      <c r="B18" s="170" t="s">
        <v>89</v>
      </c>
      <c r="C18" s="171">
        <f>$F$18/$F$6*C6</f>
        <v>7388.88888888889</v>
      </c>
      <c r="D18" s="171">
        <f>$F$18/$F$6*D6</f>
        <v>22166.6666666667</v>
      </c>
      <c r="E18" s="171">
        <f>$F$18/$F$6*E6</f>
        <v>14777.7777777778</v>
      </c>
      <c r="F18" s="165">
        <f>项目投资!G26</f>
        <v>44333.3333333333</v>
      </c>
      <c r="G18" s="172" t="s">
        <v>90</v>
      </c>
      <c r="H18" s="172"/>
      <c r="I18" s="172"/>
    </row>
    <row r="19" spans="1:35">
      <c r="A19" s="152">
        <v>13</v>
      </c>
      <c r="B19" s="162" t="s">
        <v>91</v>
      </c>
      <c r="C19" s="165">
        <f>C6*C44</f>
        <v>59651.486109404</v>
      </c>
      <c r="D19" s="165">
        <f>D6*D44</f>
        <v>69407.601523869</v>
      </c>
      <c r="E19" s="165">
        <f>E6*E44</f>
        <v>57498.791914326</v>
      </c>
      <c r="F19" s="165">
        <f t="shared" si="1"/>
        <v>186557.879547599</v>
      </c>
      <c r="G19" s="148"/>
      <c r="Q19" s="162" t="s">
        <v>91</v>
      </c>
      <c r="AG19" s="162" t="s">
        <v>92</v>
      </c>
      <c r="AH19" s="162" t="s">
        <v>91</v>
      </c>
      <c r="AI19" s="150" t="s">
        <v>62</v>
      </c>
    </row>
    <row r="20" spans="1:34">
      <c r="A20" s="152">
        <v>14</v>
      </c>
      <c r="B20" s="162" t="s">
        <v>93</v>
      </c>
      <c r="C20" s="165">
        <f>C6*C45</f>
        <v>289735.789674248</v>
      </c>
      <c r="D20" s="165">
        <f>D6*D45</f>
        <v>337122.635973078</v>
      </c>
      <c r="E20" s="165">
        <f>E6*E45</f>
        <v>279279.846441012</v>
      </c>
      <c r="F20" s="165">
        <f t="shared" si="1"/>
        <v>906138.272088338</v>
      </c>
      <c r="Q20" s="162" t="s">
        <v>93</v>
      </c>
      <c r="AG20" s="162" t="s">
        <v>94</v>
      </c>
      <c r="AH20" s="162" t="s">
        <v>93</v>
      </c>
    </row>
    <row r="21" spans="1:34">
      <c r="A21" s="152">
        <v>15</v>
      </c>
      <c r="B21" s="162" t="s">
        <v>95</v>
      </c>
      <c r="C21" s="173">
        <f>$F$21/$F$6*C6</f>
        <v>0</v>
      </c>
      <c r="D21" s="173">
        <f>$F$21/$F$6*D6</f>
        <v>0</v>
      </c>
      <c r="E21" s="173">
        <f>$F$21/$F$6*E6</f>
        <v>0</v>
      </c>
      <c r="F21" s="165">
        <f>项目投资!F27</f>
        <v>0</v>
      </c>
      <c r="Q21" s="162" t="s">
        <v>95</v>
      </c>
      <c r="AG21" s="162"/>
      <c r="AH21" s="162"/>
    </row>
    <row r="22" spans="1:34">
      <c r="A22" s="152">
        <v>16</v>
      </c>
      <c r="B22" s="162" t="s">
        <v>96</v>
      </c>
      <c r="C22" s="165">
        <f>C6*C47</f>
        <v>255649.22618316</v>
      </c>
      <c r="D22" s="165">
        <f>D6*D47</f>
        <v>297461.14938801</v>
      </c>
      <c r="E22" s="165">
        <f>E6*E47</f>
        <v>246423.39391854</v>
      </c>
      <c r="F22" s="165">
        <f t="shared" ref="F22:F26" si="2">+SUM(C22:E22)</f>
        <v>799533.76948971</v>
      </c>
      <c r="Q22" s="162" t="s">
        <v>96</v>
      </c>
      <c r="AG22" s="162" t="s">
        <v>97</v>
      </c>
      <c r="AH22" s="162" t="s">
        <v>96</v>
      </c>
    </row>
    <row r="23" spans="1:34">
      <c r="A23" s="152">
        <v>17</v>
      </c>
      <c r="B23" s="167" t="s">
        <v>98</v>
      </c>
      <c r="C23" s="173">
        <f>+C22+C21+C20+C19+C17</f>
        <v>961812.666639353</v>
      </c>
      <c r="D23" s="173">
        <f>+D22+D21+D20+D19+D17</f>
        <v>1132688.29104857</v>
      </c>
      <c r="E23" s="173">
        <f>+E22+E21+E20+E19+E17</f>
        <v>934758.448406994</v>
      </c>
      <c r="F23" s="165">
        <f t="shared" si="2"/>
        <v>3029259.40609492</v>
      </c>
      <c r="Q23" s="167" t="s">
        <v>98</v>
      </c>
      <c r="AG23" s="162" t="s">
        <v>99</v>
      </c>
      <c r="AH23" s="167" t="s">
        <v>98</v>
      </c>
    </row>
    <row r="24" spans="1:34">
      <c r="A24" s="152">
        <v>18</v>
      </c>
      <c r="B24" s="174" t="s">
        <v>100</v>
      </c>
      <c r="C24" s="173">
        <f>+C15-C23</f>
        <v>126542.556127617</v>
      </c>
      <c r="D24" s="173">
        <f>+D15-D23</f>
        <v>2785064.75732414</v>
      </c>
      <c r="E24" s="173">
        <f>+E15-E23</f>
        <v>1206993.18972125</v>
      </c>
      <c r="F24" s="165">
        <f t="shared" si="2"/>
        <v>4118600.503173</v>
      </c>
      <c r="H24" s="175"/>
      <c r="Q24" s="162" t="s">
        <v>100</v>
      </c>
      <c r="AG24" s="162" t="s">
        <v>101</v>
      </c>
      <c r="AH24" s="162" t="s">
        <v>100</v>
      </c>
    </row>
    <row r="25" spans="1:34">
      <c r="A25" s="152">
        <v>19</v>
      </c>
      <c r="B25" s="162" t="s">
        <v>169</v>
      </c>
      <c r="C25" s="173">
        <f>IF(C24&lt;0,0,C24*0.25)</f>
        <v>31635.6390319043</v>
      </c>
      <c r="D25" s="173">
        <f>IF(D24&lt;0,0,D24*0.25)</f>
        <v>696266.189331035</v>
      </c>
      <c r="E25" s="173">
        <f>IF(E24&lt;0,0,E24*0.25)</f>
        <v>301748.297430312</v>
      </c>
      <c r="F25" s="165">
        <f t="shared" si="2"/>
        <v>1029650.12579325</v>
      </c>
      <c r="G25" s="2"/>
      <c r="H25" s="2"/>
      <c r="I25" s="2"/>
      <c r="Q25" s="162" t="s">
        <v>38</v>
      </c>
      <c r="AG25" s="162" t="s">
        <v>102</v>
      </c>
      <c r="AH25" s="162" t="s">
        <v>38</v>
      </c>
    </row>
    <row r="26" spans="1:34">
      <c r="A26" s="152">
        <v>20</v>
      </c>
      <c r="B26" s="162" t="s">
        <v>103</v>
      </c>
      <c r="C26" s="173">
        <f>C24-C25</f>
        <v>94906.9170957129</v>
      </c>
      <c r="D26" s="173">
        <f>D24-D25</f>
        <v>2088798.5679931</v>
      </c>
      <c r="E26" s="173">
        <f>E24-E25</f>
        <v>905244.892290935</v>
      </c>
      <c r="F26" s="165">
        <f t="shared" si="2"/>
        <v>3088950.37737975</v>
      </c>
      <c r="G26" s="2"/>
      <c r="H26" s="2"/>
      <c r="I26" s="2"/>
      <c r="Q26" s="162" t="s">
        <v>103</v>
      </c>
      <c r="AG26" s="162" t="s">
        <v>104</v>
      </c>
      <c r="AH26" s="162" t="s">
        <v>103</v>
      </c>
    </row>
    <row r="27" spans="1:34">
      <c r="A27" s="152">
        <v>21</v>
      </c>
      <c r="B27" s="162" t="s">
        <v>107</v>
      </c>
      <c r="C27" s="177">
        <f>C26/C7</f>
        <v>0.00884500625309533</v>
      </c>
      <c r="D27" s="177">
        <f>D26/D7</f>
        <v>0.135724403378369</v>
      </c>
      <c r="E27" s="177">
        <f>E26/E7</f>
        <v>0.0784440981187985</v>
      </c>
      <c r="F27" s="177">
        <f>F26/F7</f>
        <v>0.082022049319696</v>
      </c>
      <c r="G27" s="2"/>
      <c r="H27" s="2"/>
      <c r="I27" s="2"/>
      <c r="Q27" s="162" t="s">
        <v>107</v>
      </c>
      <c r="AG27" s="162" t="s">
        <v>106</v>
      </c>
      <c r="AH27" s="162" t="s">
        <v>107</v>
      </c>
    </row>
    <row r="28" spans="7:17">
      <c r="G28" s="2"/>
      <c r="H28" s="2"/>
      <c r="I28" s="2"/>
      <c r="Q28" s="162"/>
    </row>
    <row r="29" spans="1:33">
      <c r="A29" s="150" t="s">
        <v>108</v>
      </c>
      <c r="F29" s="151" t="s">
        <v>170</v>
      </c>
      <c r="G29" s="2"/>
      <c r="H29" s="2"/>
      <c r="I29" s="2"/>
      <c r="Q29" s="162"/>
      <c r="AG29" s="150" t="s">
        <v>108</v>
      </c>
    </row>
    <row r="30" spans="1:34">
      <c r="A30" s="162" t="s">
        <v>110</v>
      </c>
      <c r="B30" s="167" t="s">
        <v>111</v>
      </c>
      <c r="C30" s="173"/>
      <c r="D30" s="173"/>
      <c r="E30" s="173"/>
      <c r="F30" s="173"/>
      <c r="G30" s="2"/>
      <c r="H30" s="2"/>
      <c r="I30" s="2"/>
      <c r="K30" s="2"/>
      <c r="Q30" s="167" t="s">
        <v>111</v>
      </c>
      <c r="AG30" s="162" t="s">
        <v>112</v>
      </c>
      <c r="AH30" s="167" t="s">
        <v>111</v>
      </c>
    </row>
    <row r="31" spans="1:34">
      <c r="A31" s="152">
        <v>1</v>
      </c>
      <c r="B31" s="170" t="s">
        <v>113</v>
      </c>
      <c r="C31" s="178">
        <f>(C7-C8)/C6</f>
        <v>979.298129</v>
      </c>
      <c r="D31" s="178">
        <f>(D7-D8)/D6</f>
        <v>468.201249</v>
      </c>
      <c r="E31" s="178">
        <f>(E7-E8)/E6</f>
        <v>526.612321</v>
      </c>
      <c r="F31" s="173"/>
      <c r="G31" s="2"/>
      <c r="H31" s="2"/>
      <c r="I31" s="2"/>
      <c r="K31" s="2"/>
      <c r="Q31" s="162" t="s">
        <v>113</v>
      </c>
      <c r="AG31" s="162" t="s">
        <v>64</v>
      </c>
      <c r="AH31" s="162" t="s">
        <v>113</v>
      </c>
    </row>
    <row r="32" spans="1:34">
      <c r="A32" s="152">
        <v>2</v>
      </c>
      <c r="B32" s="162" t="s">
        <v>171</v>
      </c>
      <c r="C32" s="165">
        <f>C31*1</f>
        <v>979.298129</v>
      </c>
      <c r="D32" s="165">
        <f>D31*1</f>
        <v>468.201249</v>
      </c>
      <c r="E32" s="165">
        <f>E31*1</f>
        <v>526.612321</v>
      </c>
      <c r="F32" s="173"/>
      <c r="G32" s="2"/>
      <c r="H32" s="2"/>
      <c r="I32" s="2"/>
      <c r="J32" s="2"/>
      <c r="K32" s="2"/>
      <c r="L32" s="2"/>
      <c r="M32" s="2"/>
      <c r="AG32" s="162"/>
      <c r="AH32" s="162"/>
    </row>
    <row r="33" spans="1:34">
      <c r="A33" s="152">
        <v>3</v>
      </c>
      <c r="B33" s="170" t="s">
        <v>114</v>
      </c>
      <c r="C33" s="165">
        <f>材料成本!D29</f>
        <v>777.747154027544</v>
      </c>
      <c r="D33" s="165">
        <f>材料成本!E29</f>
        <v>301.649732883781</v>
      </c>
      <c r="E33" s="165">
        <f>材料成本!F29</f>
        <v>374.839963663026</v>
      </c>
      <c r="F33" s="173"/>
      <c r="H33" s="2"/>
      <c r="I33" s="2"/>
      <c r="J33" s="2"/>
      <c r="K33" s="2"/>
      <c r="L33" s="2"/>
      <c r="M33" s="2"/>
      <c r="Q33" s="162" t="s">
        <v>114</v>
      </c>
      <c r="AG33" s="162" t="s">
        <v>66</v>
      </c>
      <c r="AH33" s="162" t="s">
        <v>114</v>
      </c>
    </row>
    <row r="34" ht="17.25" customHeight="1" spans="1:34">
      <c r="A34" s="152">
        <v>4</v>
      </c>
      <c r="B34" s="162" t="s">
        <v>116</v>
      </c>
      <c r="C34" s="179">
        <f>C32-C33</f>
        <v>201.550974972456</v>
      </c>
      <c r="D34" s="179">
        <f>D32-D33</f>
        <v>166.551516116219</v>
      </c>
      <c r="E34" s="179">
        <f>E32-E33</f>
        <v>151.772357336974</v>
      </c>
      <c r="F34" s="173"/>
      <c r="H34" s="2"/>
      <c r="I34" s="2"/>
      <c r="J34" s="2"/>
      <c r="K34" s="2"/>
      <c r="L34" s="2"/>
      <c r="M34" s="2"/>
      <c r="Q34" s="162" t="s">
        <v>116</v>
      </c>
      <c r="AG34" s="162" t="s">
        <v>115</v>
      </c>
      <c r="AH34" s="162" t="s">
        <v>116</v>
      </c>
    </row>
    <row r="35" spans="1:34">
      <c r="A35" s="162" t="s">
        <v>112</v>
      </c>
      <c r="B35" s="167" t="s">
        <v>10</v>
      </c>
      <c r="C35" s="173"/>
      <c r="D35" s="173"/>
      <c r="E35" s="173"/>
      <c r="F35" s="173"/>
      <c r="G35" s="2"/>
      <c r="H35" s="2"/>
      <c r="I35" s="2"/>
      <c r="J35" s="2"/>
      <c r="K35" s="2"/>
      <c r="L35" s="2"/>
      <c r="M35" s="2"/>
      <c r="N35" s="2"/>
      <c r="O35" s="2"/>
      <c r="P35" s="2"/>
      <c r="Q35" s="167" t="s">
        <v>10</v>
      </c>
      <c r="AG35" s="162" t="s">
        <v>118</v>
      </c>
      <c r="AH35" s="167" t="s">
        <v>10</v>
      </c>
    </row>
    <row r="36" spans="1:34">
      <c r="A36" s="152">
        <v>1</v>
      </c>
      <c r="B36" s="162" t="s">
        <v>119</v>
      </c>
      <c r="C36" s="171">
        <f>标准成本!E4</f>
        <v>36.7282721616473</v>
      </c>
      <c r="D36" s="171">
        <f>标准成本!E16</f>
        <v>14.2450839318036</v>
      </c>
      <c r="E36" s="171">
        <f>标准成本!E29</f>
        <v>17.7014137964818</v>
      </c>
      <c r="F36" s="178"/>
      <c r="G36" s="2"/>
      <c r="H36" s="2"/>
      <c r="I36" s="2"/>
      <c r="J36" s="2"/>
      <c r="K36" s="2"/>
      <c r="L36" s="2"/>
      <c r="M36" s="2"/>
      <c r="N36" s="2"/>
      <c r="O36" s="2"/>
      <c r="P36" s="2"/>
      <c r="Q36" s="162" t="s">
        <v>119</v>
      </c>
      <c r="AG36" s="162" t="s">
        <v>115</v>
      </c>
      <c r="AH36" s="162" t="s">
        <v>119</v>
      </c>
    </row>
    <row r="37" spans="1:34">
      <c r="A37" s="152">
        <v>2</v>
      </c>
      <c r="B37" s="162" t="s">
        <v>120</v>
      </c>
      <c r="C37" s="171">
        <f>标准成本!E6</f>
        <v>18.4919606939152</v>
      </c>
      <c r="D37" s="171">
        <f>标准成本!E18</f>
        <v>7.17211882413313</v>
      </c>
      <c r="E37" s="171">
        <f>标准成本!E31</f>
        <v>8.91231274672053</v>
      </c>
      <c r="F37" s="178"/>
      <c r="G37" s="2"/>
      <c r="H37" s="2"/>
      <c r="I37" s="2"/>
      <c r="J37" s="2"/>
      <c r="K37" s="2"/>
      <c r="L37" s="2"/>
      <c r="M37" s="2"/>
      <c r="N37" s="2"/>
      <c r="O37" s="2"/>
      <c r="P37" s="2"/>
      <c r="Q37" s="162" t="s">
        <v>120</v>
      </c>
      <c r="AG37" s="162" t="s">
        <v>69</v>
      </c>
      <c r="AH37" s="162" t="s">
        <v>120</v>
      </c>
    </row>
    <row r="38" spans="1:34">
      <c r="A38" s="152">
        <v>3</v>
      </c>
      <c r="B38" s="162" t="s">
        <v>121</v>
      </c>
      <c r="C38" s="171">
        <f>标准成本!E10</f>
        <v>37.4952198401968</v>
      </c>
      <c r="D38" s="171">
        <f>标准成本!E22</f>
        <v>14.5425450811916</v>
      </c>
      <c r="E38" s="171">
        <f>标准成本!E35</f>
        <v>18.0710488873596</v>
      </c>
      <c r="F38" s="178"/>
      <c r="G38" s="2"/>
      <c r="H38" s="2"/>
      <c r="I38" s="2"/>
      <c r="J38" s="2"/>
      <c r="K38" s="2"/>
      <c r="L38" s="2"/>
      <c r="M38" s="2"/>
      <c r="N38" s="2"/>
      <c r="O38" s="2"/>
      <c r="P38" s="2"/>
      <c r="Q38" s="162" t="s">
        <v>121</v>
      </c>
      <c r="AG38" s="162" t="s">
        <v>76</v>
      </c>
      <c r="AH38" s="162" t="s">
        <v>121</v>
      </c>
    </row>
    <row r="39" spans="1:34">
      <c r="A39" s="162" t="s">
        <v>118</v>
      </c>
      <c r="B39" s="167" t="s">
        <v>123</v>
      </c>
      <c r="C39" s="173"/>
      <c r="D39" s="173"/>
      <c r="E39" s="173"/>
      <c r="F39" s="173"/>
      <c r="Q39" s="167" t="s">
        <v>123</v>
      </c>
      <c r="AG39" s="162" t="s">
        <v>122</v>
      </c>
      <c r="AH39" s="167" t="s">
        <v>123</v>
      </c>
    </row>
    <row r="40" spans="1:34">
      <c r="A40" s="152">
        <v>1</v>
      </c>
      <c r="B40" s="162" t="s">
        <v>125</v>
      </c>
      <c r="C40" s="173">
        <f>C34-C36-C37-C38</f>
        <v>108.835522276697</v>
      </c>
      <c r="D40" s="173">
        <f>D34-D36-D37-D38</f>
        <v>130.59176827909</v>
      </c>
      <c r="E40" s="173">
        <f>E34-E36-E37-E38</f>
        <v>107.087581906412</v>
      </c>
      <c r="F40" s="173"/>
      <c r="Q40" s="162" t="s">
        <v>125</v>
      </c>
      <c r="AG40" s="162" t="s">
        <v>64</v>
      </c>
      <c r="AH40" s="162" t="s">
        <v>125</v>
      </c>
    </row>
    <row r="41" spans="1:34">
      <c r="A41" s="152">
        <v>2</v>
      </c>
      <c r="B41" s="162" t="s">
        <v>126</v>
      </c>
      <c r="C41" s="173"/>
      <c r="D41" s="173"/>
      <c r="E41" s="173"/>
      <c r="F41" s="173"/>
      <c r="Q41" s="162" t="s">
        <v>126</v>
      </c>
      <c r="AG41" s="162" t="s">
        <v>66</v>
      </c>
      <c r="AH41" s="162" t="s">
        <v>126</v>
      </c>
    </row>
    <row r="42" spans="1:34">
      <c r="A42" s="162" t="s">
        <v>122</v>
      </c>
      <c r="B42" s="167" t="s">
        <v>128</v>
      </c>
      <c r="C42" s="173"/>
      <c r="D42" s="173"/>
      <c r="E42" s="173"/>
      <c r="F42" s="173"/>
      <c r="Q42" s="167" t="s">
        <v>128</v>
      </c>
      <c r="AG42" s="162" t="s">
        <v>127</v>
      </c>
      <c r="AH42" s="167" t="s">
        <v>128</v>
      </c>
    </row>
    <row r="43" spans="1:34">
      <c r="A43" s="152">
        <v>1</v>
      </c>
      <c r="B43" s="174" t="s">
        <v>129</v>
      </c>
      <c r="C43" s="171">
        <f>标准成本!E5</f>
        <v>34.9387275783652</v>
      </c>
      <c r="D43" s="171">
        <f>标准成本!E17</f>
        <v>13.5510079165649</v>
      </c>
      <c r="E43" s="171">
        <f>标准成本!E30</f>
        <v>16.8389319177669</v>
      </c>
      <c r="F43" s="173"/>
      <c r="Q43" s="162" t="s">
        <v>129</v>
      </c>
      <c r="AG43" s="162" t="s">
        <v>64</v>
      </c>
      <c r="AH43" s="162" t="s">
        <v>129</v>
      </c>
    </row>
    <row r="44" spans="1:34">
      <c r="A44" s="152">
        <v>2</v>
      </c>
      <c r="B44" s="174" t="s">
        <v>130</v>
      </c>
      <c r="C44" s="171">
        <f>标准成本!E9</f>
        <v>5.9651486109404</v>
      </c>
      <c r="D44" s="171">
        <f>标准成本!E21</f>
        <v>2.3135867174623</v>
      </c>
      <c r="E44" s="171">
        <f>标准成本!E34</f>
        <v>2.8749395957163</v>
      </c>
      <c r="F44" s="173"/>
      <c r="Q44" s="162" t="s">
        <v>130</v>
      </c>
      <c r="AG44" s="162" t="s">
        <v>66</v>
      </c>
      <c r="AH44" s="162" t="s">
        <v>130</v>
      </c>
    </row>
    <row r="45" spans="1:34">
      <c r="A45" s="152">
        <v>3</v>
      </c>
      <c r="B45" s="174" t="s">
        <v>131</v>
      </c>
      <c r="C45" s="171">
        <f>标准成本!E8</f>
        <v>28.9735789674248</v>
      </c>
      <c r="D45" s="171">
        <f>标准成本!E20</f>
        <v>11.2374211991026</v>
      </c>
      <c r="E45" s="171">
        <f>标准成本!E33</f>
        <v>13.9639923220506</v>
      </c>
      <c r="F45" s="173"/>
      <c r="Q45" s="162" t="s">
        <v>131</v>
      </c>
      <c r="AG45" s="162" t="s">
        <v>115</v>
      </c>
      <c r="AH45" s="162" t="s">
        <v>131</v>
      </c>
    </row>
    <row r="46" s="149" customFormat="1" spans="1:34">
      <c r="A46" s="152">
        <v>4</v>
      </c>
      <c r="B46" s="174" t="s">
        <v>132</v>
      </c>
      <c r="C46" s="180">
        <f>C21/C6</f>
        <v>0</v>
      </c>
      <c r="D46" s="180">
        <f>D21/D6</f>
        <v>0</v>
      </c>
      <c r="E46" s="180">
        <f>E21/E6</f>
        <v>0</v>
      </c>
      <c r="F46" s="180"/>
      <c r="Q46" s="174" t="s">
        <v>134</v>
      </c>
      <c r="AG46" s="174" t="s">
        <v>72</v>
      </c>
      <c r="AH46" s="174" t="s">
        <v>134</v>
      </c>
    </row>
    <row r="47" s="149" customFormat="1" spans="1:34">
      <c r="A47" s="152">
        <v>5</v>
      </c>
      <c r="B47" s="174" t="s">
        <v>134</v>
      </c>
      <c r="C47" s="180">
        <f>标准成本!E11</f>
        <v>25.564922618316</v>
      </c>
      <c r="D47" s="180">
        <f>标准成本!E23</f>
        <v>9.915371646267</v>
      </c>
      <c r="E47" s="180">
        <f>标准成本!E36</f>
        <v>12.321169695927</v>
      </c>
      <c r="F47" s="180"/>
      <c r="Q47" s="174" t="s">
        <v>134</v>
      </c>
      <c r="AG47" s="174" t="s">
        <v>72</v>
      </c>
      <c r="AH47" s="174" t="s">
        <v>134</v>
      </c>
    </row>
    <row r="48" spans="1:34">
      <c r="A48" s="162" t="s">
        <v>127</v>
      </c>
      <c r="B48" s="167" t="s">
        <v>145</v>
      </c>
      <c r="C48" s="173">
        <f>C40-C43-C44-C45-C47-C46</f>
        <v>13.3931445016506</v>
      </c>
      <c r="D48" s="173">
        <f>D40-D43-D44-D45-D47-D46</f>
        <v>93.5743807996932</v>
      </c>
      <c r="E48" s="173">
        <f>E40-E43-E44-E45-E47-E46</f>
        <v>61.0885483749512</v>
      </c>
      <c r="F48" s="173"/>
      <c r="Q48" s="167" t="s">
        <v>145</v>
      </c>
      <c r="AG48" s="162" t="s">
        <v>144</v>
      </c>
      <c r="AH48" s="167" t="s">
        <v>145</v>
      </c>
    </row>
    <row r="51" spans="3:5">
      <c r="C51" s="181"/>
      <c r="D51" s="181"/>
      <c r="E51" s="181"/>
    </row>
    <row r="54" spans="2:11">
      <c r="B54" s="2"/>
      <c r="C54" s="182"/>
      <c r="D54" s="182"/>
      <c r="E54" s="182"/>
      <c r="F54" s="182"/>
      <c r="G54" s="2"/>
      <c r="H54" s="2"/>
      <c r="I54" s="2"/>
      <c r="J54" s="2"/>
      <c r="K54" s="2"/>
    </row>
    <row r="55" spans="2:11">
      <c r="B55" s="2"/>
      <c r="C55" s="182"/>
      <c r="D55" s="182"/>
      <c r="E55" s="182"/>
      <c r="F55" s="182"/>
      <c r="G55" s="2"/>
      <c r="H55" s="2"/>
      <c r="I55" s="2"/>
      <c r="J55" s="2"/>
      <c r="K55" s="2"/>
    </row>
    <row r="56" spans="2:11">
      <c r="B56" s="2"/>
      <c r="C56" s="182"/>
      <c r="D56" s="182"/>
      <c r="E56" s="182"/>
      <c r="F56" s="182"/>
      <c r="G56" s="2"/>
      <c r="H56" s="2"/>
      <c r="I56" s="2"/>
      <c r="J56" s="2"/>
      <c r="K56" s="2"/>
    </row>
    <row r="57" spans="2:11">
      <c r="B57" s="2"/>
      <c r="C57" s="182"/>
      <c r="D57" s="182"/>
      <c r="E57" s="182"/>
      <c r="F57" s="182"/>
      <c r="G57" s="2"/>
      <c r="H57" s="2"/>
      <c r="I57" s="2"/>
      <c r="J57" s="2"/>
      <c r="K57" s="2"/>
    </row>
    <row r="58" spans="2:11">
      <c r="B58" s="2"/>
      <c r="C58" s="182"/>
      <c r="D58" s="182"/>
      <c r="E58" s="182"/>
      <c r="F58" s="182"/>
      <c r="G58" s="2"/>
      <c r="H58" s="2"/>
      <c r="I58" s="2"/>
      <c r="J58" s="2"/>
      <c r="K58" s="2"/>
    </row>
    <row r="59" spans="2:11">
      <c r="B59" s="2"/>
      <c r="C59" s="182"/>
      <c r="D59" s="182"/>
      <c r="E59" s="182"/>
      <c r="F59" s="182"/>
      <c r="G59" s="2"/>
      <c r="H59" s="2"/>
      <c r="I59" s="2"/>
      <c r="J59" s="2"/>
      <c r="K59" s="2"/>
    </row>
    <row r="60" spans="2:11">
      <c r="B60" s="2"/>
      <c r="C60" s="182"/>
      <c r="D60" s="182"/>
      <c r="E60" s="182"/>
      <c r="F60" s="182"/>
      <c r="G60" s="2"/>
      <c r="H60" s="2"/>
      <c r="I60" s="2"/>
      <c r="J60" s="2"/>
      <c r="K60" s="2"/>
    </row>
    <row r="61" spans="2:11">
      <c r="B61" s="2"/>
      <c r="C61" s="182"/>
      <c r="D61" s="182"/>
      <c r="E61" s="182"/>
      <c r="F61" s="182"/>
      <c r="G61" s="2"/>
      <c r="H61" s="2"/>
      <c r="I61" s="2"/>
      <c r="J61" s="2"/>
      <c r="K61" s="2"/>
    </row>
    <row r="62" spans="2:11">
      <c r="B62" s="2"/>
      <c r="C62" s="182"/>
      <c r="D62" s="182"/>
      <c r="E62" s="182"/>
      <c r="F62" s="182"/>
      <c r="G62" s="2"/>
      <c r="H62" s="2"/>
      <c r="I62" s="2"/>
      <c r="J62" s="2"/>
      <c r="K62" s="2"/>
    </row>
    <row r="63" spans="2:11">
      <c r="B63" s="2"/>
      <c r="C63" s="182"/>
      <c r="D63" s="182"/>
      <c r="E63" s="182"/>
      <c r="F63" s="182"/>
      <c r="G63" s="2"/>
      <c r="H63" s="2"/>
      <c r="I63" s="2"/>
      <c r="J63" s="2"/>
      <c r="K63" s="2"/>
    </row>
    <row r="64" spans="2:11">
      <c r="B64" s="2"/>
      <c r="C64" s="182"/>
      <c r="D64" s="182"/>
      <c r="E64" s="182"/>
      <c r="F64" s="182"/>
      <c r="G64" s="2"/>
      <c r="H64" s="2"/>
      <c r="I64" s="2"/>
      <c r="J64" s="2"/>
      <c r="K64" s="2"/>
    </row>
    <row r="65" spans="2:11">
      <c r="B65" s="2"/>
      <c r="C65" s="182"/>
      <c r="D65" s="182"/>
      <c r="E65" s="182"/>
      <c r="F65" s="182"/>
      <c r="G65" s="2"/>
      <c r="H65" s="2"/>
      <c r="I65" s="2"/>
      <c r="J65" s="2"/>
      <c r="K65" s="2"/>
    </row>
    <row r="66" spans="2:11">
      <c r="B66" s="2"/>
      <c r="C66" s="182"/>
      <c r="D66" s="182"/>
      <c r="E66" s="182"/>
      <c r="F66" s="182"/>
      <c r="G66" s="2"/>
      <c r="H66" s="2"/>
      <c r="I66" s="2"/>
      <c r="J66" s="2"/>
      <c r="K66" s="2"/>
    </row>
    <row r="67" spans="2:7">
      <c r="B67" s="2"/>
      <c r="C67" s="182"/>
      <c r="D67" s="182"/>
      <c r="E67" s="182"/>
      <c r="F67" s="182"/>
      <c r="G67" s="2"/>
    </row>
    <row r="68" spans="2:7">
      <c r="B68" s="2"/>
      <c r="C68" s="182"/>
      <c r="D68" s="182"/>
      <c r="E68" s="182"/>
      <c r="F68" s="182"/>
      <c r="G68" s="2"/>
    </row>
    <row r="69" spans="2:7">
      <c r="B69" s="2"/>
      <c r="C69" s="182"/>
      <c r="D69" s="182"/>
      <c r="E69" s="182"/>
      <c r="F69" s="182"/>
      <c r="G69" s="2"/>
    </row>
    <row r="70" spans="2:7">
      <c r="B70" s="2"/>
      <c r="C70" s="182"/>
      <c r="D70" s="182"/>
      <c r="E70" s="182"/>
      <c r="F70" s="182"/>
      <c r="G70" s="2"/>
    </row>
    <row r="71" spans="2:7">
      <c r="B71" s="2"/>
      <c r="C71" s="182"/>
      <c r="D71" s="182"/>
      <c r="E71" s="182"/>
      <c r="F71" s="182"/>
      <c r="G71" s="2"/>
    </row>
    <row r="72" spans="2:7">
      <c r="B72" s="2"/>
      <c r="C72" s="182"/>
      <c r="D72" s="182"/>
      <c r="E72" s="182"/>
      <c r="F72" s="182"/>
      <c r="G72" s="2"/>
    </row>
    <row r="73" spans="2:7">
      <c r="B73" s="2"/>
      <c r="C73" s="182"/>
      <c r="D73" s="182"/>
      <c r="E73" s="182"/>
      <c r="F73" s="182"/>
      <c r="G73" s="2"/>
    </row>
    <row r="74" spans="2:7">
      <c r="B74" s="2"/>
      <c r="C74" s="182"/>
      <c r="D74" s="182"/>
      <c r="E74" s="182"/>
      <c r="F74" s="182"/>
      <c r="G74" s="2"/>
    </row>
  </sheetData>
  <mergeCells count="8">
    <mergeCell ref="A1:B1"/>
    <mergeCell ref="C1:F1"/>
    <mergeCell ref="A2:B2"/>
    <mergeCell ref="C2:F2"/>
    <mergeCell ref="A3:B3"/>
    <mergeCell ref="A4:B4"/>
    <mergeCell ref="A5:B5"/>
    <mergeCell ref="F3:F5"/>
  </mergeCells>
  <printOptions horizontalCentered="1"/>
  <pageMargins left="0.393700787401575" right="0.31496062992126" top="0.354330708661417" bottom="0.15748031496063" header="0.31496062992126" footer="0.31496062992126"/>
  <pageSetup paperSize="9" orientation="landscape"/>
  <headerFooter/>
  <rowBreaks count="1" manualBreakCount="1">
    <brk id="28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4"/>
  <sheetViews>
    <sheetView zoomScale="85" zoomScaleNormal="85" workbookViewId="0">
      <pane xSplit="2" ySplit="7" topLeftCell="C8" activePane="bottomRight" state="frozen"/>
      <selection/>
      <selection pane="topRight"/>
      <selection pane="bottomLeft"/>
      <selection pane="bottomRight" activeCell="F18" sqref="F18"/>
    </sheetView>
  </sheetViews>
  <sheetFormatPr defaultColWidth="9" defaultRowHeight="14.5"/>
  <cols>
    <col min="1" max="1" width="5.12727272727273" style="150" customWidth="1"/>
    <col min="2" max="2" width="17.5" style="150" customWidth="1"/>
    <col min="3" max="5" width="15.5454545454545" style="151" customWidth="1"/>
    <col min="6" max="6" width="16.8181818181818" style="151" customWidth="1"/>
    <col min="7" max="7" width="12.3727272727273" style="150" customWidth="1"/>
    <col min="8" max="8" width="10.1272727272727" style="150" customWidth="1"/>
    <col min="9" max="15" width="9" style="150" customWidth="1"/>
    <col min="16" max="16" width="9" style="150"/>
    <col min="17" max="17" width="9" style="150" hidden="1" customWidth="1"/>
    <col min="18" max="32" width="9" style="150"/>
    <col min="33" max="33" width="4.37272727272727" style="150" customWidth="1"/>
    <col min="34" max="34" width="13.8727272727273" style="150" customWidth="1"/>
    <col min="35" max="16384" width="9" style="150"/>
  </cols>
  <sheetData>
    <row r="1" spans="1:6">
      <c r="A1" s="152" t="s">
        <v>155</v>
      </c>
      <c r="B1" s="152"/>
      <c r="C1" s="153" t="s">
        <v>175</v>
      </c>
      <c r="D1" s="154"/>
      <c r="E1" s="154"/>
      <c r="F1" s="155"/>
    </row>
    <row r="2" spans="1:6">
      <c r="A2" s="152" t="s">
        <v>157</v>
      </c>
      <c r="B2" s="152"/>
      <c r="C2" s="156" t="s">
        <v>158</v>
      </c>
      <c r="D2" s="156"/>
      <c r="E2" s="156"/>
      <c r="F2" s="156"/>
    </row>
    <row r="3" spans="1:6">
      <c r="A3" s="152" t="s">
        <v>159</v>
      </c>
      <c r="B3" s="152"/>
      <c r="C3" s="157" t="s">
        <v>160</v>
      </c>
      <c r="D3" s="157" t="s">
        <v>161</v>
      </c>
      <c r="E3" s="157" t="s">
        <v>162</v>
      </c>
      <c r="F3" s="158" t="s">
        <v>60</v>
      </c>
    </row>
    <row r="4" spans="1:6">
      <c r="A4" s="152" t="s">
        <v>163</v>
      </c>
      <c r="B4" s="152"/>
      <c r="C4" s="79"/>
      <c r="D4" s="79"/>
      <c r="E4" s="79"/>
      <c r="F4" s="159"/>
    </row>
    <row r="5" ht="33" spans="1:35">
      <c r="A5" s="152" t="s">
        <v>164</v>
      </c>
      <c r="B5" s="152"/>
      <c r="C5" s="160" t="s">
        <v>165</v>
      </c>
      <c r="D5" s="160" t="s">
        <v>166</v>
      </c>
      <c r="E5" s="160" t="s">
        <v>167</v>
      </c>
      <c r="F5" s="161"/>
      <c r="AI5" s="150" t="s">
        <v>61</v>
      </c>
    </row>
    <row r="6" ht="16.5" spans="1:35">
      <c r="A6" s="162" t="s">
        <v>21</v>
      </c>
      <c r="B6" s="163" t="s">
        <v>168</v>
      </c>
      <c r="C6" s="164">
        <f>销量!C13</f>
        <v>10000</v>
      </c>
      <c r="D6" s="164">
        <f>销量!D13</f>
        <v>30000</v>
      </c>
      <c r="E6" s="164">
        <f>销量!E13</f>
        <v>20000</v>
      </c>
      <c r="F6" s="165">
        <f t="shared" ref="F6:F15" si="0">+SUM(C6:E6)</f>
        <v>60000</v>
      </c>
      <c r="Q6" s="163" t="s">
        <v>3</v>
      </c>
      <c r="AG6" s="162" t="s">
        <v>21</v>
      </c>
      <c r="AH6" s="163" t="s">
        <v>3</v>
      </c>
      <c r="AI6" s="150" t="s">
        <v>62</v>
      </c>
    </row>
    <row r="7" spans="1:35">
      <c r="A7" s="152">
        <v>1</v>
      </c>
      <c r="B7" s="163" t="s">
        <v>63</v>
      </c>
      <c r="C7" s="165">
        <f>C6*销量!C8</f>
        <v>10730000</v>
      </c>
      <c r="D7" s="165">
        <f>D6*销量!D8</f>
        <v>15390000</v>
      </c>
      <c r="E7" s="165">
        <f>E6*销量!E8</f>
        <v>11540000</v>
      </c>
      <c r="F7" s="165">
        <f t="shared" si="0"/>
        <v>37660000</v>
      </c>
      <c r="G7" s="151"/>
      <c r="Q7" s="163" t="s">
        <v>63</v>
      </c>
      <c r="AG7" s="162" t="s">
        <v>64</v>
      </c>
      <c r="AH7" s="163" t="s">
        <v>63</v>
      </c>
      <c r="AI7" s="150" t="s">
        <v>62</v>
      </c>
    </row>
    <row r="8" spans="1:35">
      <c r="A8" s="152">
        <v>2</v>
      </c>
      <c r="B8" s="152" t="s">
        <v>65</v>
      </c>
      <c r="C8" s="165">
        <f>C7*(1-销量!$P$10)</f>
        <v>1230808.1487</v>
      </c>
      <c r="D8" s="165">
        <f>D7*(1-销量!$P$10)</f>
        <v>1765343.6541</v>
      </c>
      <c r="E8" s="165">
        <f>E7*(1-销量!$P$10)</f>
        <v>1323720.9726</v>
      </c>
      <c r="F8" s="165">
        <f t="shared" si="0"/>
        <v>4319872.7754</v>
      </c>
      <c r="G8" s="166"/>
      <c r="Q8" s="152" t="s">
        <v>67</v>
      </c>
      <c r="AG8" s="162" t="s">
        <v>66</v>
      </c>
      <c r="AH8" s="152" t="s">
        <v>67</v>
      </c>
      <c r="AI8" s="150" t="s">
        <v>62</v>
      </c>
    </row>
    <row r="9" spans="1:35">
      <c r="A9" s="152">
        <v>3</v>
      </c>
      <c r="B9" s="163" t="s">
        <v>68</v>
      </c>
      <c r="C9" s="165">
        <f>+C7-C8</f>
        <v>9499191.8513</v>
      </c>
      <c r="D9" s="165">
        <f>+D7-D8</f>
        <v>13624656.3459</v>
      </c>
      <c r="E9" s="165">
        <f>+E7-E8</f>
        <v>10216279.0274</v>
      </c>
      <c r="F9" s="165">
        <f t="shared" si="0"/>
        <v>33340127.2246</v>
      </c>
      <c r="Q9" s="163" t="s">
        <v>68</v>
      </c>
      <c r="AG9" s="162" t="s">
        <v>69</v>
      </c>
      <c r="AH9" s="163" t="s">
        <v>68</v>
      </c>
      <c r="AI9" s="150" t="s">
        <v>70</v>
      </c>
    </row>
    <row r="10" spans="1:35">
      <c r="A10" s="152">
        <v>4</v>
      </c>
      <c r="B10" s="162" t="s">
        <v>73</v>
      </c>
      <c r="C10" s="165">
        <f>C6*C33</f>
        <v>7544147.39406718</v>
      </c>
      <c r="D10" s="165">
        <f>D6*D33</f>
        <v>8778007.22691804</v>
      </c>
      <c r="E10" s="165">
        <f>E6*E33</f>
        <v>7271895.29506271</v>
      </c>
      <c r="F10" s="165">
        <f t="shared" si="0"/>
        <v>23594049.9160479</v>
      </c>
      <c r="Q10" s="162" t="s">
        <v>73</v>
      </c>
      <c r="AG10" s="162" t="s">
        <v>72</v>
      </c>
      <c r="AH10" s="162" t="s">
        <v>73</v>
      </c>
      <c r="AI10" s="150" t="s">
        <v>74</v>
      </c>
    </row>
    <row r="11" spans="1:34">
      <c r="A11" s="152">
        <v>5</v>
      </c>
      <c r="B11" s="162" t="s">
        <v>75</v>
      </c>
      <c r="C11" s="165">
        <f>+C6*C36</f>
        <v>367282.721616473</v>
      </c>
      <c r="D11" s="165">
        <f>+D6*D36</f>
        <v>427352.517954108</v>
      </c>
      <c r="E11" s="165">
        <f>+E6*E36</f>
        <v>354028.275929636</v>
      </c>
      <c r="F11" s="165">
        <f t="shared" si="0"/>
        <v>1148663.51550022</v>
      </c>
      <c r="Q11" s="162" t="s">
        <v>75</v>
      </c>
      <c r="AG11" s="162" t="s">
        <v>76</v>
      </c>
      <c r="AH11" s="162" t="s">
        <v>75</v>
      </c>
    </row>
    <row r="12" spans="1:34">
      <c r="A12" s="152">
        <v>6</v>
      </c>
      <c r="B12" s="162" t="s">
        <v>77</v>
      </c>
      <c r="C12" s="165">
        <f>+C6*C37</f>
        <v>184919.606939152</v>
      </c>
      <c r="D12" s="165">
        <f>+D6*D37</f>
        <v>215163.564723994</v>
      </c>
      <c r="E12" s="165">
        <f>+E6*E37</f>
        <v>178246.254934411</v>
      </c>
      <c r="F12" s="165">
        <f t="shared" si="0"/>
        <v>578329.426597557</v>
      </c>
      <c r="Q12" s="162" t="s">
        <v>77</v>
      </c>
      <c r="AG12" s="162" t="s">
        <v>78</v>
      </c>
      <c r="AH12" s="162" t="s">
        <v>77</v>
      </c>
    </row>
    <row r="13" spans="1:35">
      <c r="A13" s="152">
        <v>7</v>
      </c>
      <c r="B13" s="162" t="s">
        <v>79</v>
      </c>
      <c r="C13" s="165">
        <f>+C6*C38</f>
        <v>374952.198401968</v>
      </c>
      <c r="D13" s="165">
        <f>+D6*D38</f>
        <v>436276.352435748</v>
      </c>
      <c r="E13" s="165">
        <f>+E6*E38</f>
        <v>361420.977747192</v>
      </c>
      <c r="F13" s="165">
        <f t="shared" si="0"/>
        <v>1172649.52858491</v>
      </c>
      <c r="Q13" s="162" t="s">
        <v>79</v>
      </c>
      <c r="AG13" s="162" t="s">
        <v>80</v>
      </c>
      <c r="AH13" s="162" t="s">
        <v>79</v>
      </c>
      <c r="AI13" s="150" t="s">
        <v>62</v>
      </c>
    </row>
    <row r="14" spans="1:34">
      <c r="A14" s="152">
        <v>8</v>
      </c>
      <c r="B14" s="167" t="s">
        <v>81</v>
      </c>
      <c r="C14" s="165">
        <f>SUM(C11:C13)</f>
        <v>927154.526957593</v>
      </c>
      <c r="D14" s="165">
        <f>SUM(D11:D13)</f>
        <v>1078792.43511385</v>
      </c>
      <c r="E14" s="165">
        <f>SUM(E11:E13)</f>
        <v>893695.508611238</v>
      </c>
      <c r="F14" s="165">
        <f t="shared" si="0"/>
        <v>2899642.47068268</v>
      </c>
      <c r="Q14" s="167" t="s">
        <v>81</v>
      </c>
      <c r="AG14" s="162" t="s">
        <v>82</v>
      </c>
      <c r="AH14" s="167" t="s">
        <v>81</v>
      </c>
    </row>
    <row r="15" spans="1:34">
      <c r="A15" s="152">
        <v>9</v>
      </c>
      <c r="B15" s="167" t="s">
        <v>83</v>
      </c>
      <c r="C15" s="165">
        <f>+C9-C10-C14</f>
        <v>1027889.93027523</v>
      </c>
      <c r="D15" s="165">
        <f>+D9-D10-D14</f>
        <v>3767856.68386811</v>
      </c>
      <c r="E15" s="165">
        <f>+E9-E10-E14</f>
        <v>2050688.22372605</v>
      </c>
      <c r="F15" s="165">
        <f t="shared" si="0"/>
        <v>6846434.8378694</v>
      </c>
      <c r="Q15" s="167" t="s">
        <v>83</v>
      </c>
      <c r="AG15" s="162" t="s">
        <v>84</v>
      </c>
      <c r="AH15" s="167" t="s">
        <v>83</v>
      </c>
    </row>
    <row r="16" spans="1:34">
      <c r="A16" s="152">
        <v>10</v>
      </c>
      <c r="B16" s="162" t="s">
        <v>85</v>
      </c>
      <c r="C16" s="168">
        <f t="shared" ref="C16:F16" si="1">+C15/C9</f>
        <v>0.108208145110214</v>
      </c>
      <c r="D16" s="168">
        <f t="shared" si="1"/>
        <v>0.276546915255001</v>
      </c>
      <c r="E16" s="168">
        <f t="shared" si="1"/>
        <v>0.20072750736605</v>
      </c>
      <c r="F16" s="168">
        <f t="shared" si="1"/>
        <v>0.205351191126162</v>
      </c>
      <c r="G16" s="169"/>
      <c r="H16" s="169"/>
      <c r="I16" s="169"/>
      <c r="Q16" s="162" t="s">
        <v>85</v>
      </c>
      <c r="AG16" s="162" t="s">
        <v>86</v>
      </c>
      <c r="AH16" s="162" t="s">
        <v>85</v>
      </c>
    </row>
    <row r="17" spans="1:34">
      <c r="A17" s="152">
        <v>11</v>
      </c>
      <c r="B17" s="162" t="s">
        <v>87</v>
      </c>
      <c r="C17" s="165">
        <f>C6*C43+C18</f>
        <v>356776.164672541</v>
      </c>
      <c r="D17" s="165">
        <f>D6*D43+D18</f>
        <v>428696.904163614</v>
      </c>
      <c r="E17" s="165">
        <f>E6*E43+E18</f>
        <v>351556.416133116</v>
      </c>
      <c r="F17" s="165">
        <f t="shared" ref="F17:F20" si="2">+SUM(C17:E17)</f>
        <v>1137029.48496927</v>
      </c>
      <c r="G17" s="166"/>
      <c r="Q17" s="162" t="s">
        <v>87</v>
      </c>
      <c r="AG17" s="162" t="s">
        <v>88</v>
      </c>
      <c r="AH17" s="162" t="s">
        <v>87</v>
      </c>
    </row>
    <row r="18" s="148" customFormat="1" spans="1:9">
      <c r="A18" s="152">
        <v>12</v>
      </c>
      <c r="B18" s="170" t="s">
        <v>89</v>
      </c>
      <c r="C18" s="171">
        <f>$F$18/$F$6*C6</f>
        <v>7388.88888888889</v>
      </c>
      <c r="D18" s="171">
        <f>$F$18/$F$6*D6</f>
        <v>22166.6666666667</v>
      </c>
      <c r="E18" s="171">
        <f>$F$18/$F$6*E6</f>
        <v>14777.7777777778</v>
      </c>
      <c r="F18" s="165">
        <f>项目投资!H26</f>
        <v>44333.3333333333</v>
      </c>
      <c r="G18" s="172" t="s">
        <v>90</v>
      </c>
      <c r="H18" s="172"/>
      <c r="I18" s="172"/>
    </row>
    <row r="19" spans="1:35">
      <c r="A19" s="152">
        <v>13</v>
      </c>
      <c r="B19" s="162" t="s">
        <v>91</v>
      </c>
      <c r="C19" s="165">
        <f>C6*C44</f>
        <v>59651.486109404</v>
      </c>
      <c r="D19" s="165">
        <f>D6*D44</f>
        <v>69407.601523869</v>
      </c>
      <c r="E19" s="165">
        <f>E6*E44</f>
        <v>57498.791914326</v>
      </c>
      <c r="F19" s="165">
        <f t="shared" si="2"/>
        <v>186557.879547599</v>
      </c>
      <c r="G19" s="148"/>
      <c r="Q19" s="162" t="s">
        <v>91</v>
      </c>
      <c r="AG19" s="162" t="s">
        <v>92</v>
      </c>
      <c r="AH19" s="162" t="s">
        <v>91</v>
      </c>
      <c r="AI19" s="150" t="s">
        <v>62</v>
      </c>
    </row>
    <row r="20" spans="1:34">
      <c r="A20" s="152">
        <v>14</v>
      </c>
      <c r="B20" s="162" t="s">
        <v>93</v>
      </c>
      <c r="C20" s="165">
        <f>C6*C45</f>
        <v>289735.789674248</v>
      </c>
      <c r="D20" s="165">
        <f>D6*D45</f>
        <v>337122.635973078</v>
      </c>
      <c r="E20" s="165">
        <f>E6*E45</f>
        <v>279279.846441012</v>
      </c>
      <c r="F20" s="165">
        <f t="shared" si="2"/>
        <v>906138.272088338</v>
      </c>
      <c r="Q20" s="162" t="s">
        <v>93</v>
      </c>
      <c r="AG20" s="162" t="s">
        <v>94</v>
      </c>
      <c r="AH20" s="162" t="s">
        <v>93</v>
      </c>
    </row>
    <row r="21" spans="1:34">
      <c r="A21" s="152">
        <v>15</v>
      </c>
      <c r="B21" s="162" t="s">
        <v>95</v>
      </c>
      <c r="C21" s="173">
        <f>$F$21/$F$6*C6</f>
        <v>0</v>
      </c>
      <c r="D21" s="173">
        <f>$F$21/$F$6*D6</f>
        <v>0</v>
      </c>
      <c r="E21" s="173">
        <f>$F$21/$F$6*E6</f>
        <v>0</v>
      </c>
      <c r="F21" s="165">
        <f>项目投资!F27</f>
        <v>0</v>
      </c>
      <c r="Q21" s="162" t="s">
        <v>95</v>
      </c>
      <c r="AG21" s="162"/>
      <c r="AH21" s="162"/>
    </row>
    <row r="22" spans="1:34">
      <c r="A22" s="152">
        <v>16</v>
      </c>
      <c r="B22" s="162" t="s">
        <v>96</v>
      </c>
      <c r="C22" s="165">
        <f>C6*C47</f>
        <v>255649.22618316</v>
      </c>
      <c r="D22" s="165">
        <f>D6*D47</f>
        <v>297461.14938801</v>
      </c>
      <c r="E22" s="165">
        <f>E6*E47</f>
        <v>246423.39391854</v>
      </c>
      <c r="F22" s="165">
        <f t="shared" ref="F22:F26" si="3">+SUM(C22:E22)</f>
        <v>799533.76948971</v>
      </c>
      <c r="Q22" s="162" t="s">
        <v>96</v>
      </c>
      <c r="AG22" s="162" t="s">
        <v>97</v>
      </c>
      <c r="AH22" s="162" t="s">
        <v>96</v>
      </c>
    </row>
    <row r="23" spans="1:34">
      <c r="A23" s="152">
        <v>17</v>
      </c>
      <c r="B23" s="167" t="s">
        <v>98</v>
      </c>
      <c r="C23" s="173">
        <f t="shared" ref="C23:F23" si="4">+C22+C21+C20+C19+C17</f>
        <v>961812.666639353</v>
      </c>
      <c r="D23" s="173">
        <f t="shared" si="4"/>
        <v>1132688.29104857</v>
      </c>
      <c r="E23" s="173">
        <f t="shared" si="4"/>
        <v>934758.448406994</v>
      </c>
      <c r="F23" s="165">
        <f t="shared" si="3"/>
        <v>3029259.40609492</v>
      </c>
      <c r="Q23" s="167" t="s">
        <v>98</v>
      </c>
      <c r="AG23" s="162" t="s">
        <v>99</v>
      </c>
      <c r="AH23" s="167" t="s">
        <v>98</v>
      </c>
    </row>
    <row r="24" spans="1:34">
      <c r="A24" s="152">
        <v>18</v>
      </c>
      <c r="B24" s="174" t="s">
        <v>100</v>
      </c>
      <c r="C24" s="173">
        <f t="shared" ref="C24:F24" si="5">+C15-C23</f>
        <v>66077.2636358771</v>
      </c>
      <c r="D24" s="173">
        <f t="shared" si="5"/>
        <v>2635168.39281954</v>
      </c>
      <c r="E24" s="173">
        <f t="shared" si="5"/>
        <v>1115929.77531906</v>
      </c>
      <c r="F24" s="165">
        <f t="shared" si="3"/>
        <v>3817175.43177447</v>
      </c>
      <c r="H24" s="175"/>
      <c r="Q24" s="162" t="s">
        <v>100</v>
      </c>
      <c r="AG24" s="162" t="s">
        <v>101</v>
      </c>
      <c r="AH24" s="162" t="s">
        <v>100</v>
      </c>
    </row>
    <row r="25" spans="1:34">
      <c r="A25" s="152">
        <v>19</v>
      </c>
      <c r="B25" s="162" t="s">
        <v>169</v>
      </c>
      <c r="C25" s="173">
        <f t="shared" ref="C25:F25" si="6">IF(C24&lt;0,0,C24*0.25)</f>
        <v>16519.3159089693</v>
      </c>
      <c r="D25" s="173">
        <f t="shared" si="6"/>
        <v>658792.098204885</v>
      </c>
      <c r="E25" s="173">
        <f t="shared" si="6"/>
        <v>278982.443829764</v>
      </c>
      <c r="F25" s="165">
        <f t="shared" si="3"/>
        <v>954293.857943618</v>
      </c>
      <c r="G25" s="2"/>
      <c r="H25" s="2"/>
      <c r="I25" s="2"/>
      <c r="Q25" s="162" t="s">
        <v>38</v>
      </c>
      <c r="AG25" s="162" t="s">
        <v>102</v>
      </c>
      <c r="AH25" s="162" t="s">
        <v>38</v>
      </c>
    </row>
    <row r="26" spans="1:34">
      <c r="A26" s="152">
        <v>20</v>
      </c>
      <c r="B26" s="162" t="s">
        <v>103</v>
      </c>
      <c r="C26" s="173">
        <f>C24-C25</f>
        <v>49557.9477269078</v>
      </c>
      <c r="D26" s="173">
        <f>D24-D25</f>
        <v>1976376.29461465</v>
      </c>
      <c r="E26" s="173">
        <f>E24-E25</f>
        <v>836947.331489292</v>
      </c>
      <c r="F26" s="165">
        <f t="shared" si="3"/>
        <v>2862881.57383085</v>
      </c>
      <c r="G26" s="2"/>
      <c r="H26" s="2"/>
      <c r="I26" s="2"/>
      <c r="Q26" s="162" t="s">
        <v>103</v>
      </c>
      <c r="AG26" s="162" t="s">
        <v>104</v>
      </c>
      <c r="AH26" s="162" t="s">
        <v>103</v>
      </c>
    </row>
    <row r="27" spans="1:34">
      <c r="A27" s="152">
        <v>21</v>
      </c>
      <c r="B27" s="162" t="s">
        <v>107</v>
      </c>
      <c r="C27" s="177">
        <f t="shared" ref="C27:F27" si="7">C26/C7</f>
        <v>0.00461863445730734</v>
      </c>
      <c r="D27" s="177">
        <f t="shared" si="7"/>
        <v>0.12841951232064</v>
      </c>
      <c r="E27" s="177">
        <f t="shared" si="7"/>
        <v>0.0725257652936995</v>
      </c>
      <c r="F27" s="177">
        <f t="shared" si="7"/>
        <v>0.076019160218557</v>
      </c>
      <c r="G27" s="2"/>
      <c r="H27" s="2"/>
      <c r="I27" s="2"/>
      <c r="Q27" s="162" t="s">
        <v>107</v>
      </c>
      <c r="AG27" s="162" t="s">
        <v>106</v>
      </c>
      <c r="AH27" s="162" t="s">
        <v>107</v>
      </c>
    </row>
    <row r="28" spans="7:17">
      <c r="G28" s="2"/>
      <c r="H28" s="2"/>
      <c r="I28" s="2"/>
      <c r="Q28" s="162"/>
    </row>
    <row r="29" spans="1:33">
      <c r="A29" s="150" t="s">
        <v>108</v>
      </c>
      <c r="F29" s="151" t="s">
        <v>170</v>
      </c>
      <c r="G29" s="2"/>
      <c r="H29" s="2"/>
      <c r="I29" s="2"/>
      <c r="Q29" s="162"/>
      <c r="AG29" s="150" t="s">
        <v>108</v>
      </c>
    </row>
    <row r="30" spans="1:34">
      <c r="A30" s="162" t="s">
        <v>110</v>
      </c>
      <c r="B30" s="167" t="s">
        <v>111</v>
      </c>
      <c r="C30" s="173"/>
      <c r="D30" s="173"/>
      <c r="E30" s="173"/>
      <c r="F30" s="173"/>
      <c r="G30" s="2"/>
      <c r="H30" s="2"/>
      <c r="I30" s="2"/>
      <c r="K30" s="2"/>
      <c r="Q30" s="167" t="s">
        <v>111</v>
      </c>
      <c r="AG30" s="162" t="s">
        <v>112</v>
      </c>
      <c r="AH30" s="167" t="s">
        <v>111</v>
      </c>
    </row>
    <row r="31" spans="1:34">
      <c r="A31" s="152">
        <v>1</v>
      </c>
      <c r="B31" s="170" t="s">
        <v>113</v>
      </c>
      <c r="C31" s="178">
        <f>(C7-C8)/C6</f>
        <v>949.91918513</v>
      </c>
      <c r="D31" s="178">
        <f>(D7-D8)/D6</f>
        <v>454.15521153</v>
      </c>
      <c r="E31" s="178">
        <f>(E7-E8)/E6</f>
        <v>510.81395137</v>
      </c>
      <c r="F31" s="173"/>
      <c r="G31" s="2"/>
      <c r="H31" s="2"/>
      <c r="I31" s="2"/>
      <c r="K31" s="2"/>
      <c r="Q31" s="162" t="s">
        <v>113</v>
      </c>
      <c r="AG31" s="162" t="s">
        <v>64</v>
      </c>
      <c r="AH31" s="162" t="s">
        <v>113</v>
      </c>
    </row>
    <row r="32" spans="1:34">
      <c r="A32" s="152">
        <v>2</v>
      </c>
      <c r="B32" s="162" t="s">
        <v>171</v>
      </c>
      <c r="C32" s="165">
        <f>C31*1</f>
        <v>949.91918513</v>
      </c>
      <c r="D32" s="165">
        <f>D31*1</f>
        <v>454.15521153</v>
      </c>
      <c r="E32" s="165">
        <f>E31*1</f>
        <v>510.81395137</v>
      </c>
      <c r="F32" s="173"/>
      <c r="G32" s="2"/>
      <c r="H32" s="2"/>
      <c r="I32" s="2"/>
      <c r="J32" s="2"/>
      <c r="K32" s="2"/>
      <c r="L32" s="2"/>
      <c r="M32" s="2"/>
      <c r="AG32" s="162"/>
      <c r="AH32" s="162"/>
    </row>
    <row r="33" spans="1:34">
      <c r="A33" s="152">
        <v>3</v>
      </c>
      <c r="B33" s="170" t="s">
        <v>114</v>
      </c>
      <c r="C33" s="165">
        <f>材料成本!D30</f>
        <v>754.414739406718</v>
      </c>
      <c r="D33" s="165">
        <f>材料成本!E30</f>
        <v>292.600240897268</v>
      </c>
      <c r="E33" s="165">
        <f>材料成本!F30</f>
        <v>363.594764753135</v>
      </c>
      <c r="F33" s="173"/>
      <c r="H33" s="2"/>
      <c r="I33" s="2"/>
      <c r="J33" s="2"/>
      <c r="K33" s="2"/>
      <c r="L33" s="2"/>
      <c r="M33" s="2"/>
      <c r="Q33" s="162" t="s">
        <v>114</v>
      </c>
      <c r="AG33" s="162" t="s">
        <v>66</v>
      </c>
      <c r="AH33" s="162" t="s">
        <v>114</v>
      </c>
    </row>
    <row r="34" ht="17.25" customHeight="1" spans="1:34">
      <c r="A34" s="152">
        <v>4</v>
      </c>
      <c r="B34" s="162" t="s">
        <v>116</v>
      </c>
      <c r="C34" s="179">
        <f>C32-C33</f>
        <v>195.504445723282</v>
      </c>
      <c r="D34" s="179">
        <f>D32-D33</f>
        <v>161.554970632732</v>
      </c>
      <c r="E34" s="179">
        <f>E32-E33</f>
        <v>147.219186616865</v>
      </c>
      <c r="F34" s="173"/>
      <c r="H34" s="2"/>
      <c r="I34" s="2"/>
      <c r="J34" s="2"/>
      <c r="K34" s="2"/>
      <c r="L34" s="2"/>
      <c r="M34" s="2"/>
      <c r="Q34" s="162" t="s">
        <v>116</v>
      </c>
      <c r="AG34" s="162" t="s">
        <v>115</v>
      </c>
      <c r="AH34" s="162" t="s">
        <v>116</v>
      </c>
    </row>
    <row r="35" spans="1:34">
      <c r="A35" s="162" t="s">
        <v>112</v>
      </c>
      <c r="B35" s="167" t="s">
        <v>10</v>
      </c>
      <c r="C35" s="173"/>
      <c r="D35" s="173"/>
      <c r="E35" s="173"/>
      <c r="F35" s="173"/>
      <c r="G35" s="2"/>
      <c r="H35" s="2"/>
      <c r="I35" s="2"/>
      <c r="J35" s="2"/>
      <c r="K35" s="2"/>
      <c r="L35" s="2"/>
      <c r="M35" s="2"/>
      <c r="N35" s="2"/>
      <c r="O35" s="2"/>
      <c r="P35" s="2"/>
      <c r="Q35" s="167" t="s">
        <v>10</v>
      </c>
      <c r="AG35" s="162" t="s">
        <v>118</v>
      </c>
      <c r="AH35" s="167" t="s">
        <v>10</v>
      </c>
    </row>
    <row r="36" spans="1:34">
      <c r="A36" s="152">
        <v>1</v>
      </c>
      <c r="B36" s="162" t="s">
        <v>119</v>
      </c>
      <c r="C36" s="171">
        <f>标准成本!E4</f>
        <v>36.7282721616473</v>
      </c>
      <c r="D36" s="171">
        <f>标准成本!E16</f>
        <v>14.2450839318036</v>
      </c>
      <c r="E36" s="171">
        <f>标准成本!E29</f>
        <v>17.7014137964818</v>
      </c>
      <c r="F36" s="178"/>
      <c r="G36" s="2"/>
      <c r="H36" s="2"/>
      <c r="I36" s="2"/>
      <c r="J36" s="2"/>
      <c r="K36" s="2"/>
      <c r="L36" s="2"/>
      <c r="M36" s="2"/>
      <c r="N36" s="2"/>
      <c r="O36" s="2"/>
      <c r="P36" s="2"/>
      <c r="Q36" s="162" t="s">
        <v>119</v>
      </c>
      <c r="AG36" s="162" t="s">
        <v>115</v>
      </c>
      <c r="AH36" s="162" t="s">
        <v>119</v>
      </c>
    </row>
    <row r="37" spans="1:34">
      <c r="A37" s="152">
        <v>2</v>
      </c>
      <c r="B37" s="162" t="s">
        <v>120</v>
      </c>
      <c r="C37" s="171">
        <f>标准成本!E6</f>
        <v>18.4919606939152</v>
      </c>
      <c r="D37" s="171">
        <f>标准成本!E18</f>
        <v>7.17211882413313</v>
      </c>
      <c r="E37" s="171">
        <f>标准成本!E31</f>
        <v>8.91231274672053</v>
      </c>
      <c r="F37" s="178"/>
      <c r="G37" s="2"/>
      <c r="H37" s="2"/>
      <c r="I37" s="2"/>
      <c r="J37" s="2"/>
      <c r="K37" s="2"/>
      <c r="L37" s="2"/>
      <c r="M37" s="2"/>
      <c r="N37" s="2"/>
      <c r="O37" s="2"/>
      <c r="P37" s="2"/>
      <c r="Q37" s="162" t="s">
        <v>120</v>
      </c>
      <c r="AG37" s="162" t="s">
        <v>69</v>
      </c>
      <c r="AH37" s="162" t="s">
        <v>120</v>
      </c>
    </row>
    <row r="38" spans="1:34">
      <c r="A38" s="152">
        <v>3</v>
      </c>
      <c r="B38" s="162" t="s">
        <v>121</v>
      </c>
      <c r="C38" s="171">
        <f>标准成本!E10</f>
        <v>37.4952198401968</v>
      </c>
      <c r="D38" s="171">
        <f>标准成本!E22</f>
        <v>14.5425450811916</v>
      </c>
      <c r="E38" s="171">
        <f>标准成本!E35</f>
        <v>18.0710488873596</v>
      </c>
      <c r="F38" s="178"/>
      <c r="G38" s="2"/>
      <c r="H38" s="2"/>
      <c r="I38" s="2"/>
      <c r="J38" s="2"/>
      <c r="K38" s="2"/>
      <c r="L38" s="2"/>
      <c r="M38" s="2"/>
      <c r="N38" s="2"/>
      <c r="O38" s="2"/>
      <c r="P38" s="2"/>
      <c r="Q38" s="162" t="s">
        <v>121</v>
      </c>
      <c r="AG38" s="162" t="s">
        <v>76</v>
      </c>
      <c r="AH38" s="162" t="s">
        <v>121</v>
      </c>
    </row>
    <row r="39" spans="1:34">
      <c r="A39" s="162" t="s">
        <v>118</v>
      </c>
      <c r="B39" s="167" t="s">
        <v>123</v>
      </c>
      <c r="C39" s="173"/>
      <c r="D39" s="173"/>
      <c r="E39" s="173"/>
      <c r="F39" s="173"/>
      <c r="Q39" s="167" t="s">
        <v>123</v>
      </c>
      <c r="AG39" s="162" t="s">
        <v>122</v>
      </c>
      <c r="AH39" s="167" t="s">
        <v>123</v>
      </c>
    </row>
    <row r="40" spans="1:34">
      <c r="A40" s="152">
        <v>1</v>
      </c>
      <c r="B40" s="162" t="s">
        <v>125</v>
      </c>
      <c r="C40" s="173">
        <f>C34-C36-C37-C38</f>
        <v>102.788993027523</v>
      </c>
      <c r="D40" s="173">
        <f>D34-D36-D37-D38</f>
        <v>125.595222795604</v>
      </c>
      <c r="E40" s="173">
        <f>E34-E36-E37-E38</f>
        <v>102.534411186303</v>
      </c>
      <c r="F40" s="173"/>
      <c r="Q40" s="162" t="s">
        <v>125</v>
      </c>
      <c r="AG40" s="162" t="s">
        <v>64</v>
      </c>
      <c r="AH40" s="162" t="s">
        <v>125</v>
      </c>
    </row>
    <row r="41" spans="1:34">
      <c r="A41" s="152">
        <v>2</v>
      </c>
      <c r="B41" s="162" t="s">
        <v>126</v>
      </c>
      <c r="C41" s="173"/>
      <c r="D41" s="173"/>
      <c r="E41" s="173"/>
      <c r="F41" s="173"/>
      <c r="Q41" s="162" t="s">
        <v>126</v>
      </c>
      <c r="AG41" s="162" t="s">
        <v>66</v>
      </c>
      <c r="AH41" s="162" t="s">
        <v>126</v>
      </c>
    </row>
    <row r="42" spans="1:34">
      <c r="A42" s="162" t="s">
        <v>122</v>
      </c>
      <c r="B42" s="167" t="s">
        <v>128</v>
      </c>
      <c r="C42" s="173"/>
      <c r="D42" s="173"/>
      <c r="E42" s="173"/>
      <c r="F42" s="173"/>
      <c r="Q42" s="167" t="s">
        <v>128</v>
      </c>
      <c r="AG42" s="162" t="s">
        <v>127</v>
      </c>
      <c r="AH42" s="167" t="s">
        <v>128</v>
      </c>
    </row>
    <row r="43" spans="1:34">
      <c r="A43" s="152">
        <v>1</v>
      </c>
      <c r="B43" s="174" t="s">
        <v>129</v>
      </c>
      <c r="C43" s="171">
        <f>标准成本!E5</f>
        <v>34.9387275783652</v>
      </c>
      <c r="D43" s="171">
        <f>标准成本!E17</f>
        <v>13.5510079165649</v>
      </c>
      <c r="E43" s="171">
        <f>标准成本!E30</f>
        <v>16.8389319177669</v>
      </c>
      <c r="F43" s="173"/>
      <c r="Q43" s="162" t="s">
        <v>129</v>
      </c>
      <c r="AG43" s="162" t="s">
        <v>64</v>
      </c>
      <c r="AH43" s="162" t="s">
        <v>129</v>
      </c>
    </row>
    <row r="44" spans="1:34">
      <c r="A44" s="152">
        <v>2</v>
      </c>
      <c r="B44" s="174" t="s">
        <v>130</v>
      </c>
      <c r="C44" s="171">
        <f>标准成本!E9</f>
        <v>5.9651486109404</v>
      </c>
      <c r="D44" s="171">
        <f>标准成本!E21</f>
        <v>2.3135867174623</v>
      </c>
      <c r="E44" s="171">
        <f>标准成本!E34</f>
        <v>2.8749395957163</v>
      </c>
      <c r="F44" s="173"/>
      <c r="Q44" s="162" t="s">
        <v>130</v>
      </c>
      <c r="AG44" s="162" t="s">
        <v>66</v>
      </c>
      <c r="AH44" s="162" t="s">
        <v>130</v>
      </c>
    </row>
    <row r="45" spans="1:34">
      <c r="A45" s="152">
        <v>3</v>
      </c>
      <c r="B45" s="174" t="s">
        <v>131</v>
      </c>
      <c r="C45" s="171">
        <f>标准成本!E8</f>
        <v>28.9735789674248</v>
      </c>
      <c r="D45" s="171">
        <f>标准成本!E20</f>
        <v>11.2374211991026</v>
      </c>
      <c r="E45" s="171">
        <f>标准成本!E33</f>
        <v>13.9639923220506</v>
      </c>
      <c r="F45" s="173"/>
      <c r="Q45" s="162" t="s">
        <v>131</v>
      </c>
      <c r="AG45" s="162" t="s">
        <v>115</v>
      </c>
      <c r="AH45" s="162" t="s">
        <v>131</v>
      </c>
    </row>
    <row r="46" s="149" customFormat="1" spans="1:34">
      <c r="A46" s="152">
        <v>4</v>
      </c>
      <c r="B46" s="174" t="s">
        <v>132</v>
      </c>
      <c r="C46" s="180">
        <f>C21/C6</f>
        <v>0</v>
      </c>
      <c r="D46" s="180">
        <f>D21/D6</f>
        <v>0</v>
      </c>
      <c r="E46" s="180">
        <f>E21/E6</f>
        <v>0</v>
      </c>
      <c r="F46" s="180"/>
      <c r="Q46" s="174" t="s">
        <v>134</v>
      </c>
      <c r="AG46" s="174" t="s">
        <v>72</v>
      </c>
      <c r="AH46" s="174" t="s">
        <v>134</v>
      </c>
    </row>
    <row r="47" s="149" customFormat="1" spans="1:34">
      <c r="A47" s="152">
        <v>5</v>
      </c>
      <c r="B47" s="174" t="s">
        <v>134</v>
      </c>
      <c r="C47" s="180">
        <f>标准成本!E11</f>
        <v>25.564922618316</v>
      </c>
      <c r="D47" s="180">
        <f>标准成本!E23</f>
        <v>9.915371646267</v>
      </c>
      <c r="E47" s="180">
        <f>标准成本!E36</f>
        <v>12.321169695927</v>
      </c>
      <c r="F47" s="180"/>
      <c r="Q47" s="174" t="s">
        <v>134</v>
      </c>
      <c r="AG47" s="174" t="s">
        <v>72</v>
      </c>
      <c r="AH47" s="174" t="s">
        <v>134</v>
      </c>
    </row>
    <row r="48" spans="1:34">
      <c r="A48" s="162" t="s">
        <v>127</v>
      </c>
      <c r="B48" s="167" t="s">
        <v>145</v>
      </c>
      <c r="C48" s="173">
        <f>C40-C43-C44-C45-C47-C46</f>
        <v>7.3466152524766</v>
      </c>
      <c r="D48" s="173">
        <f>D40-D43-D44-D45-D47-D46</f>
        <v>88.5778353162072</v>
      </c>
      <c r="E48" s="173">
        <f>E40-E43-E44-E45-E47-E46</f>
        <v>56.5353776548422</v>
      </c>
      <c r="F48" s="173"/>
      <c r="Q48" s="167" t="s">
        <v>145</v>
      </c>
      <c r="AG48" s="162" t="s">
        <v>144</v>
      </c>
      <c r="AH48" s="167" t="s">
        <v>145</v>
      </c>
    </row>
    <row r="51" spans="3:5">
      <c r="C51" s="181"/>
      <c r="D51" s="181"/>
      <c r="E51" s="181"/>
    </row>
    <row r="54" spans="2:11">
      <c r="B54" s="2"/>
      <c r="C54" s="182"/>
      <c r="D54" s="182"/>
      <c r="E54" s="182"/>
      <c r="F54" s="182"/>
      <c r="G54" s="2"/>
      <c r="H54" s="2"/>
      <c r="I54" s="2"/>
      <c r="J54" s="2"/>
      <c r="K54" s="2"/>
    </row>
    <row r="55" spans="2:11">
      <c r="B55" s="2"/>
      <c r="C55" s="182"/>
      <c r="D55" s="182"/>
      <c r="E55" s="182"/>
      <c r="F55" s="182"/>
      <c r="G55" s="2"/>
      <c r="H55" s="2"/>
      <c r="I55" s="2"/>
      <c r="J55" s="2"/>
      <c r="K55" s="2"/>
    </row>
    <row r="56" spans="2:11">
      <c r="B56" s="2"/>
      <c r="C56" s="182"/>
      <c r="D56" s="182"/>
      <c r="E56" s="182"/>
      <c r="F56" s="182"/>
      <c r="G56" s="2"/>
      <c r="H56" s="2"/>
      <c r="I56" s="2"/>
      <c r="J56" s="2"/>
      <c r="K56" s="2"/>
    </row>
    <row r="57" spans="2:11">
      <c r="B57" s="2"/>
      <c r="C57" s="182"/>
      <c r="D57" s="182"/>
      <c r="E57" s="182"/>
      <c r="F57" s="182"/>
      <c r="G57" s="2"/>
      <c r="H57" s="2"/>
      <c r="I57" s="2"/>
      <c r="J57" s="2"/>
      <c r="K57" s="2"/>
    </row>
    <row r="58" spans="2:11">
      <c r="B58" s="2"/>
      <c r="C58" s="182"/>
      <c r="D58" s="182"/>
      <c r="E58" s="182"/>
      <c r="F58" s="182"/>
      <c r="G58" s="2"/>
      <c r="H58" s="2"/>
      <c r="I58" s="2"/>
      <c r="J58" s="2"/>
      <c r="K58" s="2"/>
    </row>
    <row r="59" spans="2:11">
      <c r="B59" s="2"/>
      <c r="C59" s="182"/>
      <c r="D59" s="182"/>
      <c r="E59" s="182"/>
      <c r="F59" s="182"/>
      <c r="G59" s="2"/>
      <c r="H59" s="2"/>
      <c r="I59" s="2"/>
      <c r="J59" s="2"/>
      <c r="K59" s="2"/>
    </row>
    <row r="60" spans="2:11">
      <c r="B60" s="2"/>
      <c r="C60" s="182"/>
      <c r="D60" s="182"/>
      <c r="E60" s="182"/>
      <c r="F60" s="182"/>
      <c r="G60" s="2"/>
      <c r="H60" s="2"/>
      <c r="I60" s="2"/>
      <c r="J60" s="2"/>
      <c r="K60" s="2"/>
    </row>
    <row r="61" spans="2:11">
      <c r="B61" s="2"/>
      <c r="C61" s="182"/>
      <c r="D61" s="182"/>
      <c r="E61" s="182"/>
      <c r="F61" s="182"/>
      <c r="G61" s="2"/>
      <c r="H61" s="2"/>
      <c r="I61" s="2"/>
      <c r="J61" s="2"/>
      <c r="K61" s="2"/>
    </row>
    <row r="62" spans="2:11">
      <c r="B62" s="2"/>
      <c r="C62" s="182"/>
      <c r="D62" s="182"/>
      <c r="E62" s="182"/>
      <c r="F62" s="182"/>
      <c r="G62" s="2"/>
      <c r="H62" s="2"/>
      <c r="I62" s="2"/>
      <c r="J62" s="2"/>
      <c r="K62" s="2"/>
    </row>
    <row r="63" spans="2:11">
      <c r="B63" s="2"/>
      <c r="C63" s="182"/>
      <c r="D63" s="182"/>
      <c r="E63" s="182"/>
      <c r="F63" s="182"/>
      <c r="G63" s="2"/>
      <c r="H63" s="2"/>
      <c r="I63" s="2"/>
      <c r="J63" s="2"/>
      <c r="K63" s="2"/>
    </row>
    <row r="64" spans="2:11">
      <c r="B64" s="2"/>
      <c r="C64" s="182"/>
      <c r="D64" s="182"/>
      <c r="E64" s="182"/>
      <c r="F64" s="182"/>
      <c r="G64" s="2"/>
      <c r="H64" s="2"/>
      <c r="I64" s="2"/>
      <c r="J64" s="2"/>
      <c r="K64" s="2"/>
    </row>
    <row r="65" spans="2:11">
      <c r="B65" s="2"/>
      <c r="C65" s="182"/>
      <c r="D65" s="182"/>
      <c r="E65" s="182"/>
      <c r="F65" s="182"/>
      <c r="G65" s="2"/>
      <c r="H65" s="2"/>
      <c r="I65" s="2"/>
      <c r="J65" s="2"/>
      <c r="K65" s="2"/>
    </row>
    <row r="66" spans="2:11">
      <c r="B66" s="2"/>
      <c r="C66" s="182"/>
      <c r="D66" s="182"/>
      <c r="E66" s="182"/>
      <c r="F66" s="182"/>
      <c r="G66" s="2"/>
      <c r="H66" s="2"/>
      <c r="I66" s="2"/>
      <c r="J66" s="2"/>
      <c r="K66" s="2"/>
    </row>
    <row r="67" spans="2:7">
      <c r="B67" s="2"/>
      <c r="C67" s="182"/>
      <c r="D67" s="182"/>
      <c r="E67" s="182"/>
      <c r="F67" s="182"/>
      <c r="G67" s="2"/>
    </row>
    <row r="68" spans="2:7">
      <c r="B68" s="2"/>
      <c r="C68" s="182"/>
      <c r="D68" s="182"/>
      <c r="E68" s="182"/>
      <c r="F68" s="182"/>
      <c r="G68" s="2"/>
    </row>
    <row r="69" spans="2:7">
      <c r="B69" s="2"/>
      <c r="C69" s="182"/>
      <c r="D69" s="182"/>
      <c r="E69" s="182"/>
      <c r="F69" s="182"/>
      <c r="G69" s="2"/>
    </row>
    <row r="70" spans="2:7">
      <c r="B70" s="2"/>
      <c r="C70" s="182"/>
      <c r="D70" s="182"/>
      <c r="E70" s="182"/>
      <c r="F70" s="182"/>
      <c r="G70" s="2"/>
    </row>
    <row r="71" spans="2:7">
      <c r="B71" s="2"/>
      <c r="C71" s="182"/>
      <c r="D71" s="182"/>
      <c r="E71" s="182"/>
      <c r="F71" s="182"/>
      <c r="G71" s="2"/>
    </row>
    <row r="72" spans="2:7">
      <c r="B72" s="2"/>
      <c r="C72" s="182"/>
      <c r="D72" s="182"/>
      <c r="E72" s="182"/>
      <c r="F72" s="182"/>
      <c r="G72" s="2"/>
    </row>
    <row r="73" spans="2:7">
      <c r="B73" s="2"/>
      <c r="C73" s="182"/>
      <c r="D73" s="182"/>
      <c r="E73" s="182"/>
      <c r="F73" s="182"/>
      <c r="G73" s="2"/>
    </row>
    <row r="74" spans="2:7">
      <c r="B74" s="2"/>
      <c r="C74" s="182"/>
      <c r="D74" s="182"/>
      <c r="E74" s="182"/>
      <c r="F74" s="182"/>
      <c r="G74" s="2"/>
    </row>
  </sheetData>
  <mergeCells count="8">
    <mergeCell ref="A1:B1"/>
    <mergeCell ref="C1:F1"/>
    <mergeCell ref="A2:B2"/>
    <mergeCell ref="C2:F2"/>
    <mergeCell ref="A3:B3"/>
    <mergeCell ref="A4:B4"/>
    <mergeCell ref="A5:B5"/>
    <mergeCell ref="F3:F5"/>
  </mergeCells>
  <printOptions horizontalCentered="1"/>
  <pageMargins left="0.393700787401575" right="0.31496062992126" top="0.354330708661417" bottom="0.15748031496063" header="0.31496062992126" footer="0.31496062992126"/>
  <pageSetup paperSize="9" orientation="landscape"/>
  <headerFooter/>
  <rowBreaks count="1" manualBreakCount="1">
    <brk id="28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4"/>
  <sheetViews>
    <sheetView zoomScale="85" zoomScaleNormal="85" workbookViewId="0">
      <pane xSplit="2" ySplit="7" topLeftCell="C8" activePane="bottomRight" state="frozen"/>
      <selection/>
      <selection pane="topRight"/>
      <selection pane="bottomLeft"/>
      <selection pane="bottomRight" activeCell="F19" sqref="F19"/>
    </sheetView>
  </sheetViews>
  <sheetFormatPr defaultColWidth="9" defaultRowHeight="14.5"/>
  <cols>
    <col min="1" max="1" width="5.12727272727273" style="150" customWidth="1"/>
    <col min="2" max="2" width="17.5" style="150" customWidth="1"/>
    <col min="3" max="5" width="15.5454545454545" style="151" customWidth="1"/>
    <col min="6" max="6" width="16.8181818181818" style="151" customWidth="1"/>
    <col min="7" max="7" width="12.3727272727273" style="150" customWidth="1"/>
    <col min="8" max="8" width="10.1272727272727" style="150" customWidth="1"/>
    <col min="9" max="15" width="9" style="150" customWidth="1"/>
    <col min="16" max="16" width="9" style="150"/>
    <col min="17" max="17" width="9" style="150" hidden="1" customWidth="1"/>
    <col min="18" max="32" width="9" style="150"/>
    <col min="33" max="33" width="4.37272727272727" style="150" customWidth="1"/>
    <col min="34" max="34" width="13.8727272727273" style="150" customWidth="1"/>
    <col min="35" max="16384" width="9" style="150"/>
  </cols>
  <sheetData>
    <row r="1" spans="1:6">
      <c r="A1" s="152" t="s">
        <v>155</v>
      </c>
      <c r="B1" s="152"/>
      <c r="C1" s="153" t="s">
        <v>176</v>
      </c>
      <c r="D1" s="154"/>
      <c r="E1" s="154"/>
      <c r="F1" s="155"/>
    </row>
    <row r="2" spans="1:6">
      <c r="A2" s="152" t="s">
        <v>157</v>
      </c>
      <c r="B2" s="152"/>
      <c r="C2" s="156" t="s">
        <v>158</v>
      </c>
      <c r="D2" s="156"/>
      <c r="E2" s="156"/>
      <c r="F2" s="156"/>
    </row>
    <row r="3" spans="1:6">
      <c r="A3" s="152" t="s">
        <v>159</v>
      </c>
      <c r="B3" s="152"/>
      <c r="C3" s="157" t="s">
        <v>160</v>
      </c>
      <c r="D3" s="157" t="s">
        <v>161</v>
      </c>
      <c r="E3" s="157" t="s">
        <v>162</v>
      </c>
      <c r="F3" s="158" t="s">
        <v>60</v>
      </c>
    </row>
    <row r="4" spans="1:6">
      <c r="A4" s="152" t="s">
        <v>163</v>
      </c>
      <c r="B4" s="152"/>
      <c r="C4" s="79"/>
      <c r="D4" s="79"/>
      <c r="E4" s="79"/>
      <c r="F4" s="159"/>
    </row>
    <row r="5" ht="33" spans="1:35">
      <c r="A5" s="152" t="s">
        <v>164</v>
      </c>
      <c r="B5" s="152"/>
      <c r="C5" s="160" t="s">
        <v>165</v>
      </c>
      <c r="D5" s="160" t="s">
        <v>166</v>
      </c>
      <c r="E5" s="160" t="s">
        <v>167</v>
      </c>
      <c r="F5" s="161"/>
      <c r="AI5" s="150" t="s">
        <v>61</v>
      </c>
    </row>
    <row r="6" ht="16.5" spans="1:35">
      <c r="A6" s="162" t="s">
        <v>21</v>
      </c>
      <c r="B6" s="163" t="s">
        <v>168</v>
      </c>
      <c r="C6" s="164">
        <f>销量!C14</f>
        <v>10000</v>
      </c>
      <c r="D6" s="164">
        <f>销量!D14</f>
        <v>30000</v>
      </c>
      <c r="E6" s="164">
        <f>销量!E14</f>
        <v>20000</v>
      </c>
      <c r="F6" s="165">
        <f t="shared" ref="F6:F15" si="0">+SUM(C6:E6)</f>
        <v>60000</v>
      </c>
      <c r="Q6" s="163" t="s">
        <v>3</v>
      </c>
      <c r="AG6" s="162" t="s">
        <v>21</v>
      </c>
      <c r="AH6" s="163" t="s">
        <v>3</v>
      </c>
      <c r="AI6" s="150" t="s">
        <v>62</v>
      </c>
    </row>
    <row r="7" spans="1:35">
      <c r="A7" s="152">
        <v>1</v>
      </c>
      <c r="B7" s="163" t="s">
        <v>63</v>
      </c>
      <c r="C7" s="165">
        <f>C6*销量!C8</f>
        <v>10730000</v>
      </c>
      <c r="D7" s="165">
        <f>D6*销量!D8</f>
        <v>15390000</v>
      </c>
      <c r="E7" s="165">
        <f>E6*销量!E8</f>
        <v>11540000</v>
      </c>
      <c r="F7" s="165">
        <f t="shared" si="0"/>
        <v>37660000</v>
      </c>
      <c r="G7" s="151"/>
      <c r="Q7" s="163" t="s">
        <v>63</v>
      </c>
      <c r="AG7" s="162" t="s">
        <v>64</v>
      </c>
      <c r="AH7" s="163" t="s">
        <v>63</v>
      </c>
      <c r="AI7" s="150" t="s">
        <v>62</v>
      </c>
    </row>
    <row r="8" spans="1:35">
      <c r="A8" s="152">
        <v>2</v>
      </c>
      <c r="B8" s="152" t="s">
        <v>65</v>
      </c>
      <c r="C8" s="165">
        <f>C7*(1-销量!$P$11)</f>
        <v>1515783.904239</v>
      </c>
      <c r="D8" s="165">
        <f>D7*(1-销量!$P$11)</f>
        <v>2174083.344477</v>
      </c>
      <c r="E8" s="165">
        <f>E7*(1-销量!$P$11)</f>
        <v>1630209.343422</v>
      </c>
      <c r="F8" s="165">
        <f t="shared" si="0"/>
        <v>5320076.592138</v>
      </c>
      <c r="G8" s="166"/>
      <c r="Q8" s="152" t="s">
        <v>67</v>
      </c>
      <c r="AG8" s="162" t="s">
        <v>66</v>
      </c>
      <c r="AH8" s="152" t="s">
        <v>67</v>
      </c>
      <c r="AI8" s="150" t="s">
        <v>62</v>
      </c>
    </row>
    <row r="9" spans="1:35">
      <c r="A9" s="152">
        <v>3</v>
      </c>
      <c r="B9" s="163" t="s">
        <v>68</v>
      </c>
      <c r="C9" s="165">
        <f>+C7-C8</f>
        <v>9214216.095761</v>
      </c>
      <c r="D9" s="165">
        <f>+D7-D8</f>
        <v>13215916.655523</v>
      </c>
      <c r="E9" s="165">
        <f>+E7-E8</f>
        <v>9909790.656578</v>
      </c>
      <c r="F9" s="165">
        <f t="shared" si="0"/>
        <v>32339923.407862</v>
      </c>
      <c r="Q9" s="163" t="s">
        <v>68</v>
      </c>
      <c r="AG9" s="162" t="s">
        <v>69</v>
      </c>
      <c r="AH9" s="163" t="s">
        <v>68</v>
      </c>
      <c r="AI9" s="150" t="s">
        <v>70</v>
      </c>
    </row>
    <row r="10" spans="1:35">
      <c r="A10" s="152">
        <v>4</v>
      </c>
      <c r="B10" s="162" t="s">
        <v>73</v>
      </c>
      <c r="C10" s="165">
        <f>C6*C33</f>
        <v>7317822.97224516</v>
      </c>
      <c r="D10" s="165">
        <f>D6*D33</f>
        <v>8514667.0101105</v>
      </c>
      <c r="E10" s="165">
        <f>E6*E33</f>
        <v>7053738.43621083</v>
      </c>
      <c r="F10" s="165">
        <f t="shared" si="0"/>
        <v>22886228.4185665</v>
      </c>
      <c r="Q10" s="162" t="s">
        <v>73</v>
      </c>
      <c r="AG10" s="162" t="s">
        <v>72</v>
      </c>
      <c r="AH10" s="162" t="s">
        <v>73</v>
      </c>
      <c r="AI10" s="150" t="s">
        <v>74</v>
      </c>
    </row>
    <row r="11" spans="1:34">
      <c r="A11" s="152">
        <v>5</v>
      </c>
      <c r="B11" s="162" t="s">
        <v>75</v>
      </c>
      <c r="C11" s="165">
        <f>+C6*C36</f>
        <v>367282.721616473</v>
      </c>
      <c r="D11" s="165">
        <f>+D6*D36</f>
        <v>427352.517954108</v>
      </c>
      <c r="E11" s="165">
        <f>+E6*E36</f>
        <v>354028.275929636</v>
      </c>
      <c r="F11" s="165">
        <f t="shared" si="0"/>
        <v>1148663.51550022</v>
      </c>
      <c r="Q11" s="162" t="s">
        <v>75</v>
      </c>
      <c r="AG11" s="162" t="s">
        <v>76</v>
      </c>
      <c r="AH11" s="162" t="s">
        <v>75</v>
      </c>
    </row>
    <row r="12" spans="1:34">
      <c r="A12" s="152">
        <v>6</v>
      </c>
      <c r="B12" s="162" t="s">
        <v>77</v>
      </c>
      <c r="C12" s="165">
        <f>+C6*C37</f>
        <v>184919.606939152</v>
      </c>
      <c r="D12" s="165">
        <f>+D6*D37</f>
        <v>215163.564723994</v>
      </c>
      <c r="E12" s="165">
        <f>+E6*E37</f>
        <v>178246.254934411</v>
      </c>
      <c r="F12" s="165">
        <f t="shared" si="0"/>
        <v>578329.426597557</v>
      </c>
      <c r="Q12" s="162" t="s">
        <v>77</v>
      </c>
      <c r="AG12" s="162" t="s">
        <v>78</v>
      </c>
      <c r="AH12" s="162" t="s">
        <v>77</v>
      </c>
    </row>
    <row r="13" spans="1:35">
      <c r="A13" s="152">
        <v>7</v>
      </c>
      <c r="B13" s="162" t="s">
        <v>79</v>
      </c>
      <c r="C13" s="165">
        <f>+C6*C38</f>
        <v>374952.198401968</v>
      </c>
      <c r="D13" s="165">
        <f>+D6*D38</f>
        <v>436276.352435748</v>
      </c>
      <c r="E13" s="165">
        <f>+E6*E38</f>
        <v>361420.977747192</v>
      </c>
      <c r="F13" s="165">
        <f t="shared" si="0"/>
        <v>1172649.52858491</v>
      </c>
      <c r="Q13" s="162" t="s">
        <v>79</v>
      </c>
      <c r="AG13" s="162" t="s">
        <v>80</v>
      </c>
      <c r="AH13" s="162" t="s">
        <v>79</v>
      </c>
      <c r="AI13" s="150" t="s">
        <v>62</v>
      </c>
    </row>
    <row r="14" spans="1:34">
      <c r="A14" s="152">
        <v>8</v>
      </c>
      <c r="B14" s="167" t="s">
        <v>81</v>
      </c>
      <c r="C14" s="165">
        <f>SUM(C11:C13)</f>
        <v>927154.526957593</v>
      </c>
      <c r="D14" s="165">
        <f>SUM(D11:D13)</f>
        <v>1078792.43511385</v>
      </c>
      <c r="E14" s="165">
        <f>SUM(E11:E13)</f>
        <v>893695.508611238</v>
      </c>
      <c r="F14" s="165">
        <f t="shared" si="0"/>
        <v>2899642.47068268</v>
      </c>
      <c r="Q14" s="167" t="s">
        <v>81</v>
      </c>
      <c r="AG14" s="162" t="s">
        <v>82</v>
      </c>
      <c r="AH14" s="167" t="s">
        <v>81</v>
      </c>
    </row>
    <row r="15" spans="1:34">
      <c r="A15" s="152">
        <v>9</v>
      </c>
      <c r="B15" s="167" t="s">
        <v>83</v>
      </c>
      <c r="C15" s="165">
        <f>+C9-C10-C14</f>
        <v>969238.596558246</v>
      </c>
      <c r="D15" s="165">
        <f>+D9-D10-D14</f>
        <v>3622457.21029866</v>
      </c>
      <c r="E15" s="165">
        <f>+E9-E10-E14</f>
        <v>1962356.71175594</v>
      </c>
      <c r="F15" s="165">
        <f t="shared" si="0"/>
        <v>6554052.51861284</v>
      </c>
      <c r="Q15" s="167" t="s">
        <v>83</v>
      </c>
      <c r="AG15" s="162" t="s">
        <v>84</v>
      </c>
      <c r="AH15" s="167" t="s">
        <v>83</v>
      </c>
    </row>
    <row r="16" spans="1:34">
      <c r="A16" s="152">
        <v>10</v>
      </c>
      <c r="B16" s="162" t="s">
        <v>85</v>
      </c>
      <c r="C16" s="168">
        <f t="shared" ref="C16:F16" si="1">+C15/C9</f>
        <v>0.105189479656782</v>
      </c>
      <c r="D16" s="168">
        <f t="shared" si="1"/>
        <v>0.274098067104926</v>
      </c>
      <c r="E16" s="168">
        <f t="shared" si="1"/>
        <v>0.198022014769136</v>
      </c>
      <c r="F16" s="168">
        <f t="shared" si="1"/>
        <v>0.202661349439669</v>
      </c>
      <c r="G16" s="169"/>
      <c r="H16" s="169"/>
      <c r="I16" s="169"/>
      <c r="Q16" s="162" t="s">
        <v>85</v>
      </c>
      <c r="AG16" s="162" t="s">
        <v>86</v>
      </c>
      <c r="AH16" s="162" t="s">
        <v>85</v>
      </c>
    </row>
    <row r="17" spans="1:34">
      <c r="A17" s="152">
        <v>11</v>
      </c>
      <c r="B17" s="162" t="s">
        <v>87</v>
      </c>
      <c r="C17" s="165">
        <f>C6*C43+C18</f>
        <v>356776.164672541</v>
      </c>
      <c r="D17" s="165">
        <f>D6*D43+D18</f>
        <v>428696.904163614</v>
      </c>
      <c r="E17" s="165">
        <f>E6*E43+E18</f>
        <v>351556.416133116</v>
      </c>
      <c r="F17" s="165">
        <f t="shared" ref="F17:F21" si="2">+SUM(C17:E17)</f>
        <v>1137029.48496927</v>
      </c>
      <c r="G17" s="166"/>
      <c r="Q17" s="162" t="s">
        <v>87</v>
      </c>
      <c r="AG17" s="162" t="s">
        <v>88</v>
      </c>
      <c r="AH17" s="162" t="s">
        <v>87</v>
      </c>
    </row>
    <row r="18" s="148" customFormat="1" spans="1:9">
      <c r="A18" s="152">
        <v>12</v>
      </c>
      <c r="B18" s="170" t="s">
        <v>89</v>
      </c>
      <c r="C18" s="171">
        <f>$F$18/$F$6*C6</f>
        <v>7388.88888888889</v>
      </c>
      <c r="D18" s="171">
        <f>$F$18/$F$6*D6</f>
        <v>22166.6666666667</v>
      </c>
      <c r="E18" s="171">
        <f>$F$18/$F$6*E6</f>
        <v>14777.7777777778</v>
      </c>
      <c r="F18" s="165">
        <f>项目投资!I26</f>
        <v>44333.3333333333</v>
      </c>
      <c r="G18" s="172" t="s">
        <v>90</v>
      </c>
      <c r="H18" s="172"/>
      <c r="I18" s="172"/>
    </row>
    <row r="19" spans="1:35">
      <c r="A19" s="152">
        <v>13</v>
      </c>
      <c r="B19" s="162" t="s">
        <v>91</v>
      </c>
      <c r="C19" s="165">
        <f>C6*C44</f>
        <v>59651.486109404</v>
      </c>
      <c r="D19" s="165">
        <f>D6*D44</f>
        <v>69407.601523869</v>
      </c>
      <c r="E19" s="165">
        <f>E6*E44</f>
        <v>57498.791914326</v>
      </c>
      <c r="F19" s="165">
        <f t="shared" si="2"/>
        <v>186557.879547599</v>
      </c>
      <c r="G19" s="148"/>
      <c r="Q19" s="162" t="s">
        <v>91</v>
      </c>
      <c r="AG19" s="162" t="s">
        <v>92</v>
      </c>
      <c r="AH19" s="162" t="s">
        <v>91</v>
      </c>
      <c r="AI19" s="150" t="s">
        <v>62</v>
      </c>
    </row>
    <row r="20" spans="1:34">
      <c r="A20" s="152">
        <v>14</v>
      </c>
      <c r="B20" s="162" t="s">
        <v>93</v>
      </c>
      <c r="C20" s="165">
        <f>C6*C45</f>
        <v>289735.789674248</v>
      </c>
      <c r="D20" s="165">
        <f>D6*D45</f>
        <v>337122.635973078</v>
      </c>
      <c r="E20" s="165">
        <f>E6*E45</f>
        <v>279279.846441012</v>
      </c>
      <c r="F20" s="165">
        <f t="shared" si="2"/>
        <v>906138.272088338</v>
      </c>
      <c r="Q20" s="162" t="s">
        <v>93</v>
      </c>
      <c r="AG20" s="162" t="s">
        <v>94</v>
      </c>
      <c r="AH20" s="162" t="s">
        <v>93</v>
      </c>
    </row>
    <row r="21" spans="1:34">
      <c r="A21" s="152">
        <v>15</v>
      </c>
      <c r="B21" s="162" t="s">
        <v>95</v>
      </c>
      <c r="C21" s="173">
        <f>$F$21/$F$6*C6</f>
        <v>0</v>
      </c>
      <c r="D21" s="173">
        <f>$F$21/$F$6*D6</f>
        <v>0</v>
      </c>
      <c r="E21" s="173">
        <f>$F$21/$F$6*E6</f>
        <v>0</v>
      </c>
      <c r="F21" s="165">
        <f>项目投资!F27</f>
        <v>0</v>
      </c>
      <c r="Q21" s="162" t="s">
        <v>95</v>
      </c>
      <c r="AG21" s="162"/>
      <c r="AH21" s="162"/>
    </row>
    <row r="22" spans="1:34">
      <c r="A22" s="152">
        <v>16</v>
      </c>
      <c r="B22" s="162" t="s">
        <v>96</v>
      </c>
      <c r="C22" s="165">
        <f>C6*C47</f>
        <v>255649.22618316</v>
      </c>
      <c r="D22" s="165">
        <f>D6*D47</f>
        <v>297461.14938801</v>
      </c>
      <c r="E22" s="165">
        <f>E6*E47</f>
        <v>246423.39391854</v>
      </c>
      <c r="F22" s="165">
        <f t="shared" ref="F22:F26" si="3">+SUM(C22:E22)</f>
        <v>799533.76948971</v>
      </c>
      <c r="Q22" s="162" t="s">
        <v>96</v>
      </c>
      <c r="AG22" s="162" t="s">
        <v>97</v>
      </c>
      <c r="AH22" s="162" t="s">
        <v>96</v>
      </c>
    </row>
    <row r="23" spans="1:34">
      <c r="A23" s="152">
        <v>17</v>
      </c>
      <c r="B23" s="167" t="s">
        <v>98</v>
      </c>
      <c r="C23" s="173">
        <f t="shared" ref="C23:F23" si="4">+C22+C21+C20+C19+C17</f>
        <v>961812.666639353</v>
      </c>
      <c r="D23" s="173">
        <f t="shared" si="4"/>
        <v>1132688.29104857</v>
      </c>
      <c r="E23" s="173">
        <f t="shared" si="4"/>
        <v>934758.448406994</v>
      </c>
      <c r="F23" s="165">
        <f t="shared" si="3"/>
        <v>3029259.40609492</v>
      </c>
      <c r="Q23" s="167" t="s">
        <v>98</v>
      </c>
      <c r="AG23" s="162" t="s">
        <v>99</v>
      </c>
      <c r="AH23" s="167" t="s">
        <v>98</v>
      </c>
    </row>
    <row r="24" spans="1:34">
      <c r="A24" s="152">
        <v>18</v>
      </c>
      <c r="B24" s="174" t="s">
        <v>100</v>
      </c>
      <c r="C24" s="173">
        <f t="shared" ref="C24:F24" si="5">+C15-C23</f>
        <v>7425.92991889303</v>
      </c>
      <c r="D24" s="173">
        <f t="shared" si="5"/>
        <v>2489768.91925009</v>
      </c>
      <c r="E24" s="173">
        <f t="shared" si="5"/>
        <v>1027598.26334895</v>
      </c>
      <c r="F24" s="165">
        <f t="shared" si="3"/>
        <v>3524793.11251793</v>
      </c>
      <c r="H24" s="175"/>
      <c r="Q24" s="162" t="s">
        <v>100</v>
      </c>
      <c r="AG24" s="162" t="s">
        <v>101</v>
      </c>
      <c r="AH24" s="162" t="s">
        <v>100</v>
      </c>
    </row>
    <row r="25" spans="1:34">
      <c r="A25" s="152">
        <v>19</v>
      </c>
      <c r="B25" s="162" t="s">
        <v>169</v>
      </c>
      <c r="C25" s="173">
        <f t="shared" ref="C25:F25" si="6">IF(C24&lt;0,0,C24*0.25)</f>
        <v>1856.48247972326</v>
      </c>
      <c r="D25" s="173">
        <f t="shared" si="6"/>
        <v>622442.229812522</v>
      </c>
      <c r="E25" s="173">
        <f t="shared" si="6"/>
        <v>256899.565837237</v>
      </c>
      <c r="F25" s="165">
        <f t="shared" si="3"/>
        <v>881198.278129482</v>
      </c>
      <c r="G25" s="2"/>
      <c r="H25" s="2"/>
      <c r="I25" s="2"/>
      <c r="Q25" s="162" t="s">
        <v>38</v>
      </c>
      <c r="AG25" s="162" t="s">
        <v>102</v>
      </c>
      <c r="AH25" s="162" t="s">
        <v>38</v>
      </c>
    </row>
    <row r="26" spans="1:34">
      <c r="A26" s="152">
        <v>20</v>
      </c>
      <c r="B26" s="162" t="s">
        <v>103</v>
      </c>
      <c r="C26" s="173">
        <f>C24-C25</f>
        <v>5569.44743916977</v>
      </c>
      <c r="D26" s="173">
        <f>D24-D25</f>
        <v>1867326.68943757</v>
      </c>
      <c r="E26" s="173">
        <f>E24-E25</f>
        <v>770698.69751171</v>
      </c>
      <c r="F26" s="165">
        <f t="shared" si="3"/>
        <v>2643594.83438845</v>
      </c>
      <c r="G26" s="2"/>
      <c r="H26" s="2"/>
      <c r="I26" s="2"/>
      <c r="Q26" s="162" t="s">
        <v>103</v>
      </c>
      <c r="AG26" s="162" t="s">
        <v>104</v>
      </c>
      <c r="AH26" s="162" t="s">
        <v>103</v>
      </c>
    </row>
    <row r="27" spans="1:34">
      <c r="A27" s="152">
        <v>21</v>
      </c>
      <c r="B27" s="162" t="s">
        <v>107</v>
      </c>
      <c r="C27" s="176">
        <f t="shared" ref="C27:F27" si="7">C26/C7</f>
        <v>0.000519053815393269</v>
      </c>
      <c r="D27" s="176">
        <f t="shared" si="7"/>
        <v>0.121333767994644</v>
      </c>
      <c r="E27" s="176">
        <f t="shared" si="7"/>
        <v>0.0667849824533544</v>
      </c>
      <c r="F27" s="177">
        <f t="shared" si="7"/>
        <v>0.0701963577904526</v>
      </c>
      <c r="G27" s="2"/>
      <c r="H27" s="2"/>
      <c r="I27" s="2"/>
      <c r="Q27" s="162" t="s">
        <v>107</v>
      </c>
      <c r="AG27" s="162" t="s">
        <v>106</v>
      </c>
      <c r="AH27" s="162" t="s">
        <v>107</v>
      </c>
    </row>
    <row r="28" spans="7:17">
      <c r="G28" s="2"/>
      <c r="H28" s="2"/>
      <c r="I28" s="2"/>
      <c r="Q28" s="162"/>
    </row>
    <row r="29" spans="1:33">
      <c r="A29" s="150" t="s">
        <v>108</v>
      </c>
      <c r="F29" s="151" t="s">
        <v>170</v>
      </c>
      <c r="G29" s="2"/>
      <c r="H29" s="2"/>
      <c r="I29" s="2"/>
      <c r="Q29" s="162"/>
      <c r="AG29" s="150" t="s">
        <v>108</v>
      </c>
    </row>
    <row r="30" spans="1:34">
      <c r="A30" s="162" t="s">
        <v>110</v>
      </c>
      <c r="B30" s="167" t="s">
        <v>111</v>
      </c>
      <c r="C30" s="173"/>
      <c r="D30" s="173"/>
      <c r="E30" s="173"/>
      <c r="F30" s="173"/>
      <c r="G30" s="2"/>
      <c r="H30" s="2"/>
      <c r="I30" s="2"/>
      <c r="K30" s="2"/>
      <c r="Q30" s="167" t="s">
        <v>111</v>
      </c>
      <c r="AG30" s="162" t="s">
        <v>112</v>
      </c>
      <c r="AH30" s="167" t="s">
        <v>111</v>
      </c>
    </row>
    <row r="31" spans="1:34">
      <c r="A31" s="152">
        <v>1</v>
      </c>
      <c r="B31" s="170" t="s">
        <v>113</v>
      </c>
      <c r="C31" s="178">
        <f>(C7-C8)/C6</f>
        <v>921.4216095761</v>
      </c>
      <c r="D31" s="178">
        <f>(D7-D8)/D6</f>
        <v>440.5305551841</v>
      </c>
      <c r="E31" s="178">
        <f>(E7-E8)/E6</f>
        <v>495.4895328289</v>
      </c>
      <c r="F31" s="173"/>
      <c r="G31" s="2"/>
      <c r="H31" s="2"/>
      <c r="I31" s="2"/>
      <c r="K31" s="2"/>
      <c r="Q31" s="162" t="s">
        <v>113</v>
      </c>
      <c r="AG31" s="162" t="s">
        <v>64</v>
      </c>
      <c r="AH31" s="162" t="s">
        <v>113</v>
      </c>
    </row>
    <row r="32" spans="1:34">
      <c r="A32" s="152">
        <v>2</v>
      </c>
      <c r="B32" s="162" t="s">
        <v>171</v>
      </c>
      <c r="C32" s="165">
        <f>C31*1</f>
        <v>921.4216095761</v>
      </c>
      <c r="D32" s="165">
        <f>D31*1</f>
        <v>440.5305551841</v>
      </c>
      <c r="E32" s="165">
        <f>E31*1</f>
        <v>495.4895328289</v>
      </c>
      <c r="F32" s="173"/>
      <c r="G32" s="2"/>
      <c r="H32" s="2"/>
      <c r="I32" s="2"/>
      <c r="J32" s="2"/>
      <c r="K32" s="2"/>
      <c r="L32" s="2"/>
      <c r="M32" s="2"/>
      <c r="AG32" s="162"/>
      <c r="AH32" s="162"/>
    </row>
    <row r="33" spans="1:34">
      <c r="A33" s="152">
        <v>3</v>
      </c>
      <c r="B33" s="170" t="s">
        <v>114</v>
      </c>
      <c r="C33" s="165">
        <f>材料成本!D31</f>
        <v>731.782297224516</v>
      </c>
      <c r="D33" s="165">
        <f>材料成本!E31</f>
        <v>283.82223367035</v>
      </c>
      <c r="E33" s="165">
        <f>材料成本!F31</f>
        <v>352.686921810541</v>
      </c>
      <c r="F33" s="173"/>
      <c r="H33" s="2"/>
      <c r="I33" s="2"/>
      <c r="J33" s="2"/>
      <c r="K33" s="2"/>
      <c r="L33" s="2"/>
      <c r="M33" s="2"/>
      <c r="Q33" s="162" t="s">
        <v>114</v>
      </c>
      <c r="AG33" s="162" t="s">
        <v>66</v>
      </c>
      <c r="AH33" s="162" t="s">
        <v>114</v>
      </c>
    </row>
    <row r="34" ht="17.25" customHeight="1" spans="1:34">
      <c r="A34" s="152">
        <v>4</v>
      </c>
      <c r="B34" s="162" t="s">
        <v>116</v>
      </c>
      <c r="C34" s="179">
        <f>C32-C33</f>
        <v>189.639312351584</v>
      </c>
      <c r="D34" s="179">
        <f>D32-D33</f>
        <v>156.70832151375</v>
      </c>
      <c r="E34" s="179">
        <f>E32-E33</f>
        <v>142.802611018359</v>
      </c>
      <c r="F34" s="173"/>
      <c r="H34" s="2"/>
      <c r="I34" s="2"/>
      <c r="J34" s="2"/>
      <c r="K34" s="2"/>
      <c r="L34" s="2"/>
      <c r="M34" s="2"/>
      <c r="Q34" s="162" t="s">
        <v>116</v>
      </c>
      <c r="AG34" s="162" t="s">
        <v>115</v>
      </c>
      <c r="AH34" s="162" t="s">
        <v>116</v>
      </c>
    </row>
    <row r="35" spans="1:34">
      <c r="A35" s="162" t="s">
        <v>112</v>
      </c>
      <c r="B35" s="167" t="s">
        <v>10</v>
      </c>
      <c r="C35" s="173"/>
      <c r="D35" s="173"/>
      <c r="E35" s="173"/>
      <c r="F35" s="173"/>
      <c r="G35" s="2"/>
      <c r="H35" s="2"/>
      <c r="I35" s="2"/>
      <c r="J35" s="2"/>
      <c r="K35" s="2"/>
      <c r="L35" s="2"/>
      <c r="M35" s="2"/>
      <c r="N35" s="2"/>
      <c r="O35" s="2"/>
      <c r="P35" s="2"/>
      <c r="Q35" s="167" t="s">
        <v>10</v>
      </c>
      <c r="AG35" s="162" t="s">
        <v>118</v>
      </c>
      <c r="AH35" s="167" t="s">
        <v>10</v>
      </c>
    </row>
    <row r="36" spans="1:34">
      <c r="A36" s="152">
        <v>1</v>
      </c>
      <c r="B36" s="162" t="s">
        <v>119</v>
      </c>
      <c r="C36" s="171">
        <f>标准成本!E4</f>
        <v>36.7282721616473</v>
      </c>
      <c r="D36" s="171">
        <f>标准成本!E16</f>
        <v>14.2450839318036</v>
      </c>
      <c r="E36" s="171">
        <f>标准成本!E29</f>
        <v>17.7014137964818</v>
      </c>
      <c r="F36" s="178"/>
      <c r="G36" s="2"/>
      <c r="H36" s="2"/>
      <c r="I36" s="2"/>
      <c r="J36" s="2"/>
      <c r="K36" s="2"/>
      <c r="L36" s="2"/>
      <c r="M36" s="2"/>
      <c r="N36" s="2"/>
      <c r="O36" s="2"/>
      <c r="P36" s="2"/>
      <c r="Q36" s="162" t="s">
        <v>119</v>
      </c>
      <c r="AG36" s="162" t="s">
        <v>115</v>
      </c>
      <c r="AH36" s="162" t="s">
        <v>119</v>
      </c>
    </row>
    <row r="37" spans="1:34">
      <c r="A37" s="152">
        <v>2</v>
      </c>
      <c r="B37" s="162" t="s">
        <v>120</v>
      </c>
      <c r="C37" s="171">
        <f>标准成本!E6</f>
        <v>18.4919606939152</v>
      </c>
      <c r="D37" s="171">
        <f>标准成本!E18</f>
        <v>7.17211882413313</v>
      </c>
      <c r="E37" s="171">
        <f>标准成本!E31</f>
        <v>8.91231274672053</v>
      </c>
      <c r="F37" s="178"/>
      <c r="G37" s="2"/>
      <c r="H37" s="2"/>
      <c r="I37" s="2"/>
      <c r="J37" s="2"/>
      <c r="K37" s="2"/>
      <c r="L37" s="2"/>
      <c r="M37" s="2"/>
      <c r="N37" s="2"/>
      <c r="O37" s="2"/>
      <c r="P37" s="2"/>
      <c r="Q37" s="162" t="s">
        <v>120</v>
      </c>
      <c r="AG37" s="162" t="s">
        <v>69</v>
      </c>
      <c r="AH37" s="162" t="s">
        <v>120</v>
      </c>
    </row>
    <row r="38" spans="1:34">
      <c r="A38" s="152">
        <v>3</v>
      </c>
      <c r="B38" s="162" t="s">
        <v>121</v>
      </c>
      <c r="C38" s="171">
        <f>标准成本!E10</f>
        <v>37.4952198401968</v>
      </c>
      <c r="D38" s="171">
        <f>标准成本!E22</f>
        <v>14.5425450811916</v>
      </c>
      <c r="E38" s="171">
        <f>标准成本!E35</f>
        <v>18.0710488873596</v>
      </c>
      <c r="F38" s="178"/>
      <c r="G38" s="2"/>
      <c r="H38" s="2"/>
      <c r="I38" s="2"/>
      <c r="J38" s="2"/>
      <c r="K38" s="2"/>
      <c r="L38" s="2"/>
      <c r="M38" s="2"/>
      <c r="N38" s="2"/>
      <c r="O38" s="2"/>
      <c r="P38" s="2"/>
      <c r="Q38" s="162" t="s">
        <v>121</v>
      </c>
      <c r="AG38" s="162" t="s">
        <v>76</v>
      </c>
      <c r="AH38" s="162" t="s">
        <v>121</v>
      </c>
    </row>
    <row r="39" spans="1:34">
      <c r="A39" s="162" t="s">
        <v>118</v>
      </c>
      <c r="B39" s="167" t="s">
        <v>123</v>
      </c>
      <c r="C39" s="173"/>
      <c r="D39" s="173"/>
      <c r="E39" s="173"/>
      <c r="F39" s="173"/>
      <c r="Q39" s="167" t="s">
        <v>123</v>
      </c>
      <c r="AG39" s="162" t="s">
        <v>122</v>
      </c>
      <c r="AH39" s="167" t="s">
        <v>123</v>
      </c>
    </row>
    <row r="40" spans="1:34">
      <c r="A40" s="152">
        <v>1</v>
      </c>
      <c r="B40" s="162" t="s">
        <v>125</v>
      </c>
      <c r="C40" s="173">
        <f>C34-C36-C37-C38</f>
        <v>96.9238596558246</v>
      </c>
      <c r="D40" s="173">
        <f>D34-D36-D37-D38</f>
        <v>120.748573676622</v>
      </c>
      <c r="E40" s="173">
        <f>E34-E36-E37-E38</f>
        <v>98.1178355877969</v>
      </c>
      <c r="F40" s="173"/>
      <c r="Q40" s="162" t="s">
        <v>125</v>
      </c>
      <c r="AG40" s="162" t="s">
        <v>64</v>
      </c>
      <c r="AH40" s="162" t="s">
        <v>125</v>
      </c>
    </row>
    <row r="41" spans="1:34">
      <c r="A41" s="152">
        <v>2</v>
      </c>
      <c r="B41" s="162" t="s">
        <v>126</v>
      </c>
      <c r="C41" s="173"/>
      <c r="D41" s="173"/>
      <c r="E41" s="173"/>
      <c r="F41" s="173"/>
      <c r="Q41" s="162" t="s">
        <v>126</v>
      </c>
      <c r="AG41" s="162" t="s">
        <v>66</v>
      </c>
      <c r="AH41" s="162" t="s">
        <v>126</v>
      </c>
    </row>
    <row r="42" spans="1:34">
      <c r="A42" s="162" t="s">
        <v>122</v>
      </c>
      <c r="B42" s="167" t="s">
        <v>128</v>
      </c>
      <c r="C42" s="173"/>
      <c r="D42" s="173"/>
      <c r="E42" s="173"/>
      <c r="F42" s="173"/>
      <c r="Q42" s="167" t="s">
        <v>128</v>
      </c>
      <c r="AG42" s="162" t="s">
        <v>127</v>
      </c>
      <c r="AH42" s="167" t="s">
        <v>128</v>
      </c>
    </row>
    <row r="43" spans="1:34">
      <c r="A43" s="152">
        <v>1</v>
      </c>
      <c r="B43" s="174" t="s">
        <v>129</v>
      </c>
      <c r="C43" s="171">
        <f>标准成本!E5</f>
        <v>34.9387275783652</v>
      </c>
      <c r="D43" s="171">
        <f>标准成本!E17</f>
        <v>13.5510079165649</v>
      </c>
      <c r="E43" s="171">
        <f>标准成本!E30</f>
        <v>16.8389319177669</v>
      </c>
      <c r="F43" s="173"/>
      <c r="Q43" s="162" t="s">
        <v>129</v>
      </c>
      <c r="AG43" s="162" t="s">
        <v>64</v>
      </c>
      <c r="AH43" s="162" t="s">
        <v>129</v>
      </c>
    </row>
    <row r="44" spans="1:34">
      <c r="A44" s="152">
        <v>2</v>
      </c>
      <c r="B44" s="174" t="s">
        <v>130</v>
      </c>
      <c r="C44" s="171">
        <f>标准成本!E9</f>
        <v>5.9651486109404</v>
      </c>
      <c r="D44" s="171">
        <f>标准成本!E21</f>
        <v>2.3135867174623</v>
      </c>
      <c r="E44" s="171">
        <f>标准成本!E34</f>
        <v>2.8749395957163</v>
      </c>
      <c r="F44" s="173"/>
      <c r="Q44" s="162" t="s">
        <v>130</v>
      </c>
      <c r="AG44" s="162" t="s">
        <v>66</v>
      </c>
      <c r="AH44" s="162" t="s">
        <v>130</v>
      </c>
    </row>
    <row r="45" spans="1:34">
      <c r="A45" s="152">
        <v>3</v>
      </c>
      <c r="B45" s="174" t="s">
        <v>131</v>
      </c>
      <c r="C45" s="171">
        <f>标准成本!E8</f>
        <v>28.9735789674248</v>
      </c>
      <c r="D45" s="171">
        <f>标准成本!E20</f>
        <v>11.2374211991026</v>
      </c>
      <c r="E45" s="171">
        <f>标准成本!E33</f>
        <v>13.9639923220506</v>
      </c>
      <c r="F45" s="173"/>
      <c r="Q45" s="162" t="s">
        <v>131</v>
      </c>
      <c r="AG45" s="162" t="s">
        <v>115</v>
      </c>
      <c r="AH45" s="162" t="s">
        <v>131</v>
      </c>
    </row>
    <row r="46" s="149" customFormat="1" spans="1:34">
      <c r="A46" s="152">
        <v>4</v>
      </c>
      <c r="B46" s="174" t="s">
        <v>132</v>
      </c>
      <c r="C46" s="180">
        <f>C21/C6</f>
        <v>0</v>
      </c>
      <c r="D46" s="180">
        <f>D21/D6</f>
        <v>0</v>
      </c>
      <c r="E46" s="180">
        <f>E21/E6</f>
        <v>0</v>
      </c>
      <c r="F46" s="180"/>
      <c r="Q46" s="174" t="s">
        <v>134</v>
      </c>
      <c r="AG46" s="174" t="s">
        <v>72</v>
      </c>
      <c r="AH46" s="174" t="s">
        <v>134</v>
      </c>
    </row>
    <row r="47" s="149" customFormat="1" spans="1:34">
      <c r="A47" s="152">
        <v>5</v>
      </c>
      <c r="B47" s="174" t="s">
        <v>134</v>
      </c>
      <c r="C47" s="180">
        <f>标准成本!E11</f>
        <v>25.564922618316</v>
      </c>
      <c r="D47" s="180">
        <f>标准成本!E23</f>
        <v>9.915371646267</v>
      </c>
      <c r="E47" s="180">
        <f>标准成本!E36</f>
        <v>12.321169695927</v>
      </c>
      <c r="F47" s="180"/>
      <c r="Q47" s="174" t="s">
        <v>134</v>
      </c>
      <c r="AG47" s="174" t="s">
        <v>72</v>
      </c>
      <c r="AH47" s="174" t="s">
        <v>134</v>
      </c>
    </row>
    <row r="48" spans="1:34">
      <c r="A48" s="162" t="s">
        <v>127</v>
      </c>
      <c r="B48" s="167" t="s">
        <v>145</v>
      </c>
      <c r="C48" s="173">
        <f>C40-C43-C44-C45-C47-C46</f>
        <v>1.48148188077819</v>
      </c>
      <c r="D48" s="173">
        <f>D40-D43-D44-D45-D47-D46</f>
        <v>83.7311861972252</v>
      </c>
      <c r="E48" s="173">
        <f>E40-E43-E44-E45-E47-E46</f>
        <v>52.1188020563361</v>
      </c>
      <c r="F48" s="173"/>
      <c r="Q48" s="167" t="s">
        <v>145</v>
      </c>
      <c r="AG48" s="162" t="s">
        <v>144</v>
      </c>
      <c r="AH48" s="167" t="s">
        <v>145</v>
      </c>
    </row>
    <row r="51" spans="3:5">
      <c r="C51" s="181"/>
      <c r="D51" s="181"/>
      <c r="E51" s="181"/>
    </row>
    <row r="54" spans="2:11">
      <c r="B54" s="2"/>
      <c r="C54" s="182"/>
      <c r="D54" s="182"/>
      <c r="E54" s="182"/>
      <c r="F54" s="182"/>
      <c r="G54" s="2"/>
      <c r="H54" s="2"/>
      <c r="I54" s="2"/>
      <c r="J54" s="2"/>
      <c r="K54" s="2"/>
    </row>
    <row r="55" spans="2:11">
      <c r="B55" s="2"/>
      <c r="C55" s="182"/>
      <c r="D55" s="182"/>
      <c r="E55" s="182"/>
      <c r="F55" s="182"/>
      <c r="G55" s="2"/>
      <c r="H55" s="2"/>
      <c r="I55" s="2"/>
      <c r="J55" s="2"/>
      <c r="K55" s="2"/>
    </row>
    <row r="56" spans="2:11">
      <c r="B56" s="2"/>
      <c r="C56" s="182"/>
      <c r="D56" s="182"/>
      <c r="E56" s="182"/>
      <c r="F56" s="182"/>
      <c r="G56" s="2"/>
      <c r="H56" s="2"/>
      <c r="I56" s="2"/>
      <c r="J56" s="2"/>
      <c r="K56" s="2"/>
    </row>
    <row r="57" spans="2:11">
      <c r="B57" s="2"/>
      <c r="C57" s="182"/>
      <c r="D57" s="182"/>
      <c r="E57" s="182"/>
      <c r="F57" s="182"/>
      <c r="G57" s="2"/>
      <c r="H57" s="2"/>
      <c r="I57" s="2"/>
      <c r="J57" s="2"/>
      <c r="K57" s="2"/>
    </row>
    <row r="58" spans="2:11">
      <c r="B58" s="2"/>
      <c r="C58" s="182"/>
      <c r="D58" s="182"/>
      <c r="E58" s="182"/>
      <c r="F58" s="182"/>
      <c r="G58" s="2"/>
      <c r="H58" s="2"/>
      <c r="I58" s="2"/>
      <c r="J58" s="2"/>
      <c r="K58" s="2"/>
    </row>
    <row r="59" spans="2:11">
      <c r="B59" s="2"/>
      <c r="C59" s="182"/>
      <c r="D59" s="182"/>
      <c r="E59" s="182"/>
      <c r="F59" s="182"/>
      <c r="G59" s="2"/>
      <c r="H59" s="2"/>
      <c r="I59" s="2"/>
      <c r="J59" s="2"/>
      <c r="K59" s="2"/>
    </row>
    <row r="60" spans="2:11">
      <c r="B60" s="2"/>
      <c r="C60" s="182"/>
      <c r="D60" s="182"/>
      <c r="E60" s="182"/>
      <c r="F60" s="182"/>
      <c r="G60" s="2"/>
      <c r="H60" s="2"/>
      <c r="I60" s="2"/>
      <c r="J60" s="2"/>
      <c r="K60" s="2"/>
    </row>
    <row r="61" spans="2:11">
      <c r="B61" s="2"/>
      <c r="C61" s="182"/>
      <c r="D61" s="182"/>
      <c r="E61" s="182"/>
      <c r="F61" s="182"/>
      <c r="G61" s="2"/>
      <c r="H61" s="2"/>
      <c r="I61" s="2"/>
      <c r="J61" s="2"/>
      <c r="K61" s="2"/>
    </row>
    <row r="62" spans="2:11">
      <c r="B62" s="2"/>
      <c r="C62" s="182"/>
      <c r="D62" s="182"/>
      <c r="E62" s="182"/>
      <c r="F62" s="182"/>
      <c r="G62" s="2"/>
      <c r="H62" s="2"/>
      <c r="I62" s="2"/>
      <c r="J62" s="2"/>
      <c r="K62" s="2"/>
    </row>
    <row r="63" spans="2:11">
      <c r="B63" s="2"/>
      <c r="C63" s="182"/>
      <c r="D63" s="182"/>
      <c r="E63" s="182"/>
      <c r="F63" s="182"/>
      <c r="G63" s="2"/>
      <c r="H63" s="2"/>
      <c r="I63" s="2"/>
      <c r="J63" s="2"/>
      <c r="K63" s="2"/>
    </row>
    <row r="64" spans="2:11">
      <c r="B64" s="2"/>
      <c r="C64" s="182"/>
      <c r="D64" s="182"/>
      <c r="E64" s="182"/>
      <c r="F64" s="182"/>
      <c r="G64" s="2"/>
      <c r="H64" s="2"/>
      <c r="I64" s="2"/>
      <c r="J64" s="2"/>
      <c r="K64" s="2"/>
    </row>
    <row r="65" spans="2:11">
      <c r="B65" s="2"/>
      <c r="C65" s="182"/>
      <c r="D65" s="182"/>
      <c r="E65" s="182"/>
      <c r="F65" s="182"/>
      <c r="G65" s="2"/>
      <c r="H65" s="2"/>
      <c r="I65" s="2"/>
      <c r="J65" s="2"/>
      <c r="K65" s="2"/>
    </row>
    <row r="66" spans="2:11">
      <c r="B66" s="2"/>
      <c r="C66" s="182"/>
      <c r="D66" s="182"/>
      <c r="E66" s="182"/>
      <c r="F66" s="182"/>
      <c r="G66" s="2"/>
      <c r="H66" s="2"/>
      <c r="I66" s="2"/>
      <c r="J66" s="2"/>
      <c r="K66" s="2"/>
    </row>
    <row r="67" spans="2:7">
      <c r="B67" s="2"/>
      <c r="C67" s="182"/>
      <c r="D67" s="182"/>
      <c r="E67" s="182"/>
      <c r="F67" s="182"/>
      <c r="G67" s="2"/>
    </row>
    <row r="68" spans="2:7">
      <c r="B68" s="2"/>
      <c r="C68" s="182"/>
      <c r="D68" s="182"/>
      <c r="E68" s="182"/>
      <c r="F68" s="182"/>
      <c r="G68" s="2"/>
    </row>
    <row r="69" spans="2:7">
      <c r="B69" s="2"/>
      <c r="C69" s="182"/>
      <c r="D69" s="182"/>
      <c r="E69" s="182"/>
      <c r="F69" s="182"/>
      <c r="G69" s="2"/>
    </row>
    <row r="70" spans="2:7">
      <c r="B70" s="2"/>
      <c r="C70" s="182"/>
      <c r="D70" s="182"/>
      <c r="E70" s="182"/>
      <c r="F70" s="182"/>
      <c r="G70" s="2"/>
    </row>
    <row r="71" spans="2:7">
      <c r="B71" s="2"/>
      <c r="C71" s="182"/>
      <c r="D71" s="182"/>
      <c r="E71" s="182"/>
      <c r="F71" s="182"/>
      <c r="G71" s="2"/>
    </row>
    <row r="72" spans="2:7">
      <c r="B72" s="2"/>
      <c r="C72" s="182"/>
      <c r="D72" s="182"/>
      <c r="E72" s="182"/>
      <c r="F72" s="182"/>
      <c r="G72" s="2"/>
    </row>
    <row r="73" spans="2:7">
      <c r="B73" s="2"/>
      <c r="C73" s="182"/>
      <c r="D73" s="182"/>
      <c r="E73" s="182"/>
      <c r="F73" s="182"/>
      <c r="G73" s="2"/>
    </row>
    <row r="74" spans="2:7">
      <c r="B74" s="2"/>
      <c r="C74" s="182"/>
      <c r="D74" s="182"/>
      <c r="E74" s="182"/>
      <c r="F74" s="182"/>
      <c r="G74" s="2"/>
    </row>
  </sheetData>
  <mergeCells count="8">
    <mergeCell ref="A1:B1"/>
    <mergeCell ref="C1:F1"/>
    <mergeCell ref="A2:B2"/>
    <mergeCell ref="C2:F2"/>
    <mergeCell ref="A3:B3"/>
    <mergeCell ref="A4:B4"/>
    <mergeCell ref="A5:B5"/>
    <mergeCell ref="F3:F5"/>
  </mergeCells>
  <printOptions horizontalCentered="1"/>
  <pageMargins left="0.393700787401575" right="0.31496062992126" top="0.354330708661417" bottom="0.15748031496063" header="0.31496062992126" footer="0.31496062992126"/>
  <pageSetup paperSize="9" orientation="landscape"/>
  <headerFooter/>
  <rowBreaks count="1" manualBreakCount="1">
    <brk id="2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假设条件</vt:lpstr>
      <vt:lpstr>现金</vt:lpstr>
      <vt:lpstr>损益表</vt:lpstr>
      <vt:lpstr>2024年</vt:lpstr>
      <vt:lpstr>2025年</vt:lpstr>
      <vt:lpstr>2026年</vt:lpstr>
      <vt:lpstr>2027年</vt:lpstr>
      <vt:lpstr>2028年</vt:lpstr>
      <vt:lpstr>2029年</vt:lpstr>
      <vt:lpstr>2030年</vt:lpstr>
      <vt:lpstr>项目投资</vt:lpstr>
      <vt:lpstr>销量</vt:lpstr>
      <vt:lpstr>材料成本</vt:lpstr>
      <vt:lpstr>其他</vt:lpstr>
      <vt:lpstr>标准成本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哿 偉</cp:lastModifiedBy>
  <dcterms:created xsi:type="dcterms:W3CDTF">2006-09-13T11:21:00Z</dcterms:created>
  <dcterms:modified xsi:type="dcterms:W3CDTF">2024-08-01T05:42:33Z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9545D4B7266740A89BCEAE7E60B7E103</vt:lpwstr>
  </property>
</Properties>
</file>