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78ECD428-CF3F-4912-9F10-4E5AF90A784A}" xr6:coauthVersionLast="47" xr6:coauthVersionMax="47" xr10:uidLastSave="{00000000-0000-0000-0000-000000000000}"/>
  <bookViews>
    <workbookView xWindow="-120" yWindow="-120" windowWidth="24240" windowHeight="13140" activeTab="6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  <sheet name="2024.9.24" sheetId="6" r:id="rId6"/>
    <sheet name="2024.10.9" sheetId="7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7" l="1"/>
  <c r="I4" i="7"/>
  <c r="Q4" i="7"/>
  <c r="L4" i="7"/>
  <c r="V4" i="7"/>
  <c r="I15" i="6"/>
  <c r="I14" i="6" l="1"/>
  <c r="I13" i="6"/>
  <c r="I24" i="6"/>
  <c r="I23" i="6"/>
  <c r="I22" i="6"/>
  <c r="I21" i="6"/>
  <c r="I20" i="6"/>
  <c r="I19" i="6"/>
  <c r="I18" i="6"/>
  <c r="I10" i="6"/>
  <c r="I9" i="6"/>
  <c r="I8" i="6"/>
  <c r="I7" i="6"/>
  <c r="I6" i="6" l="1"/>
  <c r="I4" i="6"/>
  <c r="I5" i="6"/>
  <c r="I17" i="6" l="1"/>
  <c r="I16" i="6"/>
  <c r="I12" i="6"/>
  <c r="I11" i="6"/>
  <c r="I3" i="6"/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BB179B4D-B742-42B8-AA11-2DE3775A336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EA72BAF8-A013-4088-A646-FACD1E67B8AF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<sst xmlns="http://schemas.openxmlformats.org/spreadsheetml/2006/main" count="600" uniqueCount="244">
  <si>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</si>
  <si>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</si>
  <si>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</si>
  <si>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</si>
  <si>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</si>
  <si>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</si>
  <si>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</si>
  <si>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</si>
  <si>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</si>
  <si>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</si>
  <si>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</si>
  <si>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</si>
  <si>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</si>
  <si>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</si>
  <si>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</si>
  <si>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</si>
  <si>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</si>
  <si>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</si>
  <si>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</si>
  <si>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</si>
  <si>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</si>
  <si>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</si>
  <si>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</si>
  <si>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</si>
  <si>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</si>
  <si>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</si>
  <si>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</si>
  <si>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</si>
  <si>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</si>
  <si>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</si>
  <si>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</si>
  <si>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</si>
  <si>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</si>
  <si>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</si>
  <si>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</si>
  <si>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</si>
  <si>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</si>
  <si>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</si>
  <si>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</si>
  <si>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</si>
  <si>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</si>
  <si>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</si>
  <si>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</si>
  <si>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</si>
  <si>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</si>
  <si>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</si>
  <si>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</si>
  <si>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</si>
  <si>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</si>
  <si>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</si>
  <si>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</si>
  <si>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</si>
  <si>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</si>
  <si>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</si>
  <si>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</si>
  <si>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</si>
  <si>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</si>
  <si>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</si>
  <si>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</si>
  <si>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</si>
  <si>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</si>
  <si>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</si>
  <si>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</si>
  <si>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</si>
  <si>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</si>
  <si>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</si>
  <si>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</si>
  <si>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</si>
  <si>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</si>
  <si>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</si>
  <si>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</si>
  <si>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</si>
  <si>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</si>
  <si>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</si>
  <si>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</si>
  <si>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</si>
  <si>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</si>
  <si>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</si>
  <si>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</si>
  <si>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</si>
  <si>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</si>
  <si>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</si>
  <si>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</si>
  <si>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</si>
  <si>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</si>
  <si>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</si>
  <si>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</si>
  <si>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</si>
  <si>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</si>
  <si>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</si>
  <si>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</si>
  <si>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</si>
  <si>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</si>
  <si>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</si>
  <si>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</si>
  <si>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</si>
  <si>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</si>
  <si>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</si>
  <si>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</si>
  <si>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</si>
  <si>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</si>
  <si>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</si>
  <si>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</si>
  <si>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</si>
  <si>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</si>
  <si>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</si>
  <si>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</si>
  <si>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</si>
  <si>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</si>
  <si>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</si>
  <si>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</si>
  <si>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</si>
  <si>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</si>
  <si>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</si>
  <si>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</si>
  <si>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</si>
  <si>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</si>
  <si>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</si>
  <si>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</si>
  <si>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</si>
  <si>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</si>
  <si>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</si>
  <si>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</si>
  <si>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</si>
  <si>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</si>
  <si>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</si>
  <si>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</si>
  <si>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</si>
  <si>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</si>
  <si>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</si>
  <si>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</si>
  <si>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</si>
  <si>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</si>
  <si>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</si>
  <si>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</si>
  <si>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</si>
  <si>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</si>
  <si>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</si>
  <si>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</si>
  <si>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</si>
  <si>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</si>
  <si>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</si>
  <si>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</si>
  <si>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</si>
  <si>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</si>
  <si>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</si>
  <si>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</si>
  <si>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</si>
  <si>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</si>
  <si>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</si>
  <si>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</si>
  <si>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</si>
  <si>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</si>
  <si>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</si>
  <si>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</si>
  <si>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</si>
  <si>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</si>
  <si>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</si>
  <si>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</si>
  <si>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</si>
  <si>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</si>
  <si>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</si>
  <si>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</si>
  <si>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</si>
  <si>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</si>
  <si>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</si>
  <si>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</si>
  <si>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</si>
  <si>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</si>
  <si>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</si>
  <si>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</si>
  <si>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</si>
  <si>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</si>
  <si>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</si>
  <si>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</si>
  <si>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</si>
  <si>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</si>
  <si>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</si>
  <si>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</si>
  <si>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</si>
  <si>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</si>
  <si>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</si>
  <si>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</si>
  <si>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</si>
  <si>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</si>
  <si>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</si>
  <si>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</si>
  <si>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</si>
  <si>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</si>
  <si>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</si>
  <si>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</si>
  <si>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</si>
  <si>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</si>
  <si>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</si>
  <si>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</si>
  <si>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</si>
  <si>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</si>
  <si>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</si>
  <si>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</si>
  <si>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</si>
  <si>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</si>
  <si>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</si>
  <si>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</si>
  <si>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</si>
  <si>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</si>
  <si>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</si>
  <si>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</si>
  <si>
    <t>1880副司机小背泡沫总成</t>
  </si>
  <si>
    <t>1880副驾驶员座垫泡沫总成</t>
  </si>
  <si>
    <t>SLT0002480</t>
  </si>
  <si>
    <t>1730副司机座布套</t>
  </si>
  <si>
    <t>SLT0002479</t>
  </si>
  <si>
    <t>1730小背布套</t>
  </si>
  <si>
    <t>SLT0002153</t>
  </si>
  <si>
    <t>1730小背置物盒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</si>
  <si>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</si>
  <si>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</si>
  <si>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</si>
  <si>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</si>
  <si>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</si>
  <si>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</si>
  <si>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SLT0011914</t>
  </si>
  <si>
    <t>驾驶员座椅靠背面套LM4</t>
  </si>
  <si>
    <t>SLT0011916</t>
  </si>
  <si>
    <t>驾驶员座椅座垫面套总成LM4</t>
  </si>
  <si>
    <t>SLT0011999</t>
  </si>
  <si>
    <t>驾驶员靠背泡沫总成老M4换面料</t>
  </si>
  <si>
    <t>M42060副司机座泡沫</t>
  </si>
  <si>
    <t>SLT0000812</t>
  </si>
  <si>
    <t>2060副司机座布套M4奥铃</t>
  </si>
  <si>
    <t>SLT0000811</t>
  </si>
  <si>
    <t>M4奥铃2060小背布套</t>
  </si>
  <si>
    <t>SLT0000801</t>
  </si>
  <si>
    <t>M4小背骨架(2060)骨架</t>
  </si>
  <si>
    <t>SLT0010696</t>
  </si>
  <si>
    <t>扶手总成 / 济南轻卡统帅</t>
  </si>
  <si>
    <t>SLT0010701</t>
  </si>
  <si>
    <t>扶手总成堵盖 / 济南轻卡统帅</t>
  </si>
  <si>
    <t>SBS0010124</t>
  </si>
  <si>
    <t>驾驶员滑轨总成 / 福田奥杰EVC3</t>
  </si>
  <si>
    <t>EA</t>
    <phoneticPr fontId="2" type="noConversion"/>
  </si>
  <si>
    <t>发泡净重</t>
    <phoneticPr fontId="2" type="noConversion"/>
  </si>
  <si>
    <t>辅件金额</t>
    <phoneticPr fontId="2" type="noConversion"/>
  </si>
  <si>
    <t>PP改性料(深灰)64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</si>
</sst>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20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/>
  </cellStyleXfs>
  <cellXfs count="8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8" fillId="0" borderId="0" xfId="0" applyFont="1">
      <alignment vertical="center"/>
    </xf>
    <xf numFmtId="0" fontId="17" fillId="6" borderId="1" xfId="0" applyFont="1" applyFill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181" fontId="18" fillId="0" borderId="1" xfId="0" applyNumberFormat="1" applyFont="1" applyBorder="1">
      <alignment vertical="center"/>
    </xf>
    <xf numFmtId="180" fontId="18" fillId="0" borderId="1" xfId="0" applyNumberFormat="1" applyFont="1" applyBorder="1">
      <alignment vertical="center"/>
    </xf>
    <xf numFmtId="181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>
      <alignment vertical="center"/>
    </xf>
    <xf numFmtId="178" fontId="18" fillId="4" borderId="1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0" fontId="8" fillId="0" borderId="1" xfId="0" applyNumberFormat="1" applyFont="1" applyBorder="1">
      <alignment vertical="center"/>
    </xf>
  </cellXfs>
  <cellStyles count="4">
    <cellStyle name="常规" xfId="0" builtinId="0"/>
    <cellStyle name="常规 2" xfId="2" xr:uid="{00FC6305-9720-4FA7-81B0-013A5E3577E8}"/>
    <cellStyle name="常规 3" xfId="3" xr:uid="{1CD52A6F-759A-47CF-9F90-CB8E4BF90F91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N16" sqref="N16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">
      <c r="A2" s="9" t="s">
        <v>29</v>
      </c>
      <c r="B2" s="83" t="s">
        <v>30</v>
      </c>
      <c r="C2" s="64" t="s">
        <v>31</v>
      </c>
      <c r="D2" s="64" t="s">
        <v>32</v>
      </c>
      <c r="E2" s="65" t="s">
        <v>33</v>
      </c>
      <c r="F2" s="66"/>
      <c r="G2" s="67" t="s">
        <v>34</v>
      </c>
      <c r="H2" s="68" t="s">
        <v>35</v>
      </c>
      <c r="I2" s="67" t="s">
        <v>36</v>
      </c>
      <c r="J2" s="79" t="s">
        <v>37</v>
      </c>
      <c r="K2" s="80" t="s">
        <v>38</v>
      </c>
      <c r="L2" s="81" t="s">
        <v>39</v>
      </c>
      <c r="M2" s="74" t="s">
        <v>58</v>
      </c>
      <c r="N2" s="64" t="s">
        <v>40</v>
      </c>
      <c r="O2" s="74" t="s">
        <v>41</v>
      </c>
      <c r="P2" s="74" t="s">
        <v>42</v>
      </c>
      <c r="Q2" s="67" t="s">
        <v>43</v>
      </c>
      <c r="R2" s="75" t="s">
        <v>44</v>
      </c>
      <c r="S2" s="76" t="s">
        <v>45</v>
      </c>
      <c r="T2" s="77" t="s">
        <v>46</v>
      </c>
      <c r="U2" s="70" t="s">
        <v>47</v>
      </c>
      <c r="V2" s="72" t="s">
        <v>48</v>
      </c>
    </row>
    <row r="3" spans="1:22" x14ac:dyDescent="0.2">
      <c r="A3" s="10" t="s">
        <v>49</v>
      </c>
      <c r="B3" s="83"/>
      <c r="C3" s="64"/>
      <c r="D3" s="64" t="s">
        <v>32</v>
      </c>
      <c r="E3" s="11" t="s">
        <v>50</v>
      </c>
      <c r="F3" s="12" t="s">
        <v>51</v>
      </c>
      <c r="G3" s="67"/>
      <c r="H3" s="69"/>
      <c r="I3" s="67"/>
      <c r="J3" s="79"/>
      <c r="K3" s="80"/>
      <c r="L3" s="82"/>
      <c r="M3" s="74"/>
      <c r="N3" s="64"/>
      <c r="O3" s="74"/>
      <c r="P3" s="74"/>
      <c r="Q3" s="67"/>
      <c r="R3" s="75"/>
      <c r="S3" s="75"/>
      <c r="T3" s="78"/>
      <c r="U3" s="71"/>
      <c r="V3" s="72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  <mergeCell ref="C2:C3"/>
    <mergeCell ref="D2:D3"/>
    <mergeCell ref="E2:F2"/>
    <mergeCell ref="G2:G3"/>
    <mergeCell ref="H2:H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84" t="s">
        <v>60</v>
      </c>
      <c r="B1" s="84"/>
      <c r="C1" s="84"/>
      <c r="D1" s="84"/>
      <c r="E1" s="84"/>
      <c r="F1" s="84"/>
      <c r="G1" s="84"/>
      <c r="H1" s="84"/>
      <c r="I1" s="84"/>
      <c r="J1" s="84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zoomScaleSheetLayoutView="100" workbookViewId="0">
      <selection activeCell="I26" sqref="I26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84" t="s">
        <v>60</v>
      </c>
      <c r="B1" s="84"/>
      <c r="C1" s="84"/>
      <c r="D1" s="84"/>
      <c r="E1" s="84"/>
      <c r="F1" s="84"/>
      <c r="G1" s="84"/>
      <c r="H1" s="84"/>
      <c r="I1" s="84"/>
      <c r="J1" s="85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41">
        <f>0.0822*1.03</f>
        <v>8.4665999999999991E-2</v>
      </c>
      <c r="J3" s="40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41">
        <f>0.2478*1.03</f>
        <v>0.25523400000000002</v>
      </c>
      <c r="J4" s="40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41">
        <f>28.76*1.03</f>
        <v>29.622800000000002</v>
      </c>
      <c r="J5" s="40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41">
        <f>31.28*1.03</f>
        <v>32.218400000000003</v>
      </c>
      <c r="J6" s="40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41">
        <f>19.785*1.03</f>
        <v>20.378550000000001</v>
      </c>
      <c r="J7" s="40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41">
        <f>19.97*1.03</f>
        <v>20.569099999999999</v>
      </c>
      <c r="J8" s="40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41">
        <f>0.669*1.03</f>
        <v>0.68907000000000007</v>
      </c>
      <c r="J9" s="40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41">
        <f>26.5*1.03</f>
        <v>27.295000000000002</v>
      </c>
      <c r="J10" s="40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41">
        <f>24.8295*1.03</f>
        <v>25.574384999999999</v>
      </c>
      <c r="J11" s="40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41">
        <f>1.3*20+1.89*1.03</f>
        <v>27.9467</v>
      </c>
      <c r="J12" s="40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41">
        <f>1.3154*1.03</f>
        <v>1.354862</v>
      </c>
      <c r="J13" s="42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41">
        <f>45.35*1.03</f>
        <v>46.710500000000003</v>
      </c>
      <c r="J14" s="42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41">
        <f>0.4085*1.03</f>
        <v>0.42075499999999999</v>
      </c>
      <c r="J15" s="42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41">
        <f>0.2393*1.03</f>
        <v>0.24647900000000003</v>
      </c>
      <c r="J16" s="42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41">
        <f>1.2*1.03</f>
        <v>1.236</v>
      </c>
      <c r="J17" s="42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41">
        <f>2.188*1.03</f>
        <v>2.2536400000000003</v>
      </c>
      <c r="J18" s="42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41">
        <f>0.4507*1.03</f>
        <v>0.46422099999999999</v>
      </c>
      <c r="J19" s="42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41">
        <f>0.209*1.03</f>
        <v>0.21526999999999999</v>
      </c>
      <c r="J20" s="42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41">
        <f>19.12*1.03</f>
        <v>19.6936</v>
      </c>
      <c r="J21" s="42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41">
        <f>17.16*1.03</f>
        <v>17.674800000000001</v>
      </c>
      <c r="J22" s="42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41">
        <f>0.78*1.03</f>
        <v>0.8034</v>
      </c>
      <c r="J23" s="42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41">
        <f>17.99*1.03</f>
        <v>18.529699999999998</v>
      </c>
      <c r="J24" s="42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41">
        <v>9.3000000000000007</v>
      </c>
      <c r="J25" s="40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41">
        <v>8.43</v>
      </c>
      <c r="J26" s="40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41">
        <f>7.7785*1.03</f>
        <v>8.0118550000000006</v>
      </c>
      <c r="J27" s="40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41">
        <f>27.8383*1.03</f>
        <v>28.673449000000002</v>
      </c>
      <c r="J28" s="40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41">
        <f>1.45*20+1.47*1.03</f>
        <v>30.514099999999999</v>
      </c>
      <c r="J29" s="40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41">
        <f>0.8923*1.03</f>
        <v>0.91906900000000002</v>
      </c>
      <c r="J30" s="40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41">
        <f>1.05*20+1.52*1.03</f>
        <v>22.5656</v>
      </c>
      <c r="J31" s="40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41">
        <f>5.75*1.03</f>
        <v>5.9225000000000003</v>
      </c>
      <c r="J32" s="40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41">
        <f>4.7098*1.03</f>
        <v>4.8510940000000007</v>
      </c>
      <c r="J33" s="40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41">
        <f>0.1111*1.03</f>
        <v>0.11443300000000001</v>
      </c>
      <c r="J34" s="40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41">
        <f>0.0896*1.03</f>
        <v>9.2287999999999995E-2</v>
      </c>
      <c r="J35" s="40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41">
        <f>0.0637*1.03</f>
        <v>6.5611000000000003E-2</v>
      </c>
      <c r="J36" s="40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41">
        <f>8.5*1.03</f>
        <v>8.7550000000000008</v>
      </c>
      <c r="J37" s="40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41">
        <f>1.79*1.03</f>
        <v>1.8437000000000001</v>
      </c>
      <c r="J38" s="40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41">
        <f>0.0456*1.03</f>
        <v>4.6968000000000003E-2</v>
      </c>
      <c r="J39" s="40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41">
        <f>0.188*1.03</f>
        <v>0.19364000000000001</v>
      </c>
      <c r="J40" s="40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8DD-31E3-4C98-9C5E-7A573AFB732A}">
  <dimension ref="A1:L4"/>
  <sheetViews>
    <sheetView zoomScaleSheetLayoutView="100" workbookViewId="0">
      <selection sqref="A1:J1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84" t="s">
        <v>60</v>
      </c>
      <c r="B1" s="84"/>
      <c r="C1" s="84"/>
      <c r="D1" s="84"/>
      <c r="E1" s="84"/>
      <c r="F1" s="84"/>
      <c r="G1" s="84"/>
      <c r="H1" s="84"/>
      <c r="I1" s="84"/>
      <c r="J1" s="85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23</v>
      </c>
      <c r="B3" s="29" t="s">
        <v>73</v>
      </c>
      <c r="C3" s="30"/>
      <c r="D3" s="30"/>
      <c r="E3" s="30" t="s">
        <v>164</v>
      </c>
      <c r="F3" s="29" t="s">
        <v>163</v>
      </c>
      <c r="G3" s="32" t="s">
        <v>76</v>
      </c>
      <c r="H3" s="29" t="s">
        <v>77</v>
      </c>
      <c r="I3" s="41">
        <v>9.3000000000000007</v>
      </c>
      <c r="J3" s="40"/>
      <c r="K3" s="30"/>
      <c r="L3" s="30"/>
    </row>
    <row r="4" spans="1:12" x14ac:dyDescent="0.15">
      <c r="A4" s="29">
        <v>24</v>
      </c>
      <c r="B4" s="29" t="s">
        <v>73</v>
      </c>
      <c r="C4" s="30"/>
      <c r="D4" s="30"/>
      <c r="E4" s="30" t="s">
        <v>162</v>
      </c>
      <c r="F4" s="29" t="s">
        <v>161</v>
      </c>
      <c r="G4" s="32" t="s">
        <v>76</v>
      </c>
      <c r="H4" s="29" t="s">
        <v>77</v>
      </c>
      <c r="I4" s="41">
        <v>8.43</v>
      </c>
      <c r="J4" s="40"/>
      <c r="K4" s="30"/>
      <c r="L4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12EB-16EB-412E-AD33-0CF42E8BA30B}">
  <dimension ref="A1:N24"/>
  <sheetViews>
    <sheetView workbookViewId="0">
      <selection activeCell="P17" sqref="P17"/>
    </sheetView>
  </sheetViews>
  <sheetFormatPr defaultRowHeight="16.5" x14ac:dyDescent="0.2"/>
  <cols>
    <col min="1" max="1" width="4.75" style="47" bestFit="1" customWidth="1"/>
    <col min="2" max="2" width="8" style="47" bestFit="1" customWidth="1"/>
    <col min="3" max="3" width="11.375" style="47" bestFit="1" customWidth="1"/>
    <col min="4" max="4" width="8" style="47" bestFit="1" customWidth="1"/>
    <col min="5" max="5" width="11.75" style="56" bestFit="1" customWidth="1"/>
    <col min="6" max="6" width="26.875" style="47" bestFit="1" customWidth="1"/>
    <col min="7" max="7" width="8" style="47" bestFit="1" customWidth="1"/>
    <col min="8" max="8" width="9.25" style="47" bestFit="1" customWidth="1"/>
    <col min="9" max="9" width="9.25" style="57" bestFit="1" customWidth="1"/>
    <col min="10" max="11" width="5.5" style="47" bestFit="1" customWidth="1"/>
    <col min="12" max="12" width="6.25" style="47" bestFit="1" customWidth="1"/>
    <col min="13" max="13" width="9" style="58"/>
    <col min="14" max="16384" width="9" style="47"/>
  </cols>
  <sheetData>
    <row r="1" spans="1:14" ht="21" x14ac:dyDescent="0.2">
      <c r="A1" s="86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4" x14ac:dyDescent="0.2">
      <c r="A2" s="48" t="s">
        <v>0</v>
      </c>
      <c r="B2" s="48" t="s">
        <v>61</v>
      </c>
      <c r="C2" s="48" t="s">
        <v>62</v>
      </c>
      <c r="D2" s="48" t="s">
        <v>63</v>
      </c>
      <c r="E2" s="48" t="s">
        <v>2</v>
      </c>
      <c r="F2" s="48" t="s">
        <v>64</v>
      </c>
      <c r="G2" s="48" t="s">
        <v>65</v>
      </c>
      <c r="H2" s="48" t="s">
        <v>66</v>
      </c>
      <c r="I2" s="60" t="s">
        <v>67</v>
      </c>
      <c r="J2" s="49" t="s">
        <v>5</v>
      </c>
      <c r="K2" s="50" t="s">
        <v>68</v>
      </c>
      <c r="L2" s="50" t="s">
        <v>11</v>
      </c>
      <c r="M2" s="59" t="s">
        <v>241</v>
      </c>
      <c r="N2" s="50" t="s">
        <v>242</v>
      </c>
    </row>
    <row r="3" spans="1:14" x14ac:dyDescent="0.35">
      <c r="A3" s="51">
        <v>1</v>
      </c>
      <c r="B3" s="51" t="s">
        <v>73</v>
      </c>
      <c r="C3" s="52"/>
      <c r="D3" s="45"/>
      <c r="E3" s="51" t="s">
        <v>121</v>
      </c>
      <c r="F3" s="46" t="s">
        <v>207</v>
      </c>
      <c r="G3" s="46" t="s">
        <v>240</v>
      </c>
      <c r="H3" s="51"/>
      <c r="I3" s="62">
        <f>M3*20+N3*1.03+L3</f>
        <v>13.23461</v>
      </c>
      <c r="J3" s="53"/>
      <c r="K3" s="52"/>
      <c r="L3" s="51">
        <v>1.6</v>
      </c>
      <c r="M3" s="61">
        <v>0.5</v>
      </c>
      <c r="N3" s="52">
        <v>1.587</v>
      </c>
    </row>
    <row r="4" spans="1:14" x14ac:dyDescent="0.35">
      <c r="A4" s="51">
        <v>2</v>
      </c>
      <c r="B4" s="51" t="s">
        <v>73</v>
      </c>
      <c r="C4" s="52"/>
      <c r="D4" s="45"/>
      <c r="E4" s="51" t="s">
        <v>119</v>
      </c>
      <c r="F4" s="46" t="s">
        <v>208</v>
      </c>
      <c r="G4" s="46" t="s">
        <v>240</v>
      </c>
      <c r="H4" s="51"/>
      <c r="I4" s="62">
        <f>M4*20+N4*1.03+L4</f>
        <v>84.994500000000002</v>
      </c>
      <c r="J4" s="53"/>
      <c r="K4" s="52"/>
      <c r="L4" s="51">
        <v>4.3</v>
      </c>
      <c r="M4" s="61">
        <v>3.1</v>
      </c>
      <c r="N4" s="52">
        <v>18.149999999999999</v>
      </c>
    </row>
    <row r="5" spans="1:14" x14ac:dyDescent="0.35">
      <c r="A5" s="51">
        <v>3</v>
      </c>
      <c r="B5" s="51" t="s">
        <v>73</v>
      </c>
      <c r="C5" s="52"/>
      <c r="D5" s="45"/>
      <c r="E5" s="51" t="s">
        <v>209</v>
      </c>
      <c r="F5" s="46" t="s">
        <v>210</v>
      </c>
      <c r="G5" s="46" t="s">
        <v>240</v>
      </c>
      <c r="H5" s="51"/>
      <c r="I5" s="62">
        <f>37.0642*1.03+L5</f>
        <v>38.676126000000004</v>
      </c>
      <c r="J5" s="53"/>
      <c r="K5" s="52"/>
      <c r="L5" s="51">
        <v>0.5</v>
      </c>
      <c r="M5" s="61"/>
      <c r="N5" s="52"/>
    </row>
    <row r="6" spans="1:14" x14ac:dyDescent="0.35">
      <c r="A6" s="51">
        <v>4</v>
      </c>
      <c r="B6" s="51" t="s">
        <v>73</v>
      </c>
      <c r="C6" s="52"/>
      <c r="D6" s="45"/>
      <c r="E6" s="51" t="s">
        <v>211</v>
      </c>
      <c r="F6" s="46" t="s">
        <v>212</v>
      </c>
      <c r="G6" s="46" t="s">
        <v>240</v>
      </c>
      <c r="H6" s="51"/>
      <c r="I6" s="62">
        <f>15.1998*1.03+L6</f>
        <v>15.845794</v>
      </c>
      <c r="J6" s="53"/>
      <c r="K6" s="52"/>
      <c r="L6" s="51">
        <v>0.19</v>
      </c>
      <c r="M6" s="61"/>
      <c r="N6" s="52"/>
    </row>
    <row r="7" spans="1:14" x14ac:dyDescent="0.35">
      <c r="A7" s="51">
        <v>5</v>
      </c>
      <c r="B7" s="51" t="s">
        <v>73</v>
      </c>
      <c r="C7" s="52"/>
      <c r="D7" s="45"/>
      <c r="E7" s="51" t="s">
        <v>213</v>
      </c>
      <c r="F7" s="46" t="s">
        <v>214</v>
      </c>
      <c r="G7" s="46" t="s">
        <v>240</v>
      </c>
      <c r="H7" s="51"/>
      <c r="I7" s="62">
        <f>6.06+L7</f>
        <v>6.56</v>
      </c>
      <c r="J7" s="53"/>
      <c r="K7" s="52"/>
      <c r="L7" s="51">
        <v>0.5</v>
      </c>
      <c r="M7" s="61"/>
      <c r="N7" s="52"/>
    </row>
    <row r="8" spans="1:14" x14ac:dyDescent="0.35">
      <c r="A8" s="51">
        <v>6</v>
      </c>
      <c r="B8" s="51" t="s">
        <v>73</v>
      </c>
      <c r="C8" s="54"/>
      <c r="D8" s="45"/>
      <c r="E8" s="51" t="s">
        <v>215</v>
      </c>
      <c r="F8" s="46" t="s">
        <v>216</v>
      </c>
      <c r="G8" s="46" t="s">
        <v>240</v>
      </c>
      <c r="H8" s="51"/>
      <c r="I8" s="62">
        <f>28.98*1.03+L8</f>
        <v>30.349400000000003</v>
      </c>
      <c r="J8" s="53"/>
      <c r="K8" s="52"/>
      <c r="L8" s="51">
        <v>0.5</v>
      </c>
      <c r="M8" s="61"/>
      <c r="N8" s="52"/>
    </row>
    <row r="9" spans="1:14" x14ac:dyDescent="0.35">
      <c r="A9" s="51">
        <v>7</v>
      </c>
      <c r="B9" s="51" t="s">
        <v>73</v>
      </c>
      <c r="C9" s="54"/>
      <c r="D9" s="45"/>
      <c r="E9" s="51" t="s">
        <v>217</v>
      </c>
      <c r="F9" s="46" t="s">
        <v>218</v>
      </c>
      <c r="G9" s="46" t="s">
        <v>240</v>
      </c>
      <c r="H9" s="51"/>
      <c r="I9" s="62">
        <f>23.65*1.03+L9</f>
        <v>24.759499999999999</v>
      </c>
      <c r="J9" s="53"/>
      <c r="K9" s="52"/>
      <c r="L9" s="51">
        <v>0.4</v>
      </c>
      <c r="M9" s="61"/>
      <c r="N9" s="52"/>
    </row>
    <row r="10" spans="1:14" x14ac:dyDescent="0.35">
      <c r="A10" s="51">
        <v>8</v>
      </c>
      <c r="B10" s="51" t="s">
        <v>73</v>
      </c>
      <c r="C10" s="54"/>
      <c r="D10" s="45"/>
      <c r="E10" s="51" t="s">
        <v>219</v>
      </c>
      <c r="F10" s="46" t="s">
        <v>220</v>
      </c>
      <c r="G10" s="46" t="s">
        <v>240</v>
      </c>
      <c r="H10" s="51"/>
      <c r="I10" s="62">
        <f>12.31*1.03+L10</f>
        <v>12.869300000000001</v>
      </c>
      <c r="J10" s="53"/>
      <c r="K10" s="52"/>
      <c r="L10" s="51">
        <v>0.19</v>
      </c>
      <c r="M10" s="61"/>
      <c r="N10" s="52"/>
    </row>
    <row r="11" spans="1:14" x14ac:dyDescent="0.35">
      <c r="A11" s="51">
        <v>9</v>
      </c>
      <c r="B11" s="51" t="s">
        <v>73</v>
      </c>
      <c r="C11" s="54"/>
      <c r="D11" s="45"/>
      <c r="E11" s="51" t="s">
        <v>133</v>
      </c>
      <c r="F11" s="46" t="s">
        <v>134</v>
      </c>
      <c r="G11" s="46" t="s">
        <v>240</v>
      </c>
      <c r="H11" s="51"/>
      <c r="I11" s="62">
        <f>M11*20+N11*1.03+L11</f>
        <v>86.970299999999995</v>
      </c>
      <c r="J11" s="53"/>
      <c r="K11" s="52"/>
      <c r="L11" s="51">
        <v>4.3</v>
      </c>
      <c r="M11" s="61">
        <v>3</v>
      </c>
      <c r="N11" s="52">
        <v>22.01</v>
      </c>
    </row>
    <row r="12" spans="1:14" x14ac:dyDescent="0.35">
      <c r="A12" s="51">
        <v>10</v>
      </c>
      <c r="B12" s="51" t="s">
        <v>73</v>
      </c>
      <c r="C12" s="51"/>
      <c r="D12" s="51"/>
      <c r="E12" s="51" t="s">
        <v>135</v>
      </c>
      <c r="F12" s="51" t="s">
        <v>136</v>
      </c>
      <c r="G12" s="46" t="s">
        <v>240</v>
      </c>
      <c r="H12" s="51"/>
      <c r="I12" s="62">
        <f>M12*20+N12*1.03+L12</f>
        <v>11.199589999999999</v>
      </c>
      <c r="J12" s="55"/>
      <c r="K12" s="52"/>
      <c r="L12" s="51">
        <v>1.6</v>
      </c>
      <c r="M12" s="61">
        <v>0.4</v>
      </c>
      <c r="N12" s="52">
        <v>1.5529999999999999</v>
      </c>
    </row>
    <row r="13" spans="1:14" x14ac:dyDescent="0.35">
      <c r="A13" s="51">
        <v>11</v>
      </c>
      <c r="B13" s="51" t="s">
        <v>73</v>
      </c>
      <c r="C13" s="51"/>
      <c r="D13" s="51"/>
      <c r="E13" s="51" t="s">
        <v>221</v>
      </c>
      <c r="F13" s="51" t="s">
        <v>222</v>
      </c>
      <c r="G13" s="46" t="s">
        <v>240</v>
      </c>
      <c r="H13" s="51"/>
      <c r="I13" s="62">
        <f>(39.69628+11.628+4.1154)*1.05+L13</f>
        <v>58.611664000000005</v>
      </c>
      <c r="J13" s="55"/>
      <c r="K13" s="52"/>
      <c r="L13" s="51">
        <v>0.4</v>
      </c>
      <c r="M13" s="61"/>
      <c r="N13" s="52"/>
    </row>
    <row r="14" spans="1:14" x14ac:dyDescent="0.35">
      <c r="A14" s="51">
        <v>12</v>
      </c>
      <c r="B14" s="51" t="s">
        <v>73</v>
      </c>
      <c r="C14" s="51"/>
      <c r="D14" s="51"/>
      <c r="E14" s="51" t="s">
        <v>223</v>
      </c>
      <c r="F14" s="51" t="s">
        <v>224</v>
      </c>
      <c r="G14" s="46" t="s">
        <v>240</v>
      </c>
      <c r="H14" s="51"/>
      <c r="I14" s="62">
        <f>(24.14675+5.814+2.0577)*1.05+L14</f>
        <v>33.919372500000001</v>
      </c>
      <c r="J14" s="55"/>
      <c r="K14" s="52"/>
      <c r="L14" s="51">
        <v>0.3</v>
      </c>
      <c r="M14" s="61"/>
      <c r="N14" s="52"/>
    </row>
    <row r="15" spans="1:14" x14ac:dyDescent="0.35">
      <c r="A15" s="51">
        <v>13</v>
      </c>
      <c r="B15" s="51" t="s">
        <v>73</v>
      </c>
      <c r="C15" s="51"/>
      <c r="D15" s="51"/>
      <c r="E15" s="51" t="s">
        <v>225</v>
      </c>
      <c r="F15" s="51" t="s">
        <v>226</v>
      </c>
      <c r="G15" s="46" t="s">
        <v>240</v>
      </c>
      <c r="H15" s="51"/>
      <c r="I15" s="62">
        <f>M15*20+N15*1.03+L15</f>
        <v>30.431800000000003</v>
      </c>
      <c r="J15" s="55"/>
      <c r="K15" s="52"/>
      <c r="L15" s="51">
        <v>0.4</v>
      </c>
      <c r="M15" s="61">
        <v>1.42022</v>
      </c>
      <c r="N15" s="52">
        <v>1.58</v>
      </c>
    </row>
    <row r="16" spans="1:14" x14ac:dyDescent="0.35">
      <c r="A16" s="51">
        <v>14</v>
      </c>
      <c r="B16" s="51" t="s">
        <v>73</v>
      </c>
      <c r="C16" s="51"/>
      <c r="D16" s="51"/>
      <c r="E16" s="51" t="s">
        <v>127</v>
      </c>
      <c r="F16" s="51" t="s">
        <v>227</v>
      </c>
      <c r="G16" s="46" t="s">
        <v>240</v>
      </c>
      <c r="H16" s="51"/>
      <c r="I16" s="62">
        <f>M16*20+N16*1.03+L16</f>
        <v>90.034800000000004</v>
      </c>
      <c r="J16" s="55"/>
      <c r="K16" s="52"/>
      <c r="L16" s="51">
        <v>4.3</v>
      </c>
      <c r="M16" s="61">
        <v>3.3</v>
      </c>
      <c r="N16" s="52">
        <v>19.16</v>
      </c>
    </row>
    <row r="17" spans="1:14" x14ac:dyDescent="0.35">
      <c r="A17" s="51">
        <v>15</v>
      </c>
      <c r="B17" s="51" t="s">
        <v>73</v>
      </c>
      <c r="C17" s="51"/>
      <c r="D17" s="51"/>
      <c r="E17" s="51" t="s">
        <v>131</v>
      </c>
      <c r="F17" s="51" t="s">
        <v>132</v>
      </c>
      <c r="G17" s="46" t="s">
        <v>240</v>
      </c>
      <c r="H17" s="51"/>
      <c r="I17" s="62">
        <f>M17*20+N17*1.03+L17</f>
        <v>15.63461</v>
      </c>
      <c r="J17" s="55"/>
      <c r="K17" s="52"/>
      <c r="L17" s="51">
        <v>1.6</v>
      </c>
      <c r="M17" s="61">
        <v>0.62</v>
      </c>
      <c r="N17" s="52">
        <v>1.587</v>
      </c>
    </row>
    <row r="18" spans="1:14" x14ac:dyDescent="0.35">
      <c r="A18" s="51">
        <v>16</v>
      </c>
      <c r="B18" s="51" t="s">
        <v>73</v>
      </c>
      <c r="C18" s="51"/>
      <c r="D18" s="51"/>
      <c r="E18" s="51" t="s">
        <v>228</v>
      </c>
      <c r="F18" s="51" t="s">
        <v>229</v>
      </c>
      <c r="G18" s="46" t="s">
        <v>240</v>
      </c>
      <c r="H18" s="51"/>
      <c r="I18" s="62">
        <f>34.775*1.03+L18</f>
        <v>36.318249999999999</v>
      </c>
      <c r="J18" s="55"/>
      <c r="K18" s="52"/>
      <c r="L18" s="51">
        <v>0.5</v>
      </c>
      <c r="M18" s="61"/>
      <c r="N18" s="52"/>
    </row>
    <row r="19" spans="1:14" x14ac:dyDescent="0.35">
      <c r="A19" s="51">
        <v>17</v>
      </c>
      <c r="B19" s="51" t="s">
        <v>73</v>
      </c>
      <c r="C19" s="51"/>
      <c r="D19" s="51"/>
      <c r="E19" s="51" t="s">
        <v>230</v>
      </c>
      <c r="F19" s="51" t="s">
        <v>231</v>
      </c>
      <c r="G19" s="46" t="s">
        <v>240</v>
      </c>
      <c r="H19" s="51"/>
      <c r="I19" s="62">
        <f>15.64*1.03+L19</f>
        <v>16.309200000000001</v>
      </c>
      <c r="J19" s="55"/>
      <c r="K19" s="52"/>
      <c r="L19" s="51">
        <v>0.2</v>
      </c>
      <c r="M19" s="61"/>
      <c r="N19" s="52"/>
    </row>
    <row r="20" spans="1:14" x14ac:dyDescent="0.35">
      <c r="A20" s="51">
        <v>18</v>
      </c>
      <c r="B20" s="51" t="s">
        <v>73</v>
      </c>
      <c r="C20" s="52"/>
      <c r="D20" s="52"/>
      <c r="E20" s="51" t="s">
        <v>232</v>
      </c>
      <c r="F20" s="51" t="s">
        <v>233</v>
      </c>
      <c r="G20" s="46" t="s">
        <v>240</v>
      </c>
      <c r="H20" s="51"/>
      <c r="I20" s="62">
        <f>13.75*1.03+L20</f>
        <v>15.762499999999999</v>
      </c>
      <c r="J20" s="53"/>
      <c r="K20" s="52"/>
      <c r="L20" s="51">
        <v>1.6</v>
      </c>
      <c r="M20" s="61"/>
      <c r="N20" s="52"/>
    </row>
    <row r="21" spans="1:14" x14ac:dyDescent="0.35">
      <c r="A21" s="51">
        <v>19</v>
      </c>
      <c r="B21" s="51" t="s">
        <v>73</v>
      </c>
      <c r="C21" s="52"/>
      <c r="D21" s="52"/>
      <c r="E21" s="51" t="s">
        <v>234</v>
      </c>
      <c r="F21" s="51" t="s">
        <v>235</v>
      </c>
      <c r="G21" s="46" t="s">
        <v>240</v>
      </c>
      <c r="H21" s="51"/>
      <c r="I21" s="62">
        <f>42.68*1.03+L21</f>
        <v>45.160400000000003</v>
      </c>
      <c r="J21" s="53"/>
      <c r="K21" s="52"/>
      <c r="L21" s="51">
        <v>1.2</v>
      </c>
      <c r="M21" s="61"/>
      <c r="N21" s="52"/>
    </row>
    <row r="22" spans="1:14" x14ac:dyDescent="0.35">
      <c r="A22" s="51">
        <v>20</v>
      </c>
      <c r="B22" s="51" t="s">
        <v>73</v>
      </c>
      <c r="C22" s="52"/>
      <c r="D22" s="52"/>
      <c r="E22" s="51" t="s">
        <v>236</v>
      </c>
      <c r="F22" s="51" t="s">
        <v>237</v>
      </c>
      <c r="G22" s="46" t="s">
        <v>240</v>
      </c>
      <c r="H22" s="51"/>
      <c r="I22" s="62">
        <f>0.58*1.03+L22</f>
        <v>0.61739999999999995</v>
      </c>
      <c r="J22" s="53"/>
      <c r="K22" s="52"/>
      <c r="L22" s="51">
        <v>0.02</v>
      </c>
      <c r="M22" s="61"/>
      <c r="N22" s="52"/>
    </row>
    <row r="23" spans="1:14" x14ac:dyDescent="0.35">
      <c r="A23" s="51">
        <v>21</v>
      </c>
      <c r="B23" s="51" t="s">
        <v>73</v>
      </c>
      <c r="C23" s="52"/>
      <c r="D23" s="52"/>
      <c r="E23" s="51" t="s">
        <v>138</v>
      </c>
      <c r="F23" s="51" t="s">
        <v>137</v>
      </c>
      <c r="G23" s="46" t="s">
        <v>240</v>
      </c>
      <c r="H23" s="51"/>
      <c r="I23" s="62">
        <f>0.188*1.03+L23</f>
        <v>0.22364000000000001</v>
      </c>
      <c r="J23" s="53"/>
      <c r="K23" s="52"/>
      <c r="L23" s="51">
        <v>0.03</v>
      </c>
      <c r="M23" s="61"/>
      <c r="N23" s="52"/>
    </row>
    <row r="24" spans="1:14" x14ac:dyDescent="0.35">
      <c r="A24" s="51">
        <v>22</v>
      </c>
      <c r="B24" s="51" t="s">
        <v>73</v>
      </c>
      <c r="C24" s="52"/>
      <c r="D24" s="52"/>
      <c r="E24" s="51" t="s">
        <v>238</v>
      </c>
      <c r="F24" s="51" t="s">
        <v>239</v>
      </c>
      <c r="G24" s="46" t="s">
        <v>240</v>
      </c>
      <c r="H24" s="51"/>
      <c r="I24" s="62">
        <f>26.67*1.03+L24</f>
        <v>27.670100000000001</v>
      </c>
      <c r="J24" s="53"/>
      <c r="K24" s="52"/>
      <c r="L24" s="51">
        <v>0.2</v>
      </c>
      <c r="M24" s="61"/>
      <c r="N24" s="52"/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15A5-5972-4AC3-98E8-17995F98C1F7}">
  <dimension ref="A1:V6"/>
  <sheetViews>
    <sheetView tabSelected="1" workbookViewId="0">
      <selection activeCell="T13" sqref="T13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2.75" style="23" bestFit="1" customWidth="1"/>
    <col min="4" max="4" width="13.87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x14ac:dyDescent="0.2">
      <c r="A2" s="9" t="s">
        <v>29</v>
      </c>
      <c r="B2" s="83" t="s">
        <v>30</v>
      </c>
      <c r="C2" s="64" t="s">
        <v>31</v>
      </c>
      <c r="D2" s="64" t="s">
        <v>32</v>
      </c>
      <c r="E2" s="65" t="s">
        <v>33</v>
      </c>
      <c r="F2" s="66"/>
      <c r="G2" s="67" t="s">
        <v>34</v>
      </c>
      <c r="H2" s="68" t="s">
        <v>35</v>
      </c>
      <c r="I2" s="67" t="s">
        <v>36</v>
      </c>
      <c r="J2" s="79" t="s">
        <v>37</v>
      </c>
      <c r="K2" s="80" t="s">
        <v>38</v>
      </c>
      <c r="L2" s="81" t="s">
        <v>39</v>
      </c>
      <c r="M2" s="74" t="s">
        <v>58</v>
      </c>
      <c r="N2" s="64" t="s">
        <v>40</v>
      </c>
      <c r="O2" s="74" t="s">
        <v>41</v>
      </c>
      <c r="P2" s="74" t="s">
        <v>42</v>
      </c>
      <c r="Q2" s="67" t="s">
        <v>43</v>
      </c>
      <c r="R2" s="75" t="s">
        <v>44</v>
      </c>
      <c r="S2" s="76" t="s">
        <v>45</v>
      </c>
      <c r="T2" s="77" t="s">
        <v>46</v>
      </c>
      <c r="U2" s="70" t="s">
        <v>47</v>
      </c>
      <c r="V2" s="72" t="s">
        <v>48</v>
      </c>
    </row>
    <row r="3" spans="1:22" x14ac:dyDescent="0.2">
      <c r="A3" s="10" t="s">
        <v>49</v>
      </c>
      <c r="B3" s="83"/>
      <c r="C3" s="64"/>
      <c r="D3" s="64" t="s">
        <v>32</v>
      </c>
      <c r="E3" s="11" t="s">
        <v>50</v>
      </c>
      <c r="F3" s="12" t="s">
        <v>51</v>
      </c>
      <c r="G3" s="67"/>
      <c r="H3" s="69"/>
      <c r="I3" s="67"/>
      <c r="J3" s="79"/>
      <c r="K3" s="80"/>
      <c r="L3" s="82"/>
      <c r="M3" s="74"/>
      <c r="N3" s="64"/>
      <c r="O3" s="74"/>
      <c r="P3" s="74"/>
      <c r="Q3" s="67"/>
      <c r="R3" s="75"/>
      <c r="S3" s="75"/>
      <c r="T3" s="78"/>
      <c r="U3" s="71"/>
      <c r="V3" s="72"/>
    </row>
    <row r="4" spans="1:22" x14ac:dyDescent="0.2">
      <c r="A4" s="13">
        <v>1</v>
      </c>
      <c r="B4" s="13" t="s">
        <v>213</v>
      </c>
      <c r="C4" s="13" t="s">
        <v>214</v>
      </c>
      <c r="D4" s="14" t="s">
        <v>243</v>
      </c>
      <c r="E4" s="16">
        <v>0.434</v>
      </c>
      <c r="F4" s="16">
        <v>0.44</v>
      </c>
      <c r="G4" s="17">
        <v>9.7345000000000006</v>
      </c>
      <c r="H4" s="88"/>
      <c r="I4" s="17">
        <f>F4*G4</f>
        <v>4.2831800000000007</v>
      </c>
      <c r="J4" s="18" t="s">
        <v>55</v>
      </c>
      <c r="K4" s="19">
        <v>51.428571428571402</v>
      </c>
      <c r="L4" s="19">
        <f t="shared" ref="L4" si="0">3600/K4</f>
        <v>70.000000000000043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" si="1">P4/K4/M4</f>
        <v>0.43750000000000022</v>
      </c>
      <c r="R4" s="21">
        <v>0.13070000000000001</v>
      </c>
      <c r="S4" s="22"/>
      <c r="T4" s="22">
        <f>2400/(14*150)</f>
        <v>1.1428571428571428</v>
      </c>
      <c r="U4" s="22"/>
      <c r="V4" s="17">
        <f t="shared" ref="V4" si="2">(I4+Q4+(N4*O4/K4/M4)/2)*1.11+R4*1.03+S4+T4+U4</f>
        <v>7.2063729428571435</v>
      </c>
    </row>
    <row r="5" spans="1:22" x14ac:dyDescent="0.2">
      <c r="A5" s="13">
        <v>2</v>
      </c>
      <c r="B5" s="13"/>
      <c r="C5" s="13"/>
      <c r="D5" s="14"/>
      <c r="E5" s="15"/>
      <c r="F5" s="16"/>
      <c r="G5" s="17"/>
      <c r="H5" s="17"/>
      <c r="I5" s="17"/>
      <c r="J5" s="18"/>
      <c r="K5" s="19"/>
      <c r="L5" s="19"/>
      <c r="M5" s="13"/>
      <c r="N5" s="20"/>
      <c r="O5" s="20"/>
      <c r="P5" s="20"/>
      <c r="Q5" s="17"/>
      <c r="R5" s="21"/>
      <c r="S5" s="22"/>
      <c r="T5" s="22"/>
      <c r="U5" s="22"/>
      <c r="V5" s="17"/>
    </row>
    <row r="6" spans="1:22" x14ac:dyDescent="0.2">
      <c r="F6" s="24"/>
    </row>
  </sheetData>
  <mergeCells count="21">
    <mergeCell ref="R2:R3"/>
    <mergeCell ref="S2:S3"/>
    <mergeCell ref="T2:T3"/>
    <mergeCell ref="U2:U3"/>
    <mergeCell ref="V2:V3"/>
    <mergeCell ref="L2:L3"/>
    <mergeCell ref="M2:M3"/>
    <mergeCell ref="N2:N3"/>
    <mergeCell ref="O2:O3"/>
    <mergeCell ref="P2:P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3.15</vt:lpstr>
      <vt:lpstr>4.30</vt:lpstr>
      <vt:lpstr>2024.7.11</vt:lpstr>
      <vt:lpstr>2024.8.19</vt:lpstr>
      <vt:lpstr>2024.9.9</vt:lpstr>
      <vt:lpstr>2024.9.24</vt:lpstr>
      <vt:lpstr>2024.10.9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2024-10-09T06:47:31Z</dcterms:modified>
</cp:coreProperties>
</file>