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海兴中盛\"/>
    </mc:Choice>
  </mc:AlternateContent>
  <xr:revisionPtr revIDLastSave="0" documentId="13_ncr:1_{97CF6ED2-FC40-4CB1-95A0-6727274A1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未定价清单" sheetId="5" r:id="rId1"/>
    <sheet name="最新核价" sheetId="13" r:id="rId2"/>
    <sheet name="铁马骨架核算" sheetId="8" r:id="rId3"/>
    <sheet name="V71骨架" sheetId="9" r:id="rId4"/>
    <sheet name="电加热线束固定支架1" sheetId="7" r:id="rId5"/>
    <sheet name="六分座焊接总成" sheetId="12" r:id="rId6"/>
    <sheet name="四分座焊接总成" sheetId="14" r:id="rId7"/>
    <sheet name="安全固定片（电泳）" sheetId="15" r:id="rId8"/>
  </sheets>
  <externalReferences>
    <externalReference r:id="rId9"/>
    <externalReference r:id="rId10"/>
    <externalReference r:id="rId11"/>
  </externalReferences>
  <definedNames>
    <definedName name="_xlnm._FilterDatabase" localSheetId="2" hidden="1">铁马骨架核算!$A$3:$T$15</definedName>
    <definedName name="_xlnm._FilterDatabase" localSheetId="0" hidden="1">未定价清单!$A$1:$Q$67</definedName>
    <definedName name="_GoBack" localSheetId="2">铁马骨架核算!#REF!</definedName>
    <definedName name="_xlnm.Print_Area" localSheetId="2">铁马骨架核算!$A$1:$U$15</definedName>
    <definedName name="_xlnm.Print_Area" localSheetId="0">未定价清单!$A$1:$O$67</definedName>
  </definedNames>
  <calcPr calcId="191029"/>
</workbook>
</file>

<file path=xl/calcChain.xml><?xml version="1.0" encoding="utf-8"?>
<calcChain xmlns="http://schemas.openxmlformats.org/spreadsheetml/2006/main">
  <c r="O2" i="9" l="1"/>
  <c r="N39" i="5"/>
  <c r="N30" i="5"/>
  <c r="N17" i="5"/>
  <c r="N12" i="5"/>
  <c r="N16" i="5"/>
  <c r="N61" i="5"/>
  <c r="N62" i="5"/>
  <c r="N60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2" i="5"/>
  <c r="N36" i="15" l="1"/>
  <c r="I36" i="15"/>
  <c r="I33" i="15"/>
  <c r="H33" i="15"/>
  <c r="C31" i="15"/>
  <c r="I29" i="15"/>
  <c r="C29" i="15"/>
  <c r="I28" i="15"/>
  <c r="C28" i="15"/>
  <c r="I27" i="15"/>
  <c r="C27" i="15"/>
  <c r="N26" i="15"/>
  <c r="I26" i="15"/>
  <c r="C26" i="15"/>
  <c r="C23" i="15"/>
  <c r="O22" i="15"/>
  <c r="I22" i="15"/>
  <c r="C22" i="15"/>
  <c r="C19" i="15"/>
  <c r="C17" i="15"/>
  <c r="L16" i="15"/>
  <c r="C16" i="15"/>
  <c r="C15" i="15"/>
  <c r="C14" i="15"/>
  <c r="C13" i="15"/>
  <c r="O12" i="15"/>
  <c r="N12" i="15"/>
  <c r="I12" i="15"/>
  <c r="C12" i="15"/>
  <c r="H6" i="14"/>
  <c r="H6" i="12"/>
  <c r="N3" i="7"/>
  <c r="M3" i="7"/>
  <c r="J3" i="7"/>
  <c r="F3" i="7"/>
  <c r="E3" i="7"/>
  <c r="Q40" i="9"/>
  <c r="P40" i="9"/>
  <c r="O40" i="9"/>
  <c r="N40" i="9"/>
  <c r="M40" i="9"/>
  <c r="H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40" i="9" s="1"/>
  <c r="R40" i="9" s="1"/>
  <c r="K18" i="5" s="1"/>
  <c r="L18" i="5" s="1"/>
  <c r="N2" i="9"/>
  <c r="L2" i="9"/>
  <c r="H2" i="9"/>
  <c r="R15" i="8"/>
  <c r="S15" i="8" s="1"/>
  <c r="T4" i="8" s="1"/>
  <c r="T15" i="8" s="1"/>
  <c r="K47" i="5" s="1"/>
  <c r="L47" i="5" s="1"/>
  <c r="M15" i="8"/>
  <c r="M14" i="8"/>
  <c r="H14" i="8"/>
  <c r="M13" i="8"/>
  <c r="H13" i="8"/>
  <c r="M12" i="8"/>
  <c r="H12" i="8"/>
  <c r="M11" i="8"/>
  <c r="H11" i="8"/>
  <c r="M10" i="8"/>
  <c r="H10" i="8"/>
  <c r="M9" i="8"/>
  <c r="H9" i="8"/>
  <c r="R8" i="8"/>
  <c r="Q8" i="8"/>
  <c r="M8" i="8"/>
  <c r="H8" i="8"/>
  <c r="R7" i="8"/>
  <c r="P7" i="8"/>
  <c r="M7" i="8"/>
  <c r="H7" i="8"/>
  <c r="M6" i="8"/>
  <c r="H6" i="8"/>
  <c r="R5" i="8"/>
  <c r="M5" i="8"/>
  <c r="H5" i="8"/>
  <c r="R4" i="8"/>
  <c r="Q4" i="8"/>
  <c r="M4" i="8"/>
  <c r="J4" i="8"/>
  <c r="S221" i="13"/>
  <c r="R221" i="13"/>
  <c r="S220" i="13"/>
  <c r="T219" i="13"/>
  <c r="N219" i="13"/>
  <c r="M219" i="13"/>
  <c r="S217" i="13"/>
  <c r="R217" i="13"/>
  <c r="S216" i="13"/>
  <c r="T215" i="13"/>
  <c r="N215" i="13"/>
  <c r="M215" i="13"/>
  <c r="S211" i="13"/>
  <c r="K211" i="13"/>
  <c r="M211" i="13" s="1"/>
  <c r="I211" i="13"/>
  <c r="C211" i="13"/>
  <c r="B211" i="13"/>
  <c r="T207" i="13"/>
  <c r="S207" i="13"/>
  <c r="N207" i="13"/>
  <c r="M207" i="13"/>
  <c r="I207" i="13"/>
  <c r="T203" i="13"/>
  <c r="S203" i="13"/>
  <c r="N203" i="13"/>
  <c r="M203" i="13"/>
  <c r="I203" i="13"/>
  <c r="C199" i="13"/>
  <c r="B199" i="13"/>
  <c r="C195" i="13"/>
  <c r="B195" i="13"/>
  <c r="C191" i="13"/>
  <c r="B191" i="13"/>
  <c r="S189" i="13"/>
  <c r="S188" i="13"/>
  <c r="T187" i="13"/>
  <c r="S187" i="13"/>
  <c r="N187" i="13"/>
  <c r="L187" i="13"/>
  <c r="C187" i="13"/>
  <c r="B187" i="13"/>
  <c r="K183" i="13"/>
  <c r="N183" i="13" s="1"/>
  <c r="T183" i="13" s="1"/>
  <c r="I183" i="13"/>
  <c r="C183" i="13"/>
  <c r="B183" i="13"/>
  <c r="S181" i="13"/>
  <c r="S180" i="13"/>
  <c r="S179" i="13"/>
  <c r="K179" i="13"/>
  <c r="L179" i="13" s="1"/>
  <c r="C179" i="13"/>
  <c r="B179" i="13"/>
  <c r="S177" i="13"/>
  <c r="S176" i="13"/>
  <c r="T175" i="13"/>
  <c r="S175" i="13"/>
  <c r="N175" i="13"/>
  <c r="L175" i="13"/>
  <c r="C175" i="13"/>
  <c r="B175" i="13"/>
  <c r="K171" i="13"/>
  <c r="N171" i="13" s="1"/>
  <c r="T171" i="13" s="1"/>
  <c r="I171" i="13"/>
  <c r="C171" i="13"/>
  <c r="B171" i="13"/>
  <c r="K167" i="13"/>
  <c r="N167" i="13" s="1"/>
  <c r="T167" i="13" s="1"/>
  <c r="I167" i="13"/>
  <c r="C167" i="13"/>
  <c r="B167" i="13"/>
  <c r="T163" i="13"/>
  <c r="N163" i="13"/>
  <c r="L163" i="13"/>
  <c r="I163" i="13"/>
  <c r="C163" i="13"/>
  <c r="B163" i="13"/>
  <c r="I159" i="13"/>
  <c r="C159" i="13"/>
  <c r="B159" i="13"/>
  <c r="K155" i="13"/>
  <c r="N155" i="13" s="1"/>
  <c r="T155" i="13" s="1"/>
  <c r="I155" i="13"/>
  <c r="C155" i="13"/>
  <c r="B155" i="13"/>
  <c r="K151" i="13"/>
  <c r="L151" i="13" s="1"/>
  <c r="I151" i="13"/>
  <c r="C151" i="13"/>
  <c r="B151" i="13"/>
  <c r="K147" i="13"/>
  <c r="L147" i="13" s="1"/>
  <c r="I147" i="13"/>
  <c r="C147" i="13"/>
  <c r="B147" i="13"/>
  <c r="K143" i="13"/>
  <c r="N143" i="13" s="1"/>
  <c r="T143" i="13" s="1"/>
  <c r="I143" i="13"/>
  <c r="C143" i="13"/>
  <c r="B143" i="13"/>
  <c r="K139" i="13"/>
  <c r="N139" i="13" s="1"/>
  <c r="T139" i="13" s="1"/>
  <c r="I139" i="13"/>
  <c r="C139" i="13"/>
  <c r="B139" i="13"/>
  <c r="K135" i="13"/>
  <c r="L135" i="13" s="1"/>
  <c r="I135" i="13"/>
  <c r="C135" i="13"/>
  <c r="B135" i="13"/>
  <c r="K131" i="13"/>
  <c r="N131" i="13" s="1"/>
  <c r="T131" i="13" s="1"/>
  <c r="I131" i="13"/>
  <c r="C131" i="13"/>
  <c r="B131" i="13"/>
  <c r="K127" i="13"/>
  <c r="N127" i="13" s="1"/>
  <c r="T127" i="13" s="1"/>
  <c r="I127" i="13"/>
  <c r="C127" i="13"/>
  <c r="B127" i="13"/>
  <c r="K123" i="13"/>
  <c r="N123" i="13" s="1"/>
  <c r="T123" i="13" s="1"/>
  <c r="I123" i="13"/>
  <c r="C123" i="13"/>
  <c r="B123" i="13"/>
  <c r="T119" i="13"/>
  <c r="S119" i="13"/>
  <c r="N119" i="13"/>
  <c r="M119" i="13"/>
  <c r="I119" i="13"/>
  <c r="C119" i="13"/>
  <c r="K115" i="13"/>
  <c r="N115" i="13" s="1"/>
  <c r="T115" i="13" s="1"/>
  <c r="I115" i="13"/>
  <c r="C115" i="13"/>
  <c r="B115" i="13"/>
  <c r="S113" i="13"/>
  <c r="R113" i="13"/>
  <c r="S112" i="13"/>
  <c r="T111" i="13"/>
  <c r="S111" i="13"/>
  <c r="N111" i="13"/>
  <c r="M111" i="13"/>
  <c r="K107" i="13"/>
  <c r="L107" i="13" s="1"/>
  <c r="I107" i="13"/>
  <c r="C107" i="13"/>
  <c r="B107" i="13"/>
  <c r="S106" i="13"/>
  <c r="T103" i="13"/>
  <c r="S103" i="13"/>
  <c r="N103" i="13"/>
  <c r="M103" i="13"/>
  <c r="S99" i="13"/>
  <c r="I99" i="13"/>
  <c r="C99" i="13"/>
  <c r="B99" i="13"/>
  <c r="I95" i="13"/>
  <c r="C95" i="13"/>
  <c r="B95" i="13"/>
  <c r="T91" i="13"/>
  <c r="S91" i="13"/>
  <c r="N91" i="13"/>
  <c r="M91" i="13"/>
  <c r="I91" i="13"/>
  <c r="C91" i="13"/>
  <c r="S87" i="13"/>
  <c r="T87" i="13" s="1"/>
  <c r="N87" i="13"/>
  <c r="M87" i="13"/>
  <c r="I87" i="13"/>
  <c r="C87" i="13"/>
  <c r="S86" i="13"/>
  <c r="T83" i="13"/>
  <c r="S83" i="13"/>
  <c r="N83" i="13"/>
  <c r="M83" i="13"/>
  <c r="S81" i="13"/>
  <c r="R81" i="13"/>
  <c r="S80" i="13"/>
  <c r="R80" i="13"/>
  <c r="T79" i="13"/>
  <c r="S79" i="13"/>
  <c r="N79" i="13"/>
  <c r="M79" i="13"/>
  <c r="C79" i="13"/>
  <c r="B79" i="13"/>
  <c r="S77" i="13"/>
  <c r="R77" i="13"/>
  <c r="S76" i="13"/>
  <c r="R76" i="13"/>
  <c r="T75" i="13"/>
  <c r="S75" i="13"/>
  <c r="N75" i="13"/>
  <c r="M75" i="13"/>
  <c r="S73" i="13"/>
  <c r="R73" i="13"/>
  <c r="S72" i="13"/>
  <c r="R72" i="13"/>
  <c r="T71" i="13"/>
  <c r="S71" i="13"/>
  <c r="N71" i="13"/>
  <c r="M71" i="13"/>
  <c r="I67" i="13"/>
  <c r="C67" i="13"/>
  <c r="B67" i="13"/>
  <c r="S65" i="13"/>
  <c r="R65" i="13"/>
  <c r="S64" i="13"/>
  <c r="R64" i="13"/>
  <c r="T63" i="13"/>
  <c r="S63" i="13"/>
  <c r="N63" i="13"/>
  <c r="M63" i="13"/>
  <c r="K59" i="13"/>
  <c r="N59" i="13" s="1"/>
  <c r="T59" i="13" s="1"/>
  <c r="I59" i="13"/>
  <c r="C59" i="13"/>
  <c r="B59" i="13"/>
  <c r="K55" i="13"/>
  <c r="L55" i="13" s="1"/>
  <c r="I55" i="13"/>
  <c r="C55" i="13"/>
  <c r="B55" i="13"/>
  <c r="S53" i="13"/>
  <c r="S52" i="13"/>
  <c r="T51" i="13"/>
  <c r="S51" i="13"/>
  <c r="N51" i="13"/>
  <c r="M51" i="13"/>
  <c r="L51" i="13"/>
  <c r="C51" i="13"/>
  <c r="I47" i="13"/>
  <c r="C47" i="13"/>
  <c r="B47" i="13"/>
  <c r="S43" i="13"/>
  <c r="T43" i="13" s="1"/>
  <c r="N43" i="13"/>
  <c r="M43" i="13"/>
  <c r="I43" i="13"/>
  <c r="C43" i="13"/>
  <c r="S39" i="13"/>
  <c r="T39" i="13" s="1"/>
  <c r="N39" i="13"/>
  <c r="M39" i="13"/>
  <c r="I39" i="13"/>
  <c r="C39" i="13"/>
  <c r="I35" i="13"/>
  <c r="C35" i="13"/>
  <c r="B35" i="13"/>
  <c r="I31" i="13"/>
  <c r="C31" i="13"/>
  <c r="B31" i="13"/>
  <c r="I27" i="13"/>
  <c r="C27" i="13"/>
  <c r="B27" i="13"/>
  <c r="T23" i="13"/>
  <c r="S23" i="13"/>
  <c r="N23" i="13"/>
  <c r="M23" i="13"/>
  <c r="I23" i="13"/>
  <c r="I19" i="13"/>
  <c r="C19" i="13"/>
  <c r="B19" i="13"/>
  <c r="I15" i="13"/>
  <c r="C15" i="13"/>
  <c r="B15" i="13"/>
  <c r="I11" i="13"/>
  <c r="C11" i="13"/>
  <c r="B11" i="13"/>
  <c r="I7" i="13"/>
  <c r="C7" i="13"/>
  <c r="B7" i="13"/>
  <c r="T3" i="13"/>
  <c r="N3" i="13"/>
  <c r="I3" i="13"/>
  <c r="L67" i="5"/>
  <c r="L66" i="5"/>
  <c r="L65" i="5"/>
  <c r="I65" i="5"/>
  <c r="L64" i="5"/>
  <c r="I64" i="5"/>
  <c r="L63" i="5"/>
  <c r="I63" i="5"/>
  <c r="L62" i="5"/>
  <c r="I62" i="5"/>
  <c r="G62" i="5"/>
  <c r="K199" i="13" s="1"/>
  <c r="L61" i="5"/>
  <c r="I61" i="5"/>
  <c r="G61" i="5"/>
  <c r="K195" i="13" s="1"/>
  <c r="N195" i="13" s="1"/>
  <c r="T195" i="13" s="1"/>
  <c r="L60" i="5"/>
  <c r="I60" i="5"/>
  <c r="G60" i="5"/>
  <c r="K191" i="13" s="1"/>
  <c r="L59" i="5"/>
  <c r="G59" i="5"/>
  <c r="F59" i="5"/>
  <c r="L58" i="5"/>
  <c r="G58" i="5"/>
  <c r="F58" i="5"/>
  <c r="L57" i="5"/>
  <c r="I56" i="5"/>
  <c r="K56" i="5" s="1"/>
  <c r="L56" i="5" s="1"/>
  <c r="L55" i="5"/>
  <c r="L54" i="5"/>
  <c r="G54" i="5"/>
  <c r="F54" i="5"/>
  <c r="I53" i="5"/>
  <c r="K53" i="5" s="1"/>
  <c r="L53" i="5" s="1"/>
  <c r="I52" i="5"/>
  <c r="K52" i="5" s="1"/>
  <c r="L52" i="5" s="1"/>
  <c r="L51" i="5"/>
  <c r="G51" i="5"/>
  <c r="F51" i="5"/>
  <c r="I50" i="5"/>
  <c r="G50" i="5"/>
  <c r="K159" i="13" s="1"/>
  <c r="N159" i="13" s="1"/>
  <c r="T159" i="13" s="1"/>
  <c r="F50" i="5"/>
  <c r="I49" i="5"/>
  <c r="K49" i="5" s="1"/>
  <c r="L49" i="5" s="1"/>
  <c r="I48" i="5"/>
  <c r="K48" i="5" s="1"/>
  <c r="L48" i="5" s="1"/>
  <c r="G47" i="5"/>
  <c r="F47" i="5"/>
  <c r="I46" i="5"/>
  <c r="K46" i="5" s="1"/>
  <c r="L46" i="5" s="1"/>
  <c r="I45" i="5"/>
  <c r="K45" i="5" s="1"/>
  <c r="L45" i="5" s="1"/>
  <c r="I44" i="5"/>
  <c r="K44" i="5" s="1"/>
  <c r="L44" i="5" s="1"/>
  <c r="I43" i="5"/>
  <c r="K43" i="5" s="1"/>
  <c r="L43" i="5" s="1"/>
  <c r="I42" i="5"/>
  <c r="K42" i="5" s="1"/>
  <c r="L42" i="5" s="1"/>
  <c r="I41" i="5"/>
  <c r="K41" i="5" s="1"/>
  <c r="L41" i="5" s="1"/>
  <c r="I40" i="5"/>
  <c r="K40" i="5" s="1"/>
  <c r="L40" i="5" s="1"/>
  <c r="L39" i="5"/>
  <c r="I38" i="5"/>
  <c r="K38" i="5" s="1"/>
  <c r="L38" i="5" s="1"/>
  <c r="L37" i="5"/>
  <c r="G37" i="5"/>
  <c r="F37" i="5"/>
  <c r="I36" i="5"/>
  <c r="K36" i="5" s="1"/>
  <c r="L36" i="5" s="1"/>
  <c r="L35" i="5"/>
  <c r="G35" i="5"/>
  <c r="F35" i="5"/>
  <c r="L34" i="5"/>
  <c r="G34" i="5"/>
  <c r="F34" i="5"/>
  <c r="L33" i="5"/>
  <c r="G33" i="5"/>
  <c r="K99" i="13" s="1"/>
  <c r="F33" i="5"/>
  <c r="I32" i="5"/>
  <c r="G32" i="5"/>
  <c r="K95" i="13" s="1"/>
  <c r="F32" i="5"/>
  <c r="L31" i="5"/>
  <c r="I31" i="5"/>
  <c r="G31" i="5"/>
  <c r="F31" i="5"/>
  <c r="L30" i="5"/>
  <c r="I30" i="5"/>
  <c r="G30" i="5"/>
  <c r="L29" i="5"/>
  <c r="G29" i="5"/>
  <c r="F29" i="5"/>
  <c r="L28" i="5"/>
  <c r="G28" i="5"/>
  <c r="F28" i="5"/>
  <c r="L27" i="5"/>
  <c r="G27" i="5"/>
  <c r="F27" i="5"/>
  <c r="L26" i="5"/>
  <c r="J25" i="5"/>
  <c r="L25" i="5" s="1"/>
  <c r="I25" i="5"/>
  <c r="G25" i="5"/>
  <c r="J24" i="5"/>
  <c r="I24" i="5"/>
  <c r="G24" i="5"/>
  <c r="K67" i="13" s="1"/>
  <c r="N67" i="13" s="1"/>
  <c r="T67" i="13" s="1"/>
  <c r="F24" i="5"/>
  <c r="K23" i="5"/>
  <c r="J23" i="5"/>
  <c r="L23" i="5" s="1"/>
  <c r="J22" i="5"/>
  <c r="I22" i="5"/>
  <c r="K22" i="5" s="1"/>
  <c r="I21" i="5"/>
  <c r="K21" i="5" s="1"/>
  <c r="L21" i="5" s="1"/>
  <c r="J20" i="5"/>
  <c r="L20" i="5" s="1"/>
  <c r="G20" i="5"/>
  <c r="F20" i="5"/>
  <c r="J19" i="5"/>
  <c r="I19" i="5"/>
  <c r="G19" i="5"/>
  <c r="K47" i="13" s="1"/>
  <c r="F19" i="5"/>
  <c r="G18" i="5"/>
  <c r="F18" i="5"/>
  <c r="J17" i="5"/>
  <c r="L17" i="5" s="1"/>
  <c r="J16" i="5"/>
  <c r="L16" i="5" s="1"/>
  <c r="I16" i="5"/>
  <c r="J15" i="5"/>
  <c r="I15" i="5"/>
  <c r="G15" i="5"/>
  <c r="K35" i="13" s="1"/>
  <c r="F15" i="5"/>
  <c r="J14" i="5"/>
  <c r="I14" i="5"/>
  <c r="G14" i="5"/>
  <c r="K31" i="13" s="1"/>
  <c r="F14" i="5"/>
  <c r="J13" i="5"/>
  <c r="I13" i="5"/>
  <c r="G13" i="5"/>
  <c r="K13" i="5" s="1"/>
  <c r="F13" i="5"/>
  <c r="L12" i="5"/>
  <c r="I12" i="5"/>
  <c r="K11" i="5"/>
  <c r="L11" i="5" s="1"/>
  <c r="G11" i="5"/>
  <c r="F11" i="5"/>
  <c r="C11" i="5"/>
  <c r="J10" i="5"/>
  <c r="I10" i="5"/>
  <c r="G10" i="5"/>
  <c r="K19" i="13" s="1"/>
  <c r="F10" i="5"/>
  <c r="J9" i="5"/>
  <c r="L9" i="5" s="1"/>
  <c r="C9" i="5"/>
  <c r="K8" i="5"/>
  <c r="J8" i="5"/>
  <c r="L8" i="5" s="1"/>
  <c r="G8" i="5"/>
  <c r="F8" i="5"/>
  <c r="J7" i="5"/>
  <c r="I7" i="5"/>
  <c r="G7" i="5"/>
  <c r="K15" i="13" s="1"/>
  <c r="F7" i="5"/>
  <c r="J6" i="5"/>
  <c r="I6" i="5"/>
  <c r="G6" i="5"/>
  <c r="F6" i="5"/>
  <c r="J5" i="5"/>
  <c r="I5" i="5"/>
  <c r="G5" i="5"/>
  <c r="K7" i="13" s="1"/>
  <c r="F5" i="5"/>
  <c r="J4" i="5"/>
  <c r="I4" i="5"/>
  <c r="G4" i="5"/>
  <c r="F4" i="5"/>
  <c r="J3" i="5"/>
  <c r="L3" i="5" s="1"/>
  <c r="G3" i="5"/>
  <c r="F3" i="5"/>
  <c r="J2" i="5"/>
  <c r="L2" i="5" s="1"/>
  <c r="G2" i="5"/>
  <c r="F2" i="5"/>
  <c r="K15" i="5" l="1"/>
  <c r="N107" i="13"/>
  <c r="T107" i="13" s="1"/>
  <c r="K14" i="5"/>
  <c r="K24" i="5"/>
  <c r="L24" i="5" s="1"/>
  <c r="K32" i="5"/>
  <c r="L32" i="5" s="1"/>
  <c r="K5" i="5"/>
  <c r="L5" i="5" s="1"/>
  <c r="N147" i="13"/>
  <c r="T147" i="13" s="1"/>
  <c r="K19" i="5"/>
  <c r="L19" i="5" s="1"/>
  <c r="N135" i="13"/>
  <c r="T135" i="13" s="1"/>
  <c r="N55" i="13"/>
  <c r="T55" i="13" s="1"/>
  <c r="N151" i="13"/>
  <c r="T151" i="13" s="1"/>
  <c r="L131" i="13"/>
  <c r="K7" i="5"/>
  <c r="L7" i="5" s="1"/>
  <c r="K10" i="5"/>
  <c r="L10" i="5" s="1"/>
  <c r="L14" i="5"/>
  <c r="N211" i="13"/>
  <c r="T211" i="13" s="1"/>
  <c r="K4" i="5"/>
  <c r="L4" i="5" s="1"/>
  <c r="K6" i="5"/>
  <c r="L6" i="5" s="1"/>
  <c r="N179" i="13"/>
  <c r="T179" i="13" s="1"/>
  <c r="L22" i="5"/>
  <c r="K50" i="5"/>
  <c r="L50" i="5" s="1"/>
  <c r="N35" i="13"/>
  <c r="T35" i="13" s="1"/>
  <c r="L35" i="13"/>
  <c r="N7" i="13"/>
  <c r="T7" i="13" s="1"/>
  <c r="L7" i="13"/>
  <c r="N15" i="13"/>
  <c r="T15" i="13" s="1"/>
  <c r="L15" i="13"/>
  <c r="N31" i="13"/>
  <c r="T31" i="13" s="1"/>
  <c r="L31" i="13"/>
  <c r="N191" i="13"/>
  <c r="T191" i="13" s="1"/>
  <c r="L191" i="13"/>
  <c r="L199" i="13"/>
  <c r="N199" i="13"/>
  <c r="T199" i="13" s="1"/>
  <c r="N47" i="13"/>
  <c r="T47" i="13" s="1"/>
  <c r="L47" i="13"/>
  <c r="N95" i="13"/>
  <c r="T95" i="13" s="1"/>
  <c r="L95" i="13"/>
  <c r="N99" i="13"/>
  <c r="T99" i="13" s="1"/>
  <c r="L99" i="13"/>
  <c r="L19" i="13"/>
  <c r="N19" i="13"/>
  <c r="T19" i="13" s="1"/>
  <c r="K11" i="13"/>
  <c r="L67" i="13"/>
  <c r="L127" i="13"/>
  <c r="L159" i="13"/>
  <c r="L195" i="13"/>
  <c r="K27" i="13"/>
  <c r="L59" i="13"/>
  <c r="L123" i="13"/>
  <c r="L155" i="13"/>
  <c r="L13" i="5"/>
  <c r="L115" i="13"/>
  <c r="L143" i="13"/>
  <c r="L171" i="13"/>
  <c r="L183" i="13"/>
  <c r="L139" i="13"/>
  <c r="L167" i="13"/>
  <c r="L15" i="5"/>
  <c r="N11" i="13" l="1"/>
  <c r="T11" i="13" s="1"/>
  <c r="L11" i="13"/>
  <c r="N27" i="13"/>
  <c r="T27" i="13" s="1"/>
  <c r="L2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S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加工费+管理费1%+财务费3%+利润5%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P2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泡棉块</t>
        </r>
      </text>
    </comment>
  </commentList>
</comments>
</file>

<file path=xl/sharedStrings.xml><?xml version="1.0" encoding="utf-8"?>
<sst xmlns="http://schemas.openxmlformats.org/spreadsheetml/2006/main" count="803" uniqueCount="403">
  <si>
    <t>序号</t>
  </si>
  <si>
    <t>规格型号</t>
  </si>
  <si>
    <t>名称</t>
  </si>
  <si>
    <t>数量</t>
  </si>
  <si>
    <t>车间</t>
  </si>
  <si>
    <t>材质</t>
  </si>
  <si>
    <t>重量kg</t>
  </si>
  <si>
    <t>图纸</t>
  </si>
  <si>
    <t>吨位价（元/kg）</t>
  </si>
  <si>
    <t>未税单价</t>
  </si>
  <si>
    <t>备注</t>
  </si>
  <si>
    <t>SHT0013146</t>
  </si>
  <si>
    <t>1.0升级后升降拉簧</t>
  </si>
  <si>
    <t>一厂</t>
  </si>
  <si>
    <t>SHT0013145</t>
  </si>
  <si>
    <t>1.0升级前升降拉簧</t>
  </si>
  <si>
    <t>SHT0012112</t>
  </si>
  <si>
    <t>M3000副边罩壳固定钢丝</t>
  </si>
  <si>
    <t>SHT0012110</t>
  </si>
  <si>
    <t>M4主边罩壳固定钢丝</t>
  </si>
  <si>
    <t>SCS0006416</t>
  </si>
  <si>
    <t>P203靠背右侧面套固定钢丝</t>
  </si>
  <si>
    <t>SCS0006414</t>
  </si>
  <si>
    <t>P203靠背左侧面套固定钢丝</t>
  </si>
  <si>
    <t>大运靠背支撑钢丝右</t>
  </si>
  <si>
    <t>为对称件，SHT0002074有价格协议，降5%</t>
  </si>
  <si>
    <t>SCS0012140</t>
  </si>
  <si>
    <t>Q235</t>
  </si>
  <si>
    <t>Q235板t=1.5，激光切</t>
  </si>
  <si>
    <t>SCS0007057</t>
  </si>
  <si>
    <t>儿童锁挂钩</t>
  </si>
  <si>
    <t>BSP0010056</t>
  </si>
  <si>
    <t>集团给安路普定价0.33,在安路普基础上降低5%运费，由于24年2月定价，本次不做年降</t>
  </si>
  <si>
    <t>副驾背板支撑钢丝焊接总成</t>
  </si>
  <si>
    <t>核算价2.14元，见最新核价</t>
  </si>
  <si>
    <t>SLT0010355</t>
  </si>
  <si>
    <t>副驾靠背侧翼支撑钢丝</t>
  </si>
  <si>
    <t>SLT0010438</t>
  </si>
  <si>
    <t>副驾靠背头枕加强钢丝</t>
  </si>
  <si>
    <t>SLT0010437</t>
  </si>
  <si>
    <t>副驾靠背头枕支撑杆</t>
  </si>
  <si>
    <t>SLT0011697</t>
  </si>
  <si>
    <t>副驾小背焊接钢丝总成</t>
  </si>
  <si>
    <t>核算价2.15元，见最新核价</t>
  </si>
  <si>
    <t>SLT0011699</t>
  </si>
  <si>
    <t>核算价2.08元，见最新核价</t>
  </si>
  <si>
    <t>SCS0012063</t>
  </si>
  <si>
    <t>后排坐垫骨架V71</t>
  </si>
  <si>
    <t>二厂</t>
  </si>
  <si>
    <t>SLT0010335</t>
  </si>
  <si>
    <t>驾驶员侧翼支撑钢丝</t>
  </si>
  <si>
    <t>BSP0010035</t>
  </si>
  <si>
    <t>靠背回位簧</t>
  </si>
  <si>
    <t>核算价5.97元，见最新核价</t>
  </si>
  <si>
    <t>SCS0010585</t>
  </si>
  <si>
    <t>靠背面套固定钢丝-右</t>
  </si>
  <si>
    <t>Q235/φ5.0</t>
  </si>
  <si>
    <t>SCS0007568</t>
  </si>
  <si>
    <t>扣手底座固定钢丝</t>
  </si>
  <si>
    <t>SLT0010472</t>
  </si>
  <si>
    <t>拉簧</t>
  </si>
  <si>
    <t>65Mn</t>
  </si>
  <si>
    <t>核算价0.53元，见最新核价</t>
  </si>
  <si>
    <t>SHT0012049</t>
  </si>
  <si>
    <t>拉簧固定钢丝</t>
  </si>
  <si>
    <t>SCS0012152</t>
  </si>
  <si>
    <t>六分座钢丝焊接总成</t>
  </si>
  <si>
    <t>报价7.54元，后附报价单</t>
  </si>
  <si>
    <t>SCS0007586</t>
  </si>
  <si>
    <t>螺旋扭簧 L</t>
  </si>
  <si>
    <t>核算价0.35元，见最新核价</t>
  </si>
  <si>
    <t>SCS0007587</t>
  </si>
  <si>
    <t>螺旋扭簧 R</t>
  </si>
  <si>
    <t>SHT0015136</t>
  </si>
  <si>
    <t>扭力弹簧转盘</t>
  </si>
  <si>
    <t>BSP0000047</t>
  </si>
  <si>
    <t>盘簧1.0平台</t>
  </si>
  <si>
    <t>万金2.23元</t>
  </si>
  <si>
    <t>核算价3.61元，见最新核价</t>
  </si>
  <si>
    <t>SHT0010780</t>
  </si>
  <si>
    <t>气袋腰托下固定点焊接总成H6</t>
  </si>
  <si>
    <t>核算价2.46元，见最新核价</t>
  </si>
  <si>
    <t>SHT0012034</t>
  </si>
  <si>
    <t>气阀固定钢丝</t>
  </si>
  <si>
    <t>SLT0010193</t>
  </si>
  <si>
    <t>气管接线头固定钢丝</t>
  </si>
  <si>
    <t>SHT0012006</t>
  </si>
  <si>
    <t>升降锁止轴安装卡箍</t>
  </si>
  <si>
    <t>上海努辰0.293</t>
  </si>
  <si>
    <t>SCS0012153</t>
  </si>
  <si>
    <t>四分座钢丝焊接总成</t>
  </si>
  <si>
    <t>报价5.78元，后附报价单</t>
  </si>
  <si>
    <t>SHT0001005</t>
  </si>
  <si>
    <t>涡簧H4A/X3000/一汽</t>
  </si>
  <si>
    <t>江苏万金2.43元</t>
  </si>
  <si>
    <t>核算价3.45元，见最新核价</t>
  </si>
  <si>
    <t>SLT0011083</t>
  </si>
  <si>
    <t>小背背板后支撑钢丝A欧马可升级2060副</t>
  </si>
  <si>
    <t>SHT0011809</t>
  </si>
  <si>
    <t>仰角调节机构扭簧</t>
  </si>
  <si>
    <t>核算价0.18元，见最新核价</t>
  </si>
  <si>
    <t>SLT0010885</t>
  </si>
  <si>
    <t>主驾背板支撑钢丝A欧马可升级</t>
  </si>
  <si>
    <t>SLT0011689</t>
  </si>
  <si>
    <t>主驾背板支撑钢丝焊接总成</t>
  </si>
  <si>
    <t>核算价3.73元，见最新核价</t>
  </si>
  <si>
    <t>SLT0011263</t>
  </si>
  <si>
    <t>左侧大护板加强钢丝欧马可</t>
  </si>
  <si>
    <t>Q235/φ6</t>
  </si>
  <si>
    <t>SLT0011262</t>
  </si>
  <si>
    <t>左侧大护板上固定钢丝欧马可</t>
  </si>
  <si>
    <t>SLT0011265</t>
  </si>
  <si>
    <t>左侧大护板下固定钢丝欧马可</t>
  </si>
  <si>
    <t>SLT0010677</t>
  </si>
  <si>
    <t>左侧护板后加强钢丝一汽轻卡减震</t>
  </si>
  <si>
    <t>SLT0010676</t>
  </si>
  <si>
    <t>左侧护板前加强钢丝一汽轻卡减震</t>
  </si>
  <si>
    <t>SLT0010675</t>
  </si>
  <si>
    <t>左侧护板上固定钢丝一起轻卡减震</t>
  </si>
  <si>
    <t>SLT0010678</t>
  </si>
  <si>
    <t>左侧护板下固定钢丝一汽轻卡减震</t>
  </si>
  <si>
    <t>SLT0011628</t>
  </si>
  <si>
    <t>坐垫钢丝焊接总成铁马</t>
  </si>
  <si>
    <t>手工焊接按0.18元核算后单价22.74，含模摊价格为22.24元</t>
  </si>
  <si>
    <t>SLT0011319</t>
  </si>
  <si>
    <t>座垫面套卡接钢丝欧马可</t>
  </si>
  <si>
    <t>Q235/φ5</t>
  </si>
  <si>
    <t>SHT0016644</t>
  </si>
  <si>
    <t>侧翼支撑上安装钢丝J6P经典版</t>
  </si>
  <si>
    <t>SHT0011054</t>
  </si>
  <si>
    <t>D03靠背骨架下支撑钢丝</t>
  </si>
  <si>
    <t>SHT0001935</t>
  </si>
  <si>
    <t>侧翼支撑上安装钢丝F3000</t>
  </si>
  <si>
    <t>SHT0015886</t>
  </si>
  <si>
    <t>侧翼支撑上安装钢丝H4-2.2</t>
  </si>
  <si>
    <t>SCS0010765</t>
  </si>
  <si>
    <t>靠背侧翼支撑钢丝-左</t>
  </si>
  <si>
    <t>SLT0002546</t>
  </si>
  <si>
    <t>靠背调角器涡簧J7F/虎V靠背骨架</t>
  </si>
  <si>
    <t>江苏万金1.96</t>
  </si>
  <si>
    <t>SCS0011681</t>
  </si>
  <si>
    <t>靠背复位卷簧6801506X0001A</t>
  </si>
  <si>
    <t>SWRH72B</t>
  </si>
  <si>
    <t>SCS0010584</t>
  </si>
  <si>
    <t>靠背面套固定钢丝-左</t>
  </si>
  <si>
    <t>SCS0007588</t>
  </si>
  <si>
    <t>快拆涡状扭簧</t>
  </si>
  <si>
    <t>60Mn</t>
  </si>
  <si>
    <t>H4司机安全带外罩壳固定片</t>
  </si>
  <si>
    <t>后附报价单</t>
  </si>
  <si>
    <t>SHT0000801</t>
  </si>
  <si>
    <t>H4副司安全带外罩壳固定片</t>
  </si>
  <si>
    <t>SLT0000740</t>
  </si>
  <si>
    <t>钢丝2.5*160</t>
  </si>
  <si>
    <t>材质65Mn，重新核价0.0679元</t>
  </si>
  <si>
    <t>SLT0001093</t>
  </si>
  <si>
    <t>钢丝2.5*270</t>
  </si>
  <si>
    <t>材质65Mn，重新核价0.1145元</t>
  </si>
  <si>
    <t>SLT0001126</t>
  </si>
  <si>
    <t>钢丝2.5*400</t>
  </si>
  <si>
    <t>材质65Mn，重新核价0.1697元</t>
  </si>
  <si>
    <t>SHT0013421</t>
  </si>
  <si>
    <t>升降主边锁止轴（钢丝8*90）</t>
  </si>
  <si>
    <t>需要倒角，需要添加BOM</t>
  </si>
  <si>
    <t>核算价0.41元，见最新核价</t>
  </si>
  <si>
    <t>SHT0013422</t>
  </si>
  <si>
    <t>升降副边锁止轴（钢丝8*95）</t>
  </si>
  <si>
    <t>需要车削，倒角，需要添加BOM</t>
  </si>
  <si>
    <t>核算价1元，见最新核价</t>
  </si>
  <si>
    <t>SLT001224</t>
  </si>
  <si>
    <t>安全带锁扣限位柱(Q235 8*20)</t>
  </si>
  <si>
    <t>SHT0012063</t>
  </si>
  <si>
    <t>主边锁止钣金回位簧</t>
  </si>
  <si>
    <t>需要添加BOM</t>
  </si>
  <si>
    <t>核算价0.24元，见最新核价</t>
  </si>
  <si>
    <t>SHT0012064</t>
  </si>
  <si>
    <t>副边锁止钣金回位簧</t>
  </si>
  <si>
    <t>金蝶号</t>
  </si>
  <si>
    <t>照片</t>
  </si>
  <si>
    <t>耗用量</t>
  </si>
  <si>
    <t>直径</t>
  </si>
  <si>
    <t>下料尺寸mm</t>
  </si>
  <si>
    <t>重量</t>
  </si>
  <si>
    <t>材料费</t>
  </si>
  <si>
    <t>加工成本</t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</si>
  <si>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</si>
  <si>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</si>
  <si>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</si>
  <si>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</si>
  <si>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</si>
  <si>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</si>
  <si>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</si>
  <si>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</si>
  <si>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</si>
  <si>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绕制成型</t>
  </si>
  <si>
    <t>焊接</t>
  </si>
  <si>
    <t>重新核价</t>
  </si>
  <si>
    <t>卷制</t>
  </si>
  <si>
    <t>回火</t>
  </si>
  <si>
    <t>磷化</t>
  </si>
  <si>
    <t>检验</t>
  </si>
  <si>
    <t>卷制成形</t>
  </si>
  <si>
    <t>分选检验</t>
  </si>
  <si>
    <t>涂防锈油</t>
  </si>
  <si>
    <t>螺旋弹簧L</t>
  </si>
  <si>
    <t>螺旋弹簧R</t>
  </si>
  <si>
    <t>4*12</t>
  </si>
  <si>
    <t>车槽</t>
  </si>
  <si>
    <t>3.5*10.8</t>
  </si>
  <si>
    <t>调直切断</t>
  </si>
  <si>
    <t>倒角</t>
  </si>
  <si>
    <t>车床加工</t>
  </si>
  <si>
    <t>QAD号</t>
  </si>
  <si>
    <t>子零件QAD号</t>
  </si>
  <si>
    <t>零件名称</t>
  </si>
  <si>
    <t>自制/外购</t>
  </si>
  <si>
    <t>除折弯外的加工费系数</t>
  </si>
  <si>
    <t>不含税单价</t>
  </si>
  <si>
    <t>模具费</t>
  </si>
  <si>
    <t>驾驶员座垫框架总成</t>
  </si>
  <si>
    <t>坐垫钢丝前段固定钣金</t>
  </si>
  <si>
    <t>SPFH590</t>
  </si>
  <si>
    <t>自制</t>
  </si>
  <si>
    <t>激光切</t>
  </si>
  <si>
    <t>建议焊胎3000元</t>
  </si>
  <si>
    <t>坐垫支撑钢丝A</t>
  </si>
  <si>
    <r>
      <rPr>
        <sz val="10"/>
        <rFont val="宋体"/>
        <family val="3"/>
        <charset val="134"/>
      </rPr>
      <t xml:space="preserve">Q235 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6</t>
    </r>
  </si>
  <si>
    <t>折弯</t>
  </si>
  <si>
    <t>分摊2000件</t>
  </si>
  <si>
    <t>坐垫支撑钢丝B</t>
  </si>
  <si>
    <t>摆件</t>
  </si>
  <si>
    <t>每件1.5</t>
  </si>
  <si>
    <t>坐垫支撑钢丝C</t>
  </si>
  <si>
    <t>海兴中盛人工焊0.2元含税，机器人焊0.1元</t>
  </si>
  <si>
    <t>坐垫支撑钢丝D</t>
  </si>
  <si>
    <t>外漏部分喷漆</t>
  </si>
  <si>
    <t>坐垫支撑钢丝E</t>
  </si>
  <si>
    <t>整形</t>
  </si>
  <si>
    <t>坐垫支撑钢丝F</t>
  </si>
  <si>
    <t>坐垫支撑钢丝G</t>
  </si>
  <si>
    <t>坐垫支撑钢丝H</t>
  </si>
  <si>
    <r>
      <rPr>
        <sz val="10"/>
        <rFont val="宋体"/>
        <family val="3"/>
        <charset val="134"/>
      </rPr>
      <t xml:space="preserve">Q235 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8</t>
    </r>
  </si>
  <si>
    <t>坐垫支撑钢丝J</t>
  </si>
  <si>
    <t>坐垫支撑钢丝K</t>
  </si>
  <si>
    <r>
      <rPr>
        <sz val="10"/>
        <rFont val="宋体"/>
        <family val="3"/>
        <charset val="134"/>
      </rPr>
      <t xml:space="preserve">Q235 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5</t>
    </r>
  </si>
  <si>
    <t>外购</t>
  </si>
  <si>
    <t>合计</t>
  </si>
  <si>
    <t>图号</t>
  </si>
  <si>
    <t>A点</t>
  </si>
  <si>
    <t>A点未税单价</t>
  </si>
  <si>
    <t>B点</t>
  </si>
  <si>
    <t>钢丝净重</t>
  </si>
  <si>
    <t>钢丝费用</t>
  </si>
  <si>
    <t>焊接长度mm</t>
  </si>
  <si>
    <t>焊接数量</t>
  </si>
  <si>
    <t>焊接单价（元/cm）</t>
  </si>
  <si>
    <t>焊接费</t>
  </si>
  <si>
    <t>浸塑费</t>
  </si>
  <si>
    <t>电泳费</t>
  </si>
  <si>
    <t>其他</t>
  </si>
  <si>
    <t>系数</t>
  </si>
  <si>
    <t>L002152814</t>
  </si>
  <si>
    <t>海兴越达</t>
  </si>
  <si>
    <t>海兴中盛</t>
  </si>
  <si>
    <t>B40切割料片报价</t>
  </si>
  <si>
    <t>未税加工单价</t>
  </si>
  <si>
    <t>加工数量</t>
  </si>
  <si>
    <t>未税目标</t>
  </si>
  <si>
    <t>件号</t>
  </si>
  <si>
    <t>图片</t>
  </si>
  <si>
    <t>加工线长（mm）</t>
  </si>
  <si>
    <t>长度/m</t>
  </si>
  <si>
    <t>厚度/mm</t>
  </si>
  <si>
    <t>割孔</t>
  </si>
  <si>
    <t>切割价格/元</t>
  </si>
  <si>
    <t>产品单价</t>
  </si>
  <si>
    <t>电加热线束固定支架1</t>
  </si>
  <si>
    <t>报价</t>
  </si>
  <si>
    <t>零件号</t>
  </si>
  <si>
    <t>U/S</t>
  </si>
  <si>
    <t>单重（Kg）</t>
  </si>
  <si>
    <t>单价（未税，不含模摊）</t>
  </si>
  <si>
    <t>SCS0010793
SCS0010798
SCS0010796
SCS0010797
SCS0010925</t>
  </si>
  <si>
    <t>座钢丝1
座钢丝6
座钢丝4
座钢丝5
钢丝8</t>
  </si>
  <si>
    <t>SCS0012141</t>
  </si>
  <si>
    <t>电加热线束固定支架2</t>
  </si>
  <si>
    <t>Q235/T1.5</t>
  </si>
  <si>
    <t>/</t>
  </si>
  <si>
    <t>合计（SCS0012152六分座钢丝焊接总成）</t>
  </si>
  <si>
    <t>备注：1、报价按每月3000套，若达不到3000套价格上浮10%；预估焊胎费用：5000，总成检具费用：4000，冲压件模具（2套）：7000
     2、以上报价不含模、检具费用，模检费用由贵司承担</t>
  </si>
  <si>
    <t>SCS0010793
SCS0010795
SCS0010924</t>
  </si>
  <si>
    <t xml:space="preserve">座钢丝1
座钢丝3
钢丝7
</t>
  </si>
  <si>
    <t>备注：1、报价按每月3000套，若达不到3000套价格上浮10%；预估焊胎费用：4500，总成检具费用：3500，冲压件模具（2套）：7000
     2、以上报价不含模、检具费用，模检费用由贵司承担</t>
  </si>
  <si>
    <t xml:space="preserve"> </t>
  </si>
  <si>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</si>
  <si>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</si>
  <si>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</si>
  <si>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</si>
  <si>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</si>
  <si>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</si>
  <si>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</si>
  <si>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</si>
  <si>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</si>
  <si>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</si>
  <si>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</si>
  <si>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</si>
  <si>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</si>
  <si>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安全带固定片</t>
  </si>
  <si>
    <t>产品毛重</t>
  </si>
  <si>
    <t>0.07Kg</t>
  </si>
  <si>
    <t>图    号</t>
  </si>
  <si>
    <t>H4681010024A0
H4681020024A0</t>
  </si>
  <si>
    <t>产品净重</t>
  </si>
  <si>
    <t>0.033Kg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</si>
  <si>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</si>
  <si>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</si>
  <si>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</si>
  <si>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</si>
  <si>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</si>
  <si>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</si>
  <si>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</si>
  <si>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</si>
  <si>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</si>
  <si>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</si>
  <si>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</si>
  <si>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</si>
  <si>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单价</t>
  </si>
  <si>
    <t>名  称</t>
  </si>
  <si>
    <t>单 价</t>
  </si>
  <si>
    <t>耗用数量</t>
  </si>
  <si>
    <t>原 材 料</t>
  </si>
  <si>
    <t>65Mn T1.0</t>
  </si>
  <si>
    <t>Kg</t>
  </si>
  <si>
    <t>电  机</t>
  </si>
  <si>
    <t>12kw.h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</si>
  <si>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</si>
  <si>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</si>
  <si>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</si>
  <si>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</si>
  <si>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</si>
  <si>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</si>
  <si>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</si>
  <si>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</si>
  <si>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</si>
  <si>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</si>
  <si>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</si>
  <si>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淬火</t>
  </si>
  <si>
    <t>包装费</t>
  </si>
  <si>
    <t>电泳</t>
  </si>
  <si>
    <t>运输费</t>
  </si>
  <si>
    <t>财务费用</t>
  </si>
  <si>
    <t>合   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</si>
  <si>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</si>
  <si>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</si>
  <si>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</si>
  <si>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</si>
  <si>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</si>
  <si>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</si>
  <si>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</si>
  <si>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</si>
  <si>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</si>
  <si>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</si>
  <si>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</si>
  <si>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工   资</t>
  </si>
  <si>
    <t>利    润</t>
  </si>
  <si>
    <t>主要工序</t>
  </si>
  <si>
    <t>激光下料</t>
  </si>
  <si>
    <t>不含税价格</t>
  </si>
  <si>
    <t>折弯（两次）</t>
  </si>
  <si>
    <t>税    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</si>
  <si>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</si>
  <si>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</si>
  <si>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</si>
  <si>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SHT0002744</t>
    <phoneticPr fontId="26" type="noConversion"/>
  </si>
  <si>
    <t>SCS0012140</t>
    <phoneticPr fontId="26" type="noConversion"/>
  </si>
  <si>
    <t>SLT0010690</t>
    <phoneticPr fontId="26" type="noConversion"/>
  </si>
  <si>
    <t>焊胎检具费：4000，按10万件摊销，分摊费用0.04</t>
    <phoneticPr fontId="26" type="noConversion"/>
  </si>
  <si>
    <t>其中含焊胎检具费：4000，按10万件摊销，分摊费用0.04元</t>
    <phoneticPr fontId="26" type="noConversion"/>
  </si>
  <si>
    <t>需成本再次核算</t>
  </si>
  <si>
    <t>需成本再次核算</t>
    <phoneticPr fontId="26" type="noConversion"/>
  </si>
  <si>
    <t>比目标高出1元</t>
    <phoneticPr fontId="26" type="noConversion"/>
  </si>
  <si>
    <t>比目标高出0.45元</t>
    <phoneticPr fontId="26" type="noConversion"/>
  </si>
  <si>
    <t>比目标家高出1元</t>
    <phoneticPr fontId="26" type="noConversion"/>
  </si>
  <si>
    <t>差额</t>
    <phoneticPr fontId="26" type="noConversion"/>
  </si>
  <si>
    <t>目标价-光华荣昌</t>
    <phoneticPr fontId="26" type="noConversion"/>
  </si>
  <si>
    <t>65Mn</t>
    <phoneticPr fontId="26" type="noConversion"/>
  </si>
  <si>
    <t>海兴中盛备注</t>
    <phoneticPr fontId="26" type="noConversion"/>
  </si>
  <si>
    <t>取消电泳后，荣昌新取号（SHT0014846）不对。需重新取号</t>
    <phoneticPr fontId="26" type="noConversion"/>
  </si>
  <si>
    <t>取消电泳后，荣昌新取号（SHT0014845）不对。需重新取号</t>
    <phoneticPr fontId="26" type="noConversion"/>
  </si>
  <si>
    <t>海兴中盛-核算价</t>
    <phoneticPr fontId="26" type="noConversion"/>
  </si>
  <si>
    <t>SLT0011697</t>
    <phoneticPr fontId="26" type="noConversion"/>
  </si>
  <si>
    <t>焊胎检具费：4000，按10万件摊销，分摊费用0.04</t>
    <phoneticPr fontId="26" type="noConversion"/>
  </si>
  <si>
    <t>高寒版，暂停使用（无订单），冲压件激光切割</t>
    <phoneticPr fontId="26" type="noConversion"/>
  </si>
  <si>
    <t>焊胎检具费：7000，按10万件摊销，分摊费用0.07</t>
    <phoneticPr fontId="26" type="noConversion"/>
  </si>
  <si>
    <t>含焊胎检具费：7000，按10万件摊销，分摊费用0.07</t>
    <phoneticPr fontId="26" type="noConversion"/>
  </si>
  <si>
    <t>产品单价18.51，焊胎费3000元，分摊至2000件，每件分摊1.5元，含模摊产品价为20.01元</t>
    <phoneticPr fontId="26" type="noConversion"/>
  </si>
  <si>
    <t>荣昌说明</t>
    <phoneticPr fontId="26" type="noConversion"/>
  </si>
  <si>
    <t>SHT0000800</t>
    <phoneticPr fontId="26" type="noConversion"/>
  </si>
  <si>
    <t>后附报价单</t>
    <phoneticPr fontId="26" type="noConversion"/>
  </si>
  <si>
    <t>鑫祺1.0851</t>
    <phoneticPr fontId="26" type="noConversion"/>
  </si>
  <si>
    <t>检验费</t>
    <phoneticPr fontId="26" type="noConversion"/>
  </si>
  <si>
    <t>不含模摊为18.31元/件，1.6万模具费，分摊至5000件产品中，分摊费3.2元  21.51</t>
    <phoneticPr fontId="26" type="noConversion"/>
  </si>
  <si>
    <t>最终协商价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</si>
</sst>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76" formatCode="0.00000_ "/>
    <numFmt numFmtId="177" formatCode="0.0000_ "/>
    <numFmt numFmtId="178" formatCode="0.00_ "/>
    <numFmt numFmtId="179" formatCode="0_ "/>
    <numFmt numFmtId="180" formatCode="0.000_ "/>
    <numFmt numFmtId="181" formatCode="0.000_);[Red]\(0.000\)"/>
    <numFmt numFmtId="182" formatCode="0.000000_ "/>
    <numFmt numFmtId="183" formatCode="0.00_);[Red]\(0.00\)"/>
    <numFmt numFmtId="184" formatCode="0.0000_);[Red]\(0.0000\)"/>
    <numFmt numFmtId="185" formatCode="0.0000"/>
    <numFmt numFmtId="186" formatCode="0.000"/>
  </numFmts>
  <fonts count="27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S Sans Serif"/>
      <family val="1"/>
    </font>
    <font>
      <sz val="11"/>
      <name val="굴림체"/>
      <charset val="129"/>
    </font>
    <font>
      <sz val="10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" fillId="0" borderId="0">
      <alignment vertical="center"/>
    </xf>
    <xf numFmtId="0" fontId="16" fillId="0" borderId="0"/>
    <xf numFmtId="0" fontId="21" fillId="0" borderId="0"/>
  </cellStyleXfs>
  <cellXfs count="266">
    <xf numFmtId="0" fontId="0" fillId="0" borderId="0" xfId="0">
      <alignment vertical="center"/>
    </xf>
    <xf numFmtId="0" fontId="2" fillId="0" borderId="9" xfId="7" applyBorder="1">
      <alignment vertical="center"/>
    </xf>
    <xf numFmtId="0" fontId="2" fillId="0" borderId="11" xfId="7" applyBorder="1" applyAlignment="1">
      <alignment horizontal="center" vertical="center"/>
    </xf>
    <xf numFmtId="0" fontId="2" fillId="0" borderId="12" xfId="7" applyBorder="1" applyAlignment="1">
      <alignment horizontal="center" vertical="center"/>
    </xf>
    <xf numFmtId="0" fontId="2" fillId="0" borderId="9" xfId="7" applyBorder="1" applyAlignment="1">
      <alignment horizontal="center" vertical="center"/>
    </xf>
    <xf numFmtId="0" fontId="2" fillId="0" borderId="13" xfId="7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0" fontId="2" fillId="0" borderId="14" xfId="7" applyBorder="1" applyAlignment="1">
      <alignment horizontal="center" vertical="center"/>
    </xf>
    <xf numFmtId="176" fontId="2" fillId="2" borderId="9" xfId="7" applyNumberFormat="1" applyFill="1" applyBorder="1">
      <alignment vertical="center"/>
    </xf>
    <xf numFmtId="0" fontId="2" fillId="0" borderId="9" xfId="7" applyBorder="1" applyAlignment="1">
      <alignment horizontal="center" vertical="center" wrapText="1"/>
    </xf>
    <xf numFmtId="177" fontId="2" fillId="0" borderId="9" xfId="7" applyNumberFormat="1" applyBorder="1">
      <alignment vertical="center"/>
    </xf>
    <xf numFmtId="178" fontId="2" fillId="0" borderId="9" xfId="7" applyNumberFormat="1" applyBorder="1">
      <alignment vertical="center"/>
    </xf>
    <xf numFmtId="176" fontId="2" fillId="0" borderId="9" xfId="7" applyNumberForma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4" xfId="7" applyBorder="1">
      <alignment vertical="center"/>
    </xf>
    <xf numFmtId="0" fontId="2" fillId="0" borderId="13" xfId="7" applyBorder="1">
      <alignment vertical="center"/>
    </xf>
    <xf numFmtId="0" fontId="3" fillId="0" borderId="9" xfId="0" applyFont="1" applyBorder="1">
      <alignment vertical="center"/>
    </xf>
    <xf numFmtId="0" fontId="2" fillId="0" borderId="0" xfId="7">
      <alignment vertical="center"/>
    </xf>
    <xf numFmtId="0" fontId="2" fillId="0" borderId="0" xfId="7" applyAlignment="1">
      <alignment horizontal="center" vertical="center"/>
    </xf>
    <xf numFmtId="0" fontId="2" fillId="0" borderId="4" xfId="7" applyBorder="1">
      <alignment vertical="center"/>
    </xf>
    <xf numFmtId="0" fontId="4" fillId="0" borderId="9" xfId="6" applyFont="1" applyBorder="1" applyAlignment="1">
      <alignment horizontal="center" vertical="center" shrinkToFit="1"/>
    </xf>
    <xf numFmtId="0" fontId="2" fillId="0" borderId="15" xfId="7" applyBorder="1">
      <alignment vertical="center"/>
    </xf>
    <xf numFmtId="0" fontId="2" fillId="0" borderId="12" xfId="7" applyBorder="1">
      <alignment vertical="center"/>
    </xf>
    <xf numFmtId="0" fontId="2" fillId="0" borderId="7" xfId="7" applyBorder="1">
      <alignment vertical="center"/>
    </xf>
    <xf numFmtId="0" fontId="2" fillId="0" borderId="11" xfId="7" applyBorder="1">
      <alignment vertical="center"/>
    </xf>
    <xf numFmtId="178" fontId="2" fillId="0" borderId="9" xfId="7" applyNumberFormat="1" applyBorder="1" applyAlignment="1">
      <alignment horizontal="center" vertical="center"/>
    </xf>
    <xf numFmtId="180" fontId="2" fillId="0" borderId="9" xfId="7" applyNumberFormat="1" applyBorder="1" applyAlignment="1">
      <alignment horizontal="center" vertical="center"/>
    </xf>
    <xf numFmtId="178" fontId="2" fillId="2" borderId="9" xfId="7" applyNumberFormat="1" applyFill="1" applyBorder="1">
      <alignment vertical="center"/>
    </xf>
    <xf numFmtId="180" fontId="2" fillId="2" borderId="9" xfId="7" applyNumberFormat="1" applyFill="1" applyBorder="1">
      <alignment vertical="center"/>
    </xf>
    <xf numFmtId="180" fontId="2" fillId="0" borderId="9" xfId="7" applyNumberFormat="1" applyBorder="1">
      <alignment vertical="center"/>
    </xf>
    <xf numFmtId="0" fontId="7" fillId="3" borderId="9" xfId="8" applyFont="1" applyFill="1" applyBorder="1" applyAlignment="1">
      <alignment horizontal="center" vertical="center" wrapText="1"/>
    </xf>
    <xf numFmtId="0" fontId="7" fillId="3" borderId="9" xfId="9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8" fillId="3" borderId="9" xfId="8" applyFont="1" applyFill="1" applyBorder="1" applyAlignment="1">
      <alignment horizontal="center" vertical="center" wrapText="1"/>
    </xf>
    <xf numFmtId="181" fontId="8" fillId="0" borderId="9" xfId="0" applyNumberFormat="1" applyFont="1" applyBorder="1" applyAlignment="1">
      <alignment horizontal="center" vertical="center" wrapText="1"/>
    </xf>
    <xf numFmtId="181" fontId="9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80" fontId="1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82" fontId="0" fillId="4" borderId="9" xfId="0" applyNumberFormat="1" applyFill="1" applyBorder="1" applyAlignment="1">
      <alignment horizontal="center" vertical="center"/>
    </xf>
    <xf numFmtId="0" fontId="25" fillId="6" borderId="0" xfId="3" applyFill="1"/>
    <xf numFmtId="0" fontId="25" fillId="0" borderId="0" xfId="3"/>
    <xf numFmtId="0" fontId="10" fillId="0" borderId="9" xfId="3" applyFont="1" applyBorder="1" applyAlignment="1">
      <alignment horizontal="center" vertical="center"/>
    </xf>
    <xf numFmtId="0" fontId="25" fillId="0" borderId="9" xfId="3" applyBorder="1" applyAlignment="1">
      <alignment horizontal="center" vertical="center"/>
    </xf>
    <xf numFmtId="0" fontId="25" fillId="0" borderId="9" xfId="3" applyBorder="1"/>
    <xf numFmtId="2" fontId="25" fillId="0" borderId="9" xfId="3" applyNumberFormat="1" applyBorder="1" applyAlignment="1">
      <alignment horizontal="center" vertical="center"/>
    </xf>
    <xf numFmtId="0" fontId="25" fillId="6" borderId="9" xfId="3" applyFill="1" applyBorder="1" applyAlignment="1">
      <alignment horizontal="center" vertical="center"/>
    </xf>
    <xf numFmtId="0" fontId="25" fillId="6" borderId="9" xfId="3" applyFill="1" applyBorder="1"/>
    <xf numFmtId="2" fontId="25" fillId="6" borderId="9" xfId="3" applyNumberForma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2" fontId="25" fillId="6" borderId="9" xfId="3" applyNumberFormat="1" applyFill="1" applyBorder="1" applyAlignment="1">
      <alignment horizontal="right" vertical="center"/>
    </xf>
    <xf numFmtId="0" fontId="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4" fillId="0" borderId="14" xfId="5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183" fontId="14" fillId="0" borderId="9" xfId="5" applyNumberFormat="1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 wrapText="1"/>
    </xf>
    <xf numFmtId="183" fontId="14" fillId="0" borderId="14" xfId="5" applyNumberFormat="1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/>
    </xf>
    <xf numFmtId="181" fontId="14" fillId="0" borderId="9" xfId="5" applyNumberFormat="1" applyFont="1" applyBorder="1" applyAlignment="1">
      <alignment horizontal="center" vertical="center"/>
    </xf>
    <xf numFmtId="181" fontId="14" fillId="0" borderId="9" xfId="5" applyNumberFormat="1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shrinkToFit="1"/>
    </xf>
    <xf numFmtId="0" fontId="14" fillId="0" borderId="9" xfId="5" applyFont="1" applyBorder="1" applyAlignment="1">
      <alignment horizontal="center" vertical="center" wrapText="1" shrinkToFit="1"/>
    </xf>
    <xf numFmtId="181" fontId="14" fillId="0" borderId="14" xfId="5" applyNumberFormat="1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 wrapText="1" shrinkToFit="1"/>
    </xf>
    <xf numFmtId="183" fontId="3" fillId="6" borderId="9" xfId="5" applyNumberFormat="1" applyFont="1" applyFill="1" applyBorder="1" applyAlignment="1">
      <alignment horizontal="center" vertical="center"/>
    </xf>
    <xf numFmtId="0" fontId="3" fillId="6" borderId="9" xfId="5" applyFont="1" applyFill="1" applyBorder="1" applyAlignment="1">
      <alignment horizontal="center" vertical="center"/>
    </xf>
    <xf numFmtId="183" fontId="14" fillId="0" borderId="9" xfId="5" applyNumberFormat="1" applyFont="1" applyBorder="1" applyAlignment="1">
      <alignment horizontal="center" vertical="center" shrinkToFit="1"/>
    </xf>
    <xf numFmtId="9" fontId="14" fillId="0" borderId="9" xfId="2" applyFont="1" applyFill="1" applyBorder="1" applyAlignment="1">
      <alignment horizontal="center" vertical="center"/>
    </xf>
    <xf numFmtId="2" fontId="14" fillId="0" borderId="9" xfId="5" applyNumberFormat="1" applyFont="1" applyBorder="1" applyAlignment="1">
      <alignment horizontal="center" vertical="center" shrinkToFit="1"/>
    </xf>
    <xf numFmtId="2" fontId="3" fillId="6" borderId="9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83" fontId="14" fillId="0" borderId="9" xfId="0" applyNumberFormat="1" applyFont="1" applyBorder="1" applyAlignment="1">
      <alignment horizontal="center" vertical="center"/>
    </xf>
    <xf numFmtId="181" fontId="14" fillId="0" borderId="9" xfId="0" applyNumberFormat="1" applyFont="1" applyBorder="1" applyAlignment="1">
      <alignment horizontal="center" vertical="center"/>
    </xf>
    <xf numFmtId="18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shrinkToFit="1"/>
    </xf>
    <xf numFmtId="184" fontId="14" fillId="0" borderId="9" xfId="0" applyNumberFormat="1" applyFont="1" applyBorder="1" applyAlignment="1">
      <alignment vertical="center" wrapText="1"/>
    </xf>
    <xf numFmtId="0" fontId="3" fillId="0" borderId="9" xfId="5" applyFont="1" applyBorder="1" applyAlignment="1">
      <alignment vertical="center" wrapText="1"/>
    </xf>
    <xf numFmtId="184" fontId="14" fillId="0" borderId="9" xfId="0" applyNumberFormat="1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183" fontId="14" fillId="0" borderId="9" xfId="0" applyNumberFormat="1" applyFont="1" applyBorder="1" applyAlignment="1">
      <alignment vertical="center" wrapText="1"/>
    </xf>
    <xf numFmtId="183" fontId="14" fillId="0" borderId="9" xfId="0" applyNumberFormat="1" applyFont="1" applyBorder="1" applyAlignment="1">
      <alignment horizontal="center" vertical="center" wrapText="1"/>
    </xf>
    <xf numFmtId="183" fontId="14" fillId="0" borderId="9" xfId="0" applyNumberFormat="1" applyFont="1" applyBorder="1">
      <alignment vertical="center"/>
    </xf>
    <xf numFmtId="0" fontId="16" fillId="0" borderId="9" xfId="5" applyFont="1" applyBorder="1" applyAlignment="1">
      <alignment horizontal="center" vertical="center"/>
    </xf>
    <xf numFmtId="183" fontId="14" fillId="0" borderId="9" xfId="0" applyNumberFormat="1" applyFont="1" applyBorder="1" applyAlignment="1">
      <alignment horizontal="center" vertical="center" shrinkToFi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/>
    </xf>
    <xf numFmtId="0" fontId="0" fillId="7" borderId="0" xfId="0" applyFill="1" applyAlignment="1">
      <alignment vertical="center" wrapText="1"/>
    </xf>
    <xf numFmtId="180" fontId="0" fillId="0" borderId="0" xfId="0" applyNumberFormat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185" fontId="0" fillId="0" borderId="9" xfId="0" applyNumberFormat="1" applyBorder="1" applyAlignment="1">
      <alignment horizontal="center" vertical="center" wrapText="1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 wrapText="1"/>
    </xf>
    <xf numFmtId="185" fontId="0" fillId="7" borderId="9" xfId="0" applyNumberFormat="1" applyFill="1" applyBorder="1" applyAlignment="1">
      <alignment horizontal="center" vertical="center" wrapText="1"/>
    </xf>
    <xf numFmtId="186" fontId="0" fillId="7" borderId="9" xfId="0" applyNumberFormat="1" applyFill="1" applyBorder="1" applyAlignment="1">
      <alignment horizontal="center" vertical="center" wrapText="1"/>
    </xf>
    <xf numFmtId="185" fontId="0" fillId="0" borderId="9" xfId="0" applyNumberFormat="1" applyBorder="1" applyAlignment="1">
      <alignment vertical="center" wrapText="1"/>
    </xf>
    <xf numFmtId="180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85" fontId="0" fillId="0" borderId="9" xfId="0" applyNumberFormat="1" applyBorder="1" applyAlignment="1">
      <alignment horizontal="right" vertical="center" wrapText="1"/>
    </xf>
    <xf numFmtId="185" fontId="0" fillId="7" borderId="9" xfId="0" applyNumberFormat="1" applyFill="1" applyBorder="1" applyAlignment="1">
      <alignment vertical="center" wrapText="1"/>
    </xf>
    <xf numFmtId="180" fontId="0" fillId="7" borderId="9" xfId="0" applyNumberFormat="1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185" fontId="0" fillId="7" borderId="0" xfId="0" applyNumberFormat="1" applyFill="1" applyAlignment="1">
      <alignment horizontal="right" vertical="center" wrapText="1"/>
    </xf>
    <xf numFmtId="185" fontId="0" fillId="7" borderId="9" xfId="0" applyNumberFormat="1" applyFill="1" applyBorder="1" applyAlignment="1">
      <alignment horizontal="right" vertical="center" wrapText="1"/>
    </xf>
    <xf numFmtId="2" fontId="0" fillId="7" borderId="9" xfId="0" applyNumberFormat="1" applyFill="1" applyBorder="1" applyAlignment="1">
      <alignment vertical="center" wrapText="1"/>
    </xf>
    <xf numFmtId="0" fontId="0" fillId="0" borderId="0" xfId="0" applyAlignment="1">
      <alignment horizontal="justify" vertical="center" wrapText="1"/>
    </xf>
    <xf numFmtId="185" fontId="0" fillId="8" borderId="9" xfId="0" applyNumberForma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85" fontId="0" fillId="4" borderId="9" xfId="0" applyNumberFormat="1" applyFill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186" fontId="0" fillId="0" borderId="9" xfId="0" applyNumberForma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80" fontId="18" fillId="0" borderId="10" xfId="0" applyNumberFormat="1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177" fontId="0" fillId="0" borderId="9" xfId="0" applyNumberFormat="1" applyBorder="1" applyAlignment="1">
      <alignment vertical="center" wrapText="1"/>
    </xf>
    <xf numFmtId="0" fontId="18" fillId="7" borderId="9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178" fontId="3" fillId="8" borderId="9" xfId="0" applyNumberFormat="1" applyFont="1" applyFill="1" applyBorder="1" applyAlignment="1">
      <alignment horizontal="center" vertical="center" wrapText="1"/>
    </xf>
    <xf numFmtId="178" fontId="3" fillId="8" borderId="9" xfId="0" applyNumberFormat="1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180" fontId="18" fillId="0" borderId="9" xfId="0" applyNumberFormat="1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1" fontId="0" fillId="7" borderId="9" xfId="0" applyNumberForma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177" fontId="0" fillId="8" borderId="10" xfId="0" applyNumberFormat="1" applyFill="1" applyBorder="1" applyAlignment="1">
      <alignment horizontal="right" vertical="center" wrapText="1"/>
    </xf>
    <xf numFmtId="185" fontId="0" fillId="8" borderId="9" xfId="0" applyNumberFormat="1" applyFill="1" applyBorder="1" applyAlignment="1">
      <alignment horizontal="right" vertical="center" wrapText="1"/>
    </xf>
    <xf numFmtId="177" fontId="0" fillId="8" borderId="9" xfId="0" applyNumberFormat="1" applyFill="1" applyBorder="1" applyAlignment="1">
      <alignment horizontal="right" vertical="center" wrapText="1"/>
    </xf>
    <xf numFmtId="177" fontId="18" fillId="7" borderId="10" xfId="0" applyNumberFormat="1" applyFont="1" applyFill="1" applyBorder="1" applyAlignment="1">
      <alignment horizontal="right" vertical="center" wrapText="1"/>
    </xf>
    <xf numFmtId="177" fontId="0" fillId="8" borderId="0" xfId="0" applyNumberFormat="1" applyFill="1" applyAlignment="1">
      <alignment horizontal="right" vertical="center" wrapText="1"/>
    </xf>
    <xf numFmtId="177" fontId="18" fillId="8" borderId="10" xfId="0" applyNumberFormat="1" applyFont="1" applyFill="1" applyBorder="1" applyAlignment="1">
      <alignment horizontal="right" vertical="center" wrapText="1"/>
    </xf>
    <xf numFmtId="177" fontId="0" fillId="8" borderId="4" xfId="0" applyNumberFormat="1" applyFill="1" applyBorder="1" applyAlignment="1">
      <alignment horizontal="right" vertical="center" wrapText="1"/>
    </xf>
    <xf numFmtId="177" fontId="0" fillId="7" borderId="10" xfId="0" applyNumberFormat="1" applyFill="1" applyBorder="1" applyAlignment="1">
      <alignment horizontal="right" vertical="center" wrapText="1"/>
    </xf>
    <xf numFmtId="180" fontId="0" fillId="0" borderId="0" xfId="0" applyNumberFormat="1" applyAlignment="1">
      <alignment horizontal="right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center" vertical="center" wrapText="1" shrinkToFit="1"/>
    </xf>
    <xf numFmtId="183" fontId="14" fillId="0" borderId="9" xfId="0" applyNumberFormat="1" applyFont="1" applyBorder="1" applyAlignment="1">
      <alignment horizontal="center" vertical="center"/>
    </xf>
    <xf numFmtId="183" fontId="14" fillId="0" borderId="9" xfId="0" applyNumberFormat="1" applyFont="1" applyBorder="1" applyAlignment="1">
      <alignment horizontal="center" vertical="center" wrapText="1"/>
    </xf>
    <xf numFmtId="184" fontId="14" fillId="0" borderId="9" xfId="0" applyNumberFormat="1" applyFont="1" applyBorder="1" applyAlignment="1">
      <alignment horizontal="center" vertical="center" wrapText="1"/>
    </xf>
    <xf numFmtId="181" fontId="14" fillId="0" borderId="9" xfId="0" applyNumberFormat="1" applyFont="1" applyBorder="1" applyAlignment="1">
      <alignment horizontal="center" vertical="center"/>
    </xf>
    <xf numFmtId="184" fontId="14" fillId="0" borderId="9" xfId="0" applyNumberFormat="1" applyFont="1" applyBorder="1" applyAlignment="1">
      <alignment horizontal="center" vertical="center"/>
    </xf>
    <xf numFmtId="183" fontId="14" fillId="0" borderId="14" xfId="0" applyNumberFormat="1" applyFont="1" applyBorder="1" applyAlignment="1">
      <alignment horizontal="center" vertical="center"/>
    </xf>
    <xf numFmtId="183" fontId="14" fillId="0" borderId="15" xfId="0" applyNumberFormat="1" applyFont="1" applyBorder="1" applyAlignment="1">
      <alignment horizontal="center" vertical="center"/>
    </xf>
    <xf numFmtId="183" fontId="14" fillId="0" borderId="13" xfId="0" applyNumberFormat="1" applyFont="1" applyBorder="1" applyAlignment="1">
      <alignment horizontal="center" vertical="center"/>
    </xf>
    <xf numFmtId="184" fontId="14" fillId="0" borderId="14" xfId="0" applyNumberFormat="1" applyFont="1" applyBorder="1" applyAlignment="1">
      <alignment horizontal="center" vertical="center"/>
    </xf>
    <xf numFmtId="184" fontId="14" fillId="0" borderId="15" xfId="0" applyNumberFormat="1" applyFont="1" applyBorder="1" applyAlignment="1">
      <alignment horizontal="center" vertical="center"/>
    </xf>
    <xf numFmtId="184" fontId="14" fillId="0" borderId="13" xfId="0" applyNumberFormat="1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183" fontId="14" fillId="0" borderId="9" xfId="5" applyNumberFormat="1" applyFont="1" applyBorder="1" applyAlignment="1">
      <alignment horizontal="center" vertical="center"/>
    </xf>
    <xf numFmtId="181" fontId="14" fillId="0" borderId="9" xfId="5" applyNumberFormat="1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3" fillId="6" borderId="10" xfId="5" applyFont="1" applyFill="1" applyBorder="1" applyAlignment="1">
      <alignment horizontal="center" vertical="center"/>
    </xf>
    <xf numFmtId="0" fontId="3" fillId="6" borderId="11" xfId="5" applyFont="1" applyFill="1" applyBorder="1" applyAlignment="1">
      <alignment horizontal="center" vertical="center"/>
    </xf>
    <xf numFmtId="0" fontId="3" fillId="6" borderId="12" xfId="5" applyFont="1" applyFill="1" applyBorder="1" applyAlignment="1">
      <alignment horizontal="center" vertical="center"/>
    </xf>
    <xf numFmtId="0" fontId="14" fillId="0" borderId="14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183" fontId="14" fillId="0" borderId="3" xfId="5" applyNumberFormat="1" applyFont="1" applyBorder="1" applyAlignment="1">
      <alignment horizontal="center" vertical="center" wrapText="1" shrinkToFit="1"/>
    </xf>
    <xf numFmtId="183" fontId="14" fillId="0" borderId="8" xfId="5" applyNumberFormat="1" applyFont="1" applyBorder="1" applyAlignment="1">
      <alignment horizontal="center" vertical="center" wrapText="1" shrinkToFit="1"/>
    </xf>
    <xf numFmtId="9" fontId="14" fillId="0" borderId="14" xfId="2" applyFont="1" applyFill="1" applyBorder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9" fontId="14" fillId="0" borderId="13" xfId="2" applyFont="1" applyFill="1" applyBorder="1" applyAlignment="1">
      <alignment horizontal="center" vertical="center"/>
    </xf>
    <xf numFmtId="183" fontId="14" fillId="0" borderId="14" xfId="5" applyNumberFormat="1" applyFont="1" applyBorder="1" applyAlignment="1">
      <alignment horizontal="center" vertical="center" wrapText="1"/>
    </xf>
    <xf numFmtId="183" fontId="14" fillId="0" borderId="13" xfId="5" applyNumberFormat="1" applyFont="1" applyBorder="1" applyAlignment="1">
      <alignment horizontal="center" vertical="center" wrapText="1"/>
    </xf>
    <xf numFmtId="183" fontId="3" fillId="0" borderId="14" xfId="5" applyNumberFormat="1" applyFont="1" applyBorder="1" applyAlignment="1">
      <alignment horizontal="center" vertical="center"/>
    </xf>
    <xf numFmtId="183" fontId="3" fillId="0" borderId="15" xfId="5" applyNumberFormat="1" applyFont="1" applyBorder="1" applyAlignment="1">
      <alignment horizontal="center" vertical="center"/>
    </xf>
    <xf numFmtId="183" fontId="3" fillId="0" borderId="13" xfId="5" applyNumberFormat="1" applyFont="1" applyBorder="1" applyAlignment="1">
      <alignment horizontal="center" vertical="center"/>
    </xf>
    <xf numFmtId="0" fontId="25" fillId="0" borderId="14" xfId="3" applyBorder="1" applyAlignment="1">
      <alignment horizontal="center" vertical="center"/>
    </xf>
    <xf numFmtId="0" fontId="25" fillId="0" borderId="15" xfId="3" applyBorder="1" applyAlignment="1">
      <alignment horizontal="center" vertical="center"/>
    </xf>
    <xf numFmtId="0" fontId="25" fillId="0" borderId="13" xfId="3" applyBorder="1" applyAlignment="1">
      <alignment horizontal="center" vertical="center"/>
    </xf>
    <xf numFmtId="2" fontId="25" fillId="0" borderId="14" xfId="3" applyNumberFormat="1" applyBorder="1" applyAlignment="1">
      <alignment horizontal="center" vertical="center"/>
    </xf>
    <xf numFmtId="2" fontId="25" fillId="0" borderId="15" xfId="3" applyNumberFormat="1" applyBorder="1" applyAlignment="1">
      <alignment horizontal="center" vertical="center"/>
    </xf>
    <xf numFmtId="2" fontId="25" fillId="0" borderId="13" xfId="3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1" fontId="8" fillId="0" borderId="10" xfId="0" applyNumberFormat="1" applyFont="1" applyBorder="1" applyAlignment="1">
      <alignment horizontal="center" vertical="center" wrapText="1"/>
    </xf>
    <xf numFmtId="181" fontId="8" fillId="0" borderId="12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 shrinkToFit="1"/>
    </xf>
    <xf numFmtId="0" fontId="4" fillId="0" borderId="11" xfId="6" applyFont="1" applyBorder="1" applyAlignment="1">
      <alignment horizontal="center" vertical="center" shrinkToFit="1"/>
    </xf>
    <xf numFmtId="0" fontId="4" fillId="0" borderId="12" xfId="6" applyFont="1" applyBorder="1" applyAlignment="1">
      <alignment horizontal="center" vertical="center" shrinkToFit="1"/>
    </xf>
    <xf numFmtId="0" fontId="5" fillId="0" borderId="9" xfId="1" applyFont="1" applyFill="1" applyBorder="1" applyAlignment="1" applyProtection="1">
      <alignment horizontal="center" vertical="center" shrinkToFit="1"/>
    </xf>
    <xf numFmtId="0" fontId="5" fillId="0" borderId="10" xfId="1" applyFont="1" applyFill="1" applyBorder="1" applyAlignment="1" applyProtection="1">
      <alignment horizontal="center" vertical="center" shrinkToFit="1"/>
    </xf>
    <xf numFmtId="0" fontId="5" fillId="0" borderId="11" xfId="1" applyFont="1" applyFill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 shrinkToFit="1"/>
    </xf>
    <xf numFmtId="0" fontId="2" fillId="0" borderId="10" xfId="7" applyBorder="1" applyAlignment="1">
      <alignment horizontal="center" vertical="center"/>
    </xf>
    <xf numFmtId="0" fontId="2" fillId="0" borderId="12" xfId="7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0" fontId="2" fillId="0" borderId="8" xfId="7" applyBorder="1" applyAlignment="1">
      <alignment horizontal="center" vertical="center"/>
    </xf>
    <xf numFmtId="0" fontId="2" fillId="0" borderId="11" xfId="7" applyBorder="1" applyAlignment="1">
      <alignment horizontal="center" vertical="center"/>
    </xf>
    <xf numFmtId="14" fontId="2" fillId="0" borderId="10" xfId="7" applyNumberFormat="1" applyBorder="1" applyAlignment="1">
      <alignment horizontal="center" vertical="center"/>
    </xf>
    <xf numFmtId="0" fontId="2" fillId="0" borderId="10" xfId="7" applyBorder="1" applyAlignment="1">
      <alignment horizontal="center" vertical="center" wrapText="1"/>
    </xf>
    <xf numFmtId="0" fontId="2" fillId="0" borderId="12" xfId="7" applyBorder="1" applyAlignment="1">
      <alignment horizontal="center" vertical="center" wrapText="1"/>
    </xf>
    <xf numFmtId="0" fontId="2" fillId="0" borderId="14" xfId="7" applyBorder="1" applyAlignment="1">
      <alignment horizontal="center" vertical="center"/>
    </xf>
    <xf numFmtId="0" fontId="2" fillId="0" borderId="13" xfId="7" applyBorder="1" applyAlignment="1">
      <alignment horizontal="center" vertical="center"/>
    </xf>
    <xf numFmtId="0" fontId="2" fillId="0" borderId="3" xfId="7" applyBorder="1" applyAlignment="1">
      <alignment horizontal="center" vertical="center"/>
    </xf>
    <xf numFmtId="0" fontId="2" fillId="0" borderId="5" xfId="7" applyBorder="1" applyAlignment="1">
      <alignment horizontal="center" vertical="center"/>
    </xf>
    <xf numFmtId="0" fontId="2" fillId="0" borderId="15" xfId="7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6" xfId="7" applyBorder="1" applyAlignment="1">
      <alignment horizontal="center" vertical="center"/>
    </xf>
    <xf numFmtId="0" fontId="1" fillId="0" borderId="1" xfId="6" applyFont="1" applyBorder="1" applyAlignment="1">
      <alignment horizontal="center" vertical="center" shrinkToFit="1"/>
    </xf>
    <xf numFmtId="0" fontId="1" fillId="0" borderId="2" xfId="6" applyFont="1" applyBorder="1" applyAlignment="1">
      <alignment horizontal="center" vertical="center" shrinkToFit="1"/>
    </xf>
    <xf numFmtId="0" fontId="1" fillId="0" borderId="3" xfId="6" applyFont="1" applyBorder="1" applyAlignment="1">
      <alignment horizontal="center" vertical="center" shrinkToFit="1"/>
    </xf>
    <xf numFmtId="0" fontId="1" fillId="0" borderId="4" xfId="6" applyFont="1" applyBorder="1" applyAlignment="1">
      <alignment horizontal="center" vertical="center" shrinkToFit="1"/>
    </xf>
    <xf numFmtId="0" fontId="1" fillId="0" borderId="0" xfId="6" applyFont="1" applyAlignment="1">
      <alignment horizontal="center" vertical="center" shrinkToFit="1"/>
    </xf>
    <xf numFmtId="0" fontId="1" fillId="0" borderId="5" xfId="6" applyFont="1" applyBorder="1" applyAlignment="1">
      <alignment horizontal="center" vertical="center" shrinkToFit="1"/>
    </xf>
    <xf numFmtId="0" fontId="1" fillId="0" borderId="6" xfId="6" applyFont="1" applyBorder="1" applyAlignment="1">
      <alignment horizontal="center" vertical="center" shrinkToFit="1"/>
    </xf>
    <xf numFmtId="0" fontId="1" fillId="0" borderId="7" xfId="6" applyFont="1" applyBorder="1" applyAlignment="1">
      <alignment horizontal="center" vertical="center" shrinkToFit="1"/>
    </xf>
    <xf numFmtId="0" fontId="1" fillId="0" borderId="8" xfId="6" applyFont="1" applyBorder="1" applyAlignment="1">
      <alignment horizontal="center" vertical="center" shrinkToFit="1"/>
    </xf>
    <xf numFmtId="179" fontId="2" fillId="0" borderId="11" xfId="7" applyNumberFormat="1" applyBorder="1" applyAlignment="1">
      <alignment horizontal="center" vertical="center" wrapText="1"/>
    </xf>
    <xf numFmtId="179" fontId="2" fillId="0" borderId="12" xfId="7" applyNumberFormat="1" applyBorder="1" applyAlignment="1">
      <alignment horizontal="center" vertical="center"/>
    </xf>
  </cellXfs>
  <cellStyles count="10">
    <cellStyle name="Normal_PCS_KMC_HR TRIM COVER(NYLEX)_070921-2" xfId="8" xr:uid="{00000000-0005-0000-0000-000037000000}"/>
    <cellStyle name="百分比 2" xfId="2" xr:uid="{00000000-0005-0000-0000-000031000000}"/>
    <cellStyle name="常规" xfId="0" builtinId="0"/>
    <cellStyle name="常规 2" xfId="3" xr:uid="{00000000-0005-0000-0000-000032000000}"/>
    <cellStyle name="常规 3" xfId="4" xr:uid="{00000000-0005-0000-0000-000033000000}"/>
    <cellStyle name="常规 5" xfId="5" xr:uid="{00000000-0005-0000-0000-000034000000}"/>
    <cellStyle name="常规_Sheet1" xfId="7" xr:uid="{00000000-0005-0000-0000-000036000000}"/>
    <cellStyle name="常规_TD001物料清单及报价1208" xfId="6" xr:uid="{00000000-0005-0000-0000-000035000000}"/>
    <cellStyle name="超链接" xfId="1" builtinId="8"/>
    <cellStyle name="표준_BH_ENGINEERING_BOM_050224" xfId="9" xr:uid="{00000000-0005-0000-0000-000038000000}"/>
  </cellStyles>
  <dxfs count="69">
    <dxf>
      <fill>
        <patternFill patternType="solid">
          <fgColor rgb="FF00B0F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  <tableStyle name="PivotStylePreset2_Accent1" table="0" count="10" xr9:uid="{267968C8-6FFD-4C36-ACC1-9EA1FD1885CA}">
      <tableStyleElement type="headerRow" dxfId="61"/>
      <tableStyleElement type="totalRow" dxfId="60"/>
      <tableStyleElement type="firstRowStripe" dxfId="59"/>
      <tableStyleElement type="firstColumnStripe" dxfId="58"/>
      <tableStyleElement type="firstSubtotalRow" dxfId="57"/>
      <tableStyleElement type="secondSubtotalRow" dxfId="56"/>
      <tableStyleElement type="firstRowSubheading" dxfId="55"/>
      <tableStyleElement type="secondRowSubheading" dxfId="54"/>
      <tableStyleElement type="pageFieldLabels" dxfId="53"/>
      <tableStyleElement type="pageFieldValues" dxfId="5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png"/><Relationship Id="rId18" Type="http://schemas.openxmlformats.org/officeDocument/2006/relationships/image" Target="../media/image9.png"/><Relationship Id="rId26" Type="http://schemas.openxmlformats.org/officeDocument/2006/relationships/image" Target="../media/image31.png"/><Relationship Id="rId3" Type="http://schemas.openxmlformats.org/officeDocument/2006/relationships/image" Target="../media/image26.png"/><Relationship Id="rId21" Type="http://schemas.openxmlformats.org/officeDocument/2006/relationships/image" Target="../media/image13.png"/><Relationship Id="rId34" Type="http://schemas.openxmlformats.org/officeDocument/2006/relationships/image" Target="../media/image42.png"/><Relationship Id="rId7" Type="http://schemas.openxmlformats.org/officeDocument/2006/relationships/image" Target="../media/image12.png"/><Relationship Id="rId12" Type="http://schemas.openxmlformats.org/officeDocument/2006/relationships/image" Target="../media/image37.png"/><Relationship Id="rId17" Type="http://schemas.openxmlformats.org/officeDocument/2006/relationships/image" Target="../media/image8.png"/><Relationship Id="rId25" Type="http://schemas.openxmlformats.org/officeDocument/2006/relationships/image" Target="../media/image30.png"/><Relationship Id="rId33" Type="http://schemas.openxmlformats.org/officeDocument/2006/relationships/image" Target="../media/image41.png"/><Relationship Id="rId2" Type="http://schemas.openxmlformats.org/officeDocument/2006/relationships/image" Target="../media/image25.png"/><Relationship Id="rId16" Type="http://schemas.openxmlformats.org/officeDocument/2006/relationships/image" Target="../media/image5.png"/><Relationship Id="rId20" Type="http://schemas.openxmlformats.org/officeDocument/2006/relationships/image" Target="../media/image11.png"/><Relationship Id="rId29" Type="http://schemas.openxmlformats.org/officeDocument/2006/relationships/image" Target="../media/image34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11" Type="http://schemas.openxmlformats.org/officeDocument/2006/relationships/image" Target="../media/image29.png"/><Relationship Id="rId24" Type="http://schemas.openxmlformats.org/officeDocument/2006/relationships/image" Target="../media/image18.emf"/><Relationship Id="rId32" Type="http://schemas.openxmlformats.org/officeDocument/2006/relationships/image" Target="../media/image46.png"/><Relationship Id="rId5" Type="http://schemas.openxmlformats.org/officeDocument/2006/relationships/image" Target="../media/image22.png"/><Relationship Id="rId15" Type="http://schemas.openxmlformats.org/officeDocument/2006/relationships/image" Target="../media/image3.png"/><Relationship Id="rId23" Type="http://schemas.openxmlformats.org/officeDocument/2006/relationships/image" Target="../media/image16.png"/><Relationship Id="rId28" Type="http://schemas.openxmlformats.org/officeDocument/2006/relationships/image" Target="../media/image33.png"/><Relationship Id="rId10" Type="http://schemas.openxmlformats.org/officeDocument/2006/relationships/image" Target="../media/image17.png"/><Relationship Id="rId19" Type="http://schemas.openxmlformats.org/officeDocument/2006/relationships/image" Target="../media/image10.png"/><Relationship Id="rId31" Type="http://schemas.openxmlformats.org/officeDocument/2006/relationships/image" Target="../media/image40.png"/><Relationship Id="rId4" Type="http://schemas.openxmlformats.org/officeDocument/2006/relationships/image" Target="../media/image43.png"/><Relationship Id="rId9" Type="http://schemas.openxmlformats.org/officeDocument/2006/relationships/image" Target="../media/image45.png"/><Relationship Id="rId14" Type="http://schemas.openxmlformats.org/officeDocument/2006/relationships/image" Target="../media/image2.png"/><Relationship Id="rId22" Type="http://schemas.openxmlformats.org/officeDocument/2006/relationships/image" Target="../media/image14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36.png"/><Relationship Id="rId8" Type="http://schemas.openxmlformats.org/officeDocument/2006/relationships/image" Target="../media/image4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49.png"/><Relationship Id="rId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274320</xdr:colOff>
      <xdr:row>3</xdr:row>
      <xdr:rowOff>91440</xdr:rowOff>
    </xdr:from>
    <xdr:to>
      <xdr:col>7</xdr:col>
      <xdr:colOff>680085</xdr:colOff>
      <xdr:row>3</xdr:row>
      <xdr:rowOff>530225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8745" y="1719580"/>
          <a:ext cx="40576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4</xdr:row>
      <xdr:rowOff>121920</xdr:rowOff>
    </xdr:from>
    <xdr:to>
      <xdr:col>7</xdr:col>
      <xdr:colOff>866140</xdr:colOff>
      <xdr:row>4</xdr:row>
      <xdr:rowOff>464820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3005" y="2329180"/>
          <a:ext cx="7975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</xdr:colOff>
      <xdr:row>5</xdr:row>
      <xdr:rowOff>167640</xdr:rowOff>
    </xdr:from>
    <xdr:to>
      <xdr:col>7</xdr:col>
      <xdr:colOff>889000</xdr:colOff>
      <xdr:row>5</xdr:row>
      <xdr:rowOff>421640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 flipV="1">
          <a:off x="4954905" y="2954020"/>
          <a:ext cx="85852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</xdr:colOff>
      <xdr:row>6</xdr:row>
      <xdr:rowOff>144780</xdr:rowOff>
    </xdr:from>
    <xdr:to>
      <xdr:col>7</xdr:col>
      <xdr:colOff>918845</xdr:colOff>
      <xdr:row>6</xdr:row>
      <xdr:rowOff>402590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0145" y="3510280"/>
          <a:ext cx="87312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167640</xdr:colOff>
      <xdr:row>7</xdr:row>
      <xdr:rowOff>106680</xdr:rowOff>
    </xdr:from>
    <xdr:to>
      <xdr:col>7</xdr:col>
      <xdr:colOff>795020</xdr:colOff>
      <xdr:row>7</xdr:row>
      <xdr:rowOff>458470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5229860" y="3913505"/>
          <a:ext cx="35179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9</xdr:row>
      <xdr:rowOff>83820</xdr:rowOff>
    </xdr:from>
    <xdr:to>
      <xdr:col>7</xdr:col>
      <xdr:colOff>563245</xdr:colOff>
      <xdr:row>9</xdr:row>
      <xdr:rowOff>483870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5153025" y="5765800"/>
          <a:ext cx="33464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38101</xdr:colOff>
      <xdr:row>10</xdr:row>
      <xdr:rowOff>45720</xdr:rowOff>
    </xdr:from>
    <xdr:to>
      <xdr:col>7</xdr:col>
      <xdr:colOff>457200</xdr:colOff>
      <xdr:row>10</xdr:row>
      <xdr:rowOff>533400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62525" y="6306820"/>
          <a:ext cx="419100" cy="487680"/>
        </a:xfrm>
        <a:prstGeom prst="rect">
          <a:avLst/>
        </a:prstGeom>
      </xdr:spPr>
    </xdr:pic>
    <xdr:clientData/>
  </xdr:twoCellAnchor>
  <xdr:twoCellAnchor editAs="oneCell">
    <xdr:from>
      <xdr:col>7</xdr:col>
      <xdr:colOff>441960</xdr:colOff>
      <xdr:row>10</xdr:row>
      <xdr:rowOff>53340</xdr:rowOff>
    </xdr:from>
    <xdr:to>
      <xdr:col>7</xdr:col>
      <xdr:colOff>952500</xdr:colOff>
      <xdr:row>10</xdr:row>
      <xdr:rowOff>510540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66385" y="6314440"/>
          <a:ext cx="51054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12</xdr:row>
      <xdr:rowOff>114300</xdr:rowOff>
    </xdr:from>
    <xdr:to>
      <xdr:col>7</xdr:col>
      <xdr:colOff>683895</xdr:colOff>
      <xdr:row>12</xdr:row>
      <xdr:rowOff>476250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99685" y="7907020"/>
          <a:ext cx="50863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320040</xdr:colOff>
      <xdr:row>13</xdr:row>
      <xdr:rowOff>53340</xdr:rowOff>
    </xdr:from>
    <xdr:to>
      <xdr:col>7</xdr:col>
      <xdr:colOff>648335</xdr:colOff>
      <xdr:row>13</xdr:row>
      <xdr:rowOff>501650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44465" y="8425180"/>
          <a:ext cx="3282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213360</xdr:colOff>
      <xdr:row>14</xdr:row>
      <xdr:rowOff>76200</xdr:rowOff>
    </xdr:from>
    <xdr:to>
      <xdr:col>7</xdr:col>
      <xdr:colOff>680720</xdr:colOff>
      <xdr:row>14</xdr:row>
      <xdr:rowOff>510540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37785" y="9027160"/>
          <a:ext cx="46736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18</xdr:row>
      <xdr:rowOff>83820</xdr:rowOff>
    </xdr:from>
    <xdr:to>
      <xdr:col>7</xdr:col>
      <xdr:colOff>887095</xdr:colOff>
      <xdr:row>18</xdr:row>
      <xdr:rowOff>474345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5207000" y="11459845"/>
          <a:ext cx="39052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19</xdr:row>
      <xdr:rowOff>38100</xdr:rowOff>
    </xdr:from>
    <xdr:to>
      <xdr:col>7</xdr:col>
      <xdr:colOff>708660</xdr:colOff>
      <xdr:row>20</xdr:row>
      <xdr:rowOff>513867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93005" y="12207240"/>
          <a:ext cx="64008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83820</xdr:colOff>
      <xdr:row>20</xdr:row>
      <xdr:rowOff>152400</xdr:rowOff>
    </xdr:from>
    <xdr:to>
      <xdr:col>7</xdr:col>
      <xdr:colOff>906780</xdr:colOff>
      <xdr:row>20</xdr:row>
      <xdr:rowOff>518160</xdr:rowOff>
    </xdr:to>
    <xdr:pic>
      <xdr:nvPicPr>
        <xdr:cNvPr id="28" name="图片 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8245" y="12900660"/>
          <a:ext cx="8229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</xdr:colOff>
      <xdr:row>21</xdr:row>
      <xdr:rowOff>30480</xdr:rowOff>
    </xdr:from>
    <xdr:to>
      <xdr:col>7</xdr:col>
      <xdr:colOff>805125</xdr:colOff>
      <xdr:row>21</xdr:row>
      <xdr:rowOff>563880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77765" y="13357860"/>
          <a:ext cx="751205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22</xdr:row>
      <xdr:rowOff>99060</xdr:rowOff>
    </xdr:from>
    <xdr:to>
      <xdr:col>7</xdr:col>
      <xdr:colOff>521335</xdr:colOff>
      <xdr:row>22</xdr:row>
      <xdr:rowOff>478155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69205" y="14005560"/>
          <a:ext cx="37655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27</xdr:row>
      <xdr:rowOff>53340</xdr:rowOff>
    </xdr:from>
    <xdr:to>
      <xdr:col>7</xdr:col>
      <xdr:colOff>781864</xdr:colOff>
      <xdr:row>27</xdr:row>
      <xdr:rowOff>571500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77765" y="16855440"/>
          <a:ext cx="728345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36</xdr:row>
      <xdr:rowOff>91440</xdr:rowOff>
    </xdr:from>
    <xdr:to>
      <xdr:col>8</xdr:col>
      <xdr:colOff>6350</xdr:colOff>
      <xdr:row>37</xdr:row>
      <xdr:rowOff>409575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61585" y="22105620"/>
          <a:ext cx="94551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15241</xdr:colOff>
      <xdr:row>37</xdr:row>
      <xdr:rowOff>45720</xdr:rowOff>
    </xdr:from>
    <xdr:to>
      <xdr:col>7</xdr:col>
      <xdr:colOff>883921</xdr:colOff>
      <xdr:row>37</xdr:row>
      <xdr:rowOff>548640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9665" y="22639020"/>
          <a:ext cx="86868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91441</xdr:colOff>
      <xdr:row>15</xdr:row>
      <xdr:rowOff>22860</xdr:rowOff>
    </xdr:from>
    <xdr:to>
      <xdr:col>7</xdr:col>
      <xdr:colOff>870642</xdr:colOff>
      <xdr:row>15</xdr:row>
      <xdr:rowOff>571500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15865" y="9552940"/>
          <a:ext cx="779145" cy="54864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8</xdr:row>
      <xdr:rowOff>45720</xdr:rowOff>
    </xdr:from>
    <xdr:to>
      <xdr:col>7</xdr:col>
      <xdr:colOff>809386</xdr:colOff>
      <xdr:row>8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08245" y="4569460"/>
          <a:ext cx="725170" cy="510540"/>
        </a:xfrm>
        <a:prstGeom prst="rect">
          <a:avLst/>
        </a:prstGeom>
      </xdr:spPr>
    </xdr:pic>
    <xdr:clientData/>
  </xdr:twoCellAnchor>
  <xdr:twoCellAnchor editAs="oneCell">
    <xdr:from>
      <xdr:col>14</xdr:col>
      <xdr:colOff>1647190</xdr:colOff>
      <xdr:row>8</xdr:row>
      <xdr:rowOff>97155</xdr:rowOff>
    </xdr:from>
    <xdr:to>
      <xdr:col>15</xdr:col>
      <xdr:colOff>186473</xdr:colOff>
      <xdr:row>8</xdr:row>
      <xdr:rowOff>404991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73130" y="4615815"/>
          <a:ext cx="550963" cy="307836"/>
        </a:xfrm>
        <a:prstGeom prst="rect">
          <a:avLst/>
        </a:prstGeom>
      </xdr:spPr>
    </xdr:pic>
    <xdr:clientData/>
  </xdr:twoCellAnchor>
  <xdr:twoCellAnchor editAs="oneCell">
    <xdr:from>
      <xdr:col>7</xdr:col>
      <xdr:colOff>118110</xdr:colOff>
      <xdr:row>11</xdr:row>
      <xdr:rowOff>135255</xdr:rowOff>
    </xdr:from>
    <xdr:to>
      <xdr:col>7</xdr:col>
      <xdr:colOff>826292</xdr:colOff>
      <xdr:row>11</xdr:row>
      <xdr:rowOff>638175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37710" y="6391275"/>
          <a:ext cx="708182" cy="50292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16</xdr:row>
      <xdr:rowOff>22860</xdr:rowOff>
    </xdr:from>
    <xdr:to>
      <xdr:col>7</xdr:col>
      <xdr:colOff>816153</xdr:colOff>
      <xdr:row>16</xdr:row>
      <xdr:rowOff>541020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08245" y="10132060"/>
          <a:ext cx="732155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60962</xdr:colOff>
      <xdr:row>24</xdr:row>
      <xdr:rowOff>22860</xdr:rowOff>
    </xdr:from>
    <xdr:to>
      <xdr:col>7</xdr:col>
      <xdr:colOff>826382</xdr:colOff>
      <xdr:row>24</xdr:row>
      <xdr:rowOff>556260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80562" y="14500860"/>
          <a:ext cx="765420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25</xdr:row>
      <xdr:rowOff>30480</xdr:rowOff>
    </xdr:from>
    <xdr:to>
      <xdr:col>7</xdr:col>
      <xdr:colOff>806556</xdr:colOff>
      <xdr:row>27</xdr:row>
      <xdr:rowOff>541020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962525" y="1567434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30482</xdr:colOff>
      <xdr:row>26</xdr:row>
      <xdr:rowOff>22860</xdr:rowOff>
    </xdr:from>
    <xdr:to>
      <xdr:col>7</xdr:col>
      <xdr:colOff>742636</xdr:colOff>
      <xdr:row>27</xdr:row>
      <xdr:rowOff>495300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954905" y="1624584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22862</xdr:colOff>
      <xdr:row>33</xdr:row>
      <xdr:rowOff>15240</xdr:rowOff>
    </xdr:from>
    <xdr:to>
      <xdr:col>7</xdr:col>
      <xdr:colOff>800998</xdr:colOff>
      <xdr:row>33</xdr:row>
      <xdr:rowOff>548640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47285" y="20292060"/>
          <a:ext cx="777875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55388</xdr:colOff>
      <xdr:row>35</xdr:row>
      <xdr:rowOff>30480</xdr:rowOff>
    </xdr:from>
    <xdr:to>
      <xdr:col>7</xdr:col>
      <xdr:colOff>814343</xdr:colOff>
      <xdr:row>35</xdr:row>
      <xdr:rowOff>563880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979670" y="21465540"/>
          <a:ext cx="758825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38</xdr:row>
      <xdr:rowOff>15240</xdr:rowOff>
    </xdr:from>
    <xdr:to>
      <xdr:col>7</xdr:col>
      <xdr:colOff>766450</xdr:colOff>
      <xdr:row>38</xdr:row>
      <xdr:rowOff>533400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954905" y="23187660"/>
          <a:ext cx="735965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42</xdr:row>
      <xdr:rowOff>30480</xdr:rowOff>
    </xdr:from>
    <xdr:to>
      <xdr:col>7</xdr:col>
      <xdr:colOff>806346</xdr:colOff>
      <xdr:row>42</xdr:row>
      <xdr:rowOff>563880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962525" y="25519380"/>
          <a:ext cx="767715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43</xdr:row>
      <xdr:rowOff>15240</xdr:rowOff>
    </xdr:from>
    <xdr:to>
      <xdr:col>7</xdr:col>
      <xdr:colOff>812721</xdr:colOff>
      <xdr:row>43</xdr:row>
      <xdr:rowOff>571500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954905" y="26083260"/>
          <a:ext cx="781685" cy="55626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44</xdr:row>
      <xdr:rowOff>0</xdr:rowOff>
    </xdr:from>
    <xdr:to>
      <xdr:col>7</xdr:col>
      <xdr:colOff>782415</xdr:colOff>
      <xdr:row>44</xdr:row>
      <xdr:rowOff>548640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924425" y="26647140"/>
          <a:ext cx="782320" cy="54864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</xdr:colOff>
      <xdr:row>45</xdr:row>
      <xdr:rowOff>30480</xdr:rowOff>
    </xdr:from>
    <xdr:to>
      <xdr:col>7</xdr:col>
      <xdr:colOff>415397</xdr:colOff>
      <xdr:row>45</xdr:row>
      <xdr:rowOff>556260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970145" y="27256740"/>
          <a:ext cx="369570" cy="52578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48</xdr:row>
      <xdr:rowOff>53340</xdr:rowOff>
    </xdr:from>
    <xdr:to>
      <xdr:col>7</xdr:col>
      <xdr:colOff>720600</xdr:colOff>
      <xdr:row>48</xdr:row>
      <xdr:rowOff>548640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939665" y="29016960"/>
          <a:ext cx="70485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51</xdr:row>
      <xdr:rowOff>7620</xdr:rowOff>
    </xdr:from>
    <xdr:to>
      <xdr:col>7</xdr:col>
      <xdr:colOff>758739</xdr:colOff>
      <xdr:row>51</xdr:row>
      <xdr:rowOff>525780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47285" y="30708600"/>
          <a:ext cx="735330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30481</xdr:colOff>
      <xdr:row>56</xdr:row>
      <xdr:rowOff>45720</xdr:rowOff>
    </xdr:from>
    <xdr:to>
      <xdr:col>7</xdr:col>
      <xdr:colOff>684629</xdr:colOff>
      <xdr:row>56</xdr:row>
      <xdr:rowOff>502920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954905" y="33642300"/>
          <a:ext cx="65405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65</xdr:row>
      <xdr:rowOff>53339</xdr:rowOff>
    </xdr:from>
    <xdr:to>
      <xdr:col>7</xdr:col>
      <xdr:colOff>624840</xdr:colOff>
      <xdr:row>65</xdr:row>
      <xdr:rowOff>442182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93005" y="38609905"/>
          <a:ext cx="556260" cy="389255"/>
        </a:xfrm>
        <a:prstGeom prst="rect">
          <a:avLst/>
        </a:prstGeom>
      </xdr:spPr>
    </xdr:pic>
    <xdr:clientData/>
  </xdr:twoCellAnchor>
  <xdr:twoCellAnchor editAs="oneCell">
    <xdr:from>
      <xdr:col>7</xdr:col>
      <xdr:colOff>60961</xdr:colOff>
      <xdr:row>66</xdr:row>
      <xdr:rowOff>38100</xdr:rowOff>
    </xdr:from>
    <xdr:to>
      <xdr:col>7</xdr:col>
      <xdr:colOff>641539</xdr:colOff>
      <xdr:row>66</xdr:row>
      <xdr:rowOff>441960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85385" y="39090600"/>
          <a:ext cx="580390" cy="403860"/>
        </a:xfrm>
        <a:prstGeom prst="rect">
          <a:avLst/>
        </a:prstGeom>
      </xdr:spPr>
    </xdr:pic>
    <xdr:clientData/>
  </xdr:twoCellAnchor>
  <xdr:twoCellAnchor editAs="oneCell">
    <xdr:from>
      <xdr:col>7</xdr:col>
      <xdr:colOff>187325</xdr:colOff>
      <xdr:row>29</xdr:row>
      <xdr:rowOff>31115</xdr:rowOff>
    </xdr:from>
    <xdr:to>
      <xdr:col>7</xdr:col>
      <xdr:colOff>848533</xdr:colOff>
      <xdr:row>29</xdr:row>
      <xdr:rowOff>495935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111750" y="17991455"/>
          <a:ext cx="661035" cy="46482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52</xdr:row>
      <xdr:rowOff>21410</xdr:rowOff>
    </xdr:from>
    <xdr:to>
      <xdr:col>7</xdr:col>
      <xdr:colOff>784860</xdr:colOff>
      <xdr:row>52</xdr:row>
      <xdr:rowOff>551316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954905" y="31301055"/>
          <a:ext cx="754380" cy="53022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</xdr:colOff>
      <xdr:row>54</xdr:row>
      <xdr:rowOff>32228</xdr:rowOff>
    </xdr:from>
    <xdr:to>
      <xdr:col>7</xdr:col>
      <xdr:colOff>778289</xdr:colOff>
      <xdr:row>54</xdr:row>
      <xdr:rowOff>548639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970145" y="32470090"/>
          <a:ext cx="732155" cy="516255"/>
        </a:xfrm>
        <a:prstGeom prst="rect">
          <a:avLst/>
        </a:prstGeom>
      </xdr:spPr>
    </xdr:pic>
    <xdr:clientData/>
  </xdr:twoCellAnchor>
  <xdr:twoCellAnchor editAs="oneCell">
    <xdr:from>
      <xdr:col>7</xdr:col>
      <xdr:colOff>53341</xdr:colOff>
      <xdr:row>55</xdr:row>
      <xdr:rowOff>38100</xdr:rowOff>
    </xdr:from>
    <xdr:to>
      <xdr:col>7</xdr:col>
      <xdr:colOff>756758</xdr:colOff>
      <xdr:row>55</xdr:row>
      <xdr:rowOff>525780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977765" y="33055560"/>
          <a:ext cx="702945" cy="48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398145</xdr:colOff>
      <xdr:row>62</xdr:row>
      <xdr:rowOff>115570</xdr:rowOff>
    </xdr:from>
    <xdr:to>
      <xdr:col>3</xdr:col>
      <xdr:colOff>1297305</xdr:colOff>
      <xdr:row>65</xdr:row>
      <xdr:rowOff>174625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5545" y="17565370"/>
          <a:ext cx="89916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411480</xdr:colOff>
      <xdr:row>71</xdr:row>
      <xdr:rowOff>8890</xdr:rowOff>
    </xdr:from>
    <xdr:to>
      <xdr:col>3</xdr:col>
      <xdr:colOff>1179830</xdr:colOff>
      <xdr:row>72</xdr:row>
      <xdr:rowOff>264160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880" y="2003044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351155</xdr:colOff>
      <xdr:row>74</xdr:row>
      <xdr:rowOff>276860</xdr:rowOff>
    </xdr:from>
    <xdr:to>
      <xdr:col>3</xdr:col>
      <xdr:colOff>1062990</xdr:colOff>
      <xdr:row>76</xdr:row>
      <xdr:rowOff>200660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8555" y="2115566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42</xdr:row>
      <xdr:rowOff>7620</xdr:rowOff>
    </xdr:from>
    <xdr:to>
      <xdr:col>4</xdr:col>
      <xdr:colOff>64136</xdr:colOff>
      <xdr:row>45</xdr:row>
      <xdr:rowOff>241300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6461" y="11590020"/>
          <a:ext cx="1382395" cy="10795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22</xdr:row>
      <xdr:rowOff>114300</xdr:rowOff>
    </xdr:from>
    <xdr:to>
      <xdr:col>4</xdr:col>
      <xdr:colOff>1905</xdr:colOff>
      <xdr:row>25</xdr:row>
      <xdr:rowOff>231140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3605" y="6057900"/>
          <a:ext cx="1303020" cy="96266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38</xdr:row>
      <xdr:rowOff>22860</xdr:rowOff>
    </xdr:from>
    <xdr:to>
      <xdr:col>3</xdr:col>
      <xdr:colOff>1344930</xdr:colOff>
      <xdr:row>41</xdr:row>
      <xdr:rowOff>129540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4560" y="10477500"/>
          <a:ext cx="12763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50</xdr:row>
      <xdr:rowOff>59268</xdr:rowOff>
    </xdr:from>
    <xdr:to>
      <xdr:col>3</xdr:col>
      <xdr:colOff>1200150</xdr:colOff>
      <xdr:row>53</xdr:row>
      <xdr:rowOff>143723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8200" y="14079855"/>
          <a:ext cx="114935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86</xdr:row>
      <xdr:rowOff>113030</xdr:rowOff>
    </xdr:from>
    <xdr:to>
      <xdr:col>3</xdr:col>
      <xdr:colOff>1344930</xdr:colOff>
      <xdr:row>89</xdr:row>
      <xdr:rowOff>151765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81225" y="24820880"/>
          <a:ext cx="126682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</xdr:colOff>
      <xdr:row>90</xdr:row>
      <xdr:rowOff>95250</xdr:rowOff>
    </xdr:from>
    <xdr:to>
      <xdr:col>3</xdr:col>
      <xdr:colOff>1346835</xdr:colOff>
      <xdr:row>93</xdr:row>
      <xdr:rowOff>228600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85975" y="25946100"/>
          <a:ext cx="140208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110</xdr:row>
      <xdr:rowOff>276225</xdr:rowOff>
    </xdr:from>
    <xdr:to>
      <xdr:col>3</xdr:col>
      <xdr:colOff>1164590</xdr:colOff>
      <xdr:row>112</xdr:row>
      <xdr:rowOff>114300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76475" y="31922085"/>
          <a:ext cx="94551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118</xdr:row>
      <xdr:rowOff>257175</xdr:rowOff>
    </xdr:from>
    <xdr:to>
      <xdr:col>3</xdr:col>
      <xdr:colOff>1183640</xdr:colOff>
      <xdr:row>120</xdr:row>
      <xdr:rowOff>271145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9825" y="34189035"/>
          <a:ext cx="831215" cy="58547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214</xdr:row>
      <xdr:rowOff>238125</xdr:rowOff>
    </xdr:from>
    <xdr:to>
      <xdr:col>3</xdr:col>
      <xdr:colOff>1282700</xdr:colOff>
      <xdr:row>217</xdr:row>
      <xdr:rowOff>132080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66950" y="61601985"/>
          <a:ext cx="1073150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218</xdr:row>
      <xdr:rowOff>238125</xdr:rowOff>
    </xdr:from>
    <xdr:to>
      <xdr:col>3</xdr:col>
      <xdr:colOff>1282700</xdr:colOff>
      <xdr:row>221</xdr:row>
      <xdr:rowOff>132080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66950" y="62744985"/>
          <a:ext cx="1073150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2</xdr:row>
      <xdr:rowOff>219075</xdr:rowOff>
    </xdr:from>
    <xdr:to>
      <xdr:col>3</xdr:col>
      <xdr:colOff>1034415</xdr:colOff>
      <xdr:row>5</xdr:row>
      <xdr:rowOff>47625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57450" y="523875"/>
          <a:ext cx="63436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6</xdr:row>
      <xdr:rowOff>219075</xdr:rowOff>
    </xdr:from>
    <xdr:to>
      <xdr:col>3</xdr:col>
      <xdr:colOff>1285240</xdr:colOff>
      <xdr:row>8</xdr:row>
      <xdr:rowOff>142875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90750" y="1666875"/>
          <a:ext cx="115189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180340</xdr:colOff>
      <xdr:row>11</xdr:row>
      <xdr:rowOff>110490</xdr:rowOff>
    </xdr:from>
    <xdr:to>
      <xdr:col>3</xdr:col>
      <xdr:colOff>1346200</xdr:colOff>
      <xdr:row>12</xdr:row>
      <xdr:rowOff>196850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 flipV="1">
          <a:off x="2237740" y="2987040"/>
          <a:ext cx="125730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15</xdr:row>
      <xdr:rowOff>47625</xdr:rowOff>
    </xdr:from>
    <xdr:to>
      <xdr:col>4</xdr:col>
      <xdr:colOff>2540</xdr:colOff>
      <xdr:row>16</xdr:row>
      <xdr:rowOff>123825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90750" y="4067175"/>
          <a:ext cx="12255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18</xdr:row>
      <xdr:rowOff>200025</xdr:rowOff>
    </xdr:from>
    <xdr:to>
      <xdr:col>3</xdr:col>
      <xdr:colOff>876935</xdr:colOff>
      <xdr:row>21</xdr:row>
      <xdr:rowOff>72390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2324100" y="5076825"/>
          <a:ext cx="61023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26</xdr:row>
      <xdr:rowOff>171450</xdr:rowOff>
    </xdr:from>
    <xdr:to>
      <xdr:col>3</xdr:col>
      <xdr:colOff>1263015</xdr:colOff>
      <xdr:row>29</xdr:row>
      <xdr:rowOff>57150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76475" y="7334250"/>
          <a:ext cx="104394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30</xdr:row>
      <xdr:rowOff>47625</xdr:rowOff>
    </xdr:from>
    <xdr:to>
      <xdr:col>3</xdr:col>
      <xdr:colOff>1007745</xdr:colOff>
      <xdr:row>33</xdr:row>
      <xdr:rowOff>124460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81250" y="8353425"/>
          <a:ext cx="683895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34</xdr:row>
      <xdr:rowOff>57150</xdr:rowOff>
    </xdr:from>
    <xdr:to>
      <xdr:col>3</xdr:col>
      <xdr:colOff>1190625</xdr:colOff>
      <xdr:row>37</xdr:row>
      <xdr:rowOff>138430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38375" y="9505950"/>
          <a:ext cx="100965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47</xdr:row>
      <xdr:rowOff>61595</xdr:rowOff>
    </xdr:from>
    <xdr:to>
      <xdr:col>3</xdr:col>
      <xdr:colOff>1004570</xdr:colOff>
      <xdr:row>48</xdr:row>
      <xdr:rowOff>166370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16200000">
          <a:off x="2457450" y="13011150"/>
          <a:ext cx="39052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54</xdr:row>
      <xdr:rowOff>219075</xdr:rowOff>
    </xdr:from>
    <xdr:to>
      <xdr:col>3</xdr:col>
      <xdr:colOff>1332230</xdr:colOff>
      <xdr:row>56</xdr:row>
      <xdr:rowOff>222885</xdr:rowOff>
    </xdr:to>
    <xdr:pic>
      <xdr:nvPicPr>
        <xdr:cNvPr id="37" name="图片 2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0" y="15382875"/>
          <a:ext cx="1294130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58</xdr:row>
      <xdr:rowOff>161925</xdr:rowOff>
    </xdr:from>
    <xdr:to>
      <xdr:col>3</xdr:col>
      <xdr:colOff>1075055</xdr:colOff>
      <xdr:row>60</xdr:row>
      <xdr:rowOff>123825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81250" y="16468725"/>
          <a:ext cx="751205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78</xdr:row>
      <xdr:rowOff>257175</xdr:rowOff>
    </xdr:from>
    <xdr:to>
      <xdr:col>4</xdr:col>
      <xdr:colOff>3175</xdr:colOff>
      <xdr:row>81</xdr:row>
      <xdr:rowOff>81915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14550" y="22278975"/>
          <a:ext cx="1294765" cy="922020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115</xdr:row>
      <xdr:rowOff>19050</xdr:rowOff>
    </xdr:from>
    <xdr:to>
      <xdr:col>3</xdr:col>
      <xdr:colOff>1106805</xdr:colOff>
      <xdr:row>116</xdr:row>
      <xdr:rowOff>236220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95525" y="33093660"/>
          <a:ext cx="86868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266700</xdr:colOff>
      <xdr:row>134</xdr:row>
      <xdr:rowOff>238125</xdr:rowOff>
    </xdr:from>
    <xdr:to>
      <xdr:col>3</xdr:col>
      <xdr:colOff>1156335</xdr:colOff>
      <xdr:row>137</xdr:row>
      <xdr:rowOff>3175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24100" y="38741985"/>
          <a:ext cx="889635" cy="61849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138</xdr:row>
      <xdr:rowOff>180975</xdr:rowOff>
    </xdr:from>
    <xdr:to>
      <xdr:col>3</xdr:col>
      <xdr:colOff>1172845</xdr:colOff>
      <xdr:row>141</xdr:row>
      <xdr:rowOff>22860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47900" y="39827835"/>
          <a:ext cx="982345" cy="69913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142</xdr:row>
      <xdr:rowOff>200025</xdr:rowOff>
    </xdr:from>
    <xdr:to>
      <xdr:col>3</xdr:col>
      <xdr:colOff>1106170</xdr:colOff>
      <xdr:row>144</xdr:row>
      <xdr:rowOff>177165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81250" y="40989885"/>
          <a:ext cx="782320" cy="54864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146</xdr:row>
      <xdr:rowOff>180975</xdr:rowOff>
    </xdr:from>
    <xdr:to>
      <xdr:col>3</xdr:col>
      <xdr:colOff>892810</xdr:colOff>
      <xdr:row>149</xdr:row>
      <xdr:rowOff>65405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28875" y="42113835"/>
          <a:ext cx="521335" cy="74168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154</xdr:row>
      <xdr:rowOff>171450</xdr:rowOff>
    </xdr:from>
    <xdr:to>
      <xdr:col>3</xdr:col>
      <xdr:colOff>1176020</xdr:colOff>
      <xdr:row>157</xdr:row>
      <xdr:rowOff>46990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90750" y="44390310"/>
          <a:ext cx="1042670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166</xdr:row>
      <xdr:rowOff>171450</xdr:rowOff>
    </xdr:from>
    <xdr:to>
      <xdr:col>3</xdr:col>
      <xdr:colOff>1346835</xdr:colOff>
      <xdr:row>169</xdr:row>
      <xdr:rowOff>88900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43150" y="47819310"/>
          <a:ext cx="1099185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170</xdr:row>
      <xdr:rowOff>180975</xdr:rowOff>
    </xdr:from>
    <xdr:to>
      <xdr:col>3</xdr:col>
      <xdr:colOff>1030605</xdr:colOff>
      <xdr:row>172</xdr:row>
      <xdr:rowOff>139700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33625" y="48971835"/>
          <a:ext cx="754380" cy="530225"/>
        </a:xfrm>
        <a:prstGeom prst="rect">
          <a:avLst/>
        </a:prstGeom>
      </xdr:spPr>
    </xdr:pic>
    <xdr:clientData/>
  </xdr:twoCellAnchor>
  <xdr:twoCellAnchor editAs="oneCell">
    <xdr:from>
      <xdr:col>3</xdr:col>
      <xdr:colOff>309245</xdr:colOff>
      <xdr:row>175</xdr:row>
      <xdr:rowOff>90805</xdr:rowOff>
    </xdr:from>
    <xdr:to>
      <xdr:col>3</xdr:col>
      <xdr:colOff>923925</xdr:colOff>
      <xdr:row>176</xdr:row>
      <xdr:rowOff>238125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6200000">
          <a:off x="2457450" y="50219610"/>
          <a:ext cx="43307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178</xdr:row>
      <xdr:rowOff>114300</xdr:rowOff>
    </xdr:from>
    <xdr:to>
      <xdr:col>4</xdr:col>
      <xdr:colOff>2540</xdr:colOff>
      <xdr:row>181</xdr:row>
      <xdr:rowOff>82550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238375" y="51191160"/>
          <a:ext cx="1170305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183</xdr:row>
      <xdr:rowOff>0</xdr:rowOff>
    </xdr:from>
    <xdr:to>
      <xdr:col>3</xdr:col>
      <xdr:colOff>1175385</xdr:colOff>
      <xdr:row>185</xdr:row>
      <xdr:rowOff>59055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24100" y="52505610"/>
          <a:ext cx="908685" cy="63055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186</xdr:row>
      <xdr:rowOff>190500</xdr:rowOff>
    </xdr:from>
    <xdr:to>
      <xdr:col>3</xdr:col>
      <xdr:colOff>1334770</xdr:colOff>
      <xdr:row>189</xdr:row>
      <xdr:rowOff>133350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47900" y="53553360"/>
          <a:ext cx="114427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4</xdr:row>
      <xdr:rowOff>0</xdr:rowOff>
    </xdr:from>
    <xdr:to>
      <xdr:col>1</xdr:col>
      <xdr:colOff>1546860</xdr:colOff>
      <xdr:row>7</xdr:row>
      <xdr:rowOff>175260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5080" y="716280"/>
          <a:ext cx="151638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60962</xdr:colOff>
      <xdr:row>2</xdr:row>
      <xdr:rowOff>53340</xdr:rowOff>
    </xdr:from>
    <xdr:to>
      <xdr:col>3</xdr:col>
      <xdr:colOff>1120960</xdr:colOff>
      <xdr:row>2</xdr:row>
      <xdr:rowOff>906780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415" y="720090"/>
          <a:ext cx="1059815" cy="853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2</xdr:row>
      <xdr:rowOff>180975</xdr:rowOff>
    </xdr:from>
    <xdr:to>
      <xdr:col>3</xdr:col>
      <xdr:colOff>1475105</xdr:colOff>
      <xdr:row>2</xdr:row>
      <xdr:rowOff>835025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5144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3</xdr:row>
      <xdr:rowOff>116840</xdr:rowOff>
    </xdr:from>
    <xdr:to>
      <xdr:col>3</xdr:col>
      <xdr:colOff>1441450</xdr:colOff>
      <xdr:row>3</xdr:row>
      <xdr:rowOff>844550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2453640"/>
          <a:ext cx="93662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4</xdr:row>
      <xdr:rowOff>193675</xdr:rowOff>
    </xdr:from>
    <xdr:to>
      <xdr:col>3</xdr:col>
      <xdr:colOff>1560830</xdr:colOff>
      <xdr:row>4</xdr:row>
      <xdr:rowOff>847725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5337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3</xdr:row>
      <xdr:rowOff>116840</xdr:rowOff>
    </xdr:from>
    <xdr:to>
      <xdr:col>3</xdr:col>
      <xdr:colOff>1441450</xdr:colOff>
      <xdr:row>3</xdr:row>
      <xdr:rowOff>844550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2453640"/>
          <a:ext cx="93662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4</xdr:row>
      <xdr:rowOff>193675</xdr:rowOff>
    </xdr:from>
    <xdr:to>
      <xdr:col>3</xdr:col>
      <xdr:colOff>1560830</xdr:colOff>
      <xdr:row>4</xdr:row>
      <xdr:rowOff>847725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0550" y="35337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781050</xdr:colOff>
      <xdr:row>2</xdr:row>
      <xdr:rowOff>93980</xdr:rowOff>
    </xdr:from>
    <xdr:to>
      <xdr:col>3</xdr:col>
      <xdr:colOff>1433195</xdr:colOff>
      <xdr:row>2</xdr:row>
      <xdr:rowOff>831850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81525" y="1427480"/>
          <a:ext cx="65214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&#21103;&#26412;&#26410;&#23450;&#20215;%202022.12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0852;&#20013;&#30427;&#26410;&#23450;&#20215;&#20135;&#21697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8023;&#20852;&#20013;&#30427;&#26410;&#23450;&#20215;&#20135;&#21697;.xlsx" TargetMode="External"/><Relationship Id="rId1" Type="http://schemas.openxmlformats.org/officeDocument/2006/relationships/externalLinkPath" Target="/Desktop/&#28023;&#20852;&#20013;&#30427;&#26410;&#23450;&#20215;&#20135;&#216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BSP0010035</v>
          </cell>
          <cell r="C3" t="str">
            <v>靠背回位簧重汽T5-2.0翻折</v>
          </cell>
          <cell r="E3" t="str">
            <v>65Mn</v>
          </cell>
          <cell r="F3">
            <v>0.35599999999999998</v>
          </cell>
        </row>
        <row r="4">
          <cell r="B4" t="str">
            <v>REM0003411</v>
          </cell>
          <cell r="C4" t="str">
            <v>奥威弹簧（H6状态）</v>
          </cell>
          <cell r="E4" t="str">
            <v>65Mn</v>
          </cell>
          <cell r="F4">
            <v>1.7999999999999999E-2</v>
          </cell>
        </row>
        <row r="5">
          <cell r="B5" t="str">
            <v>RIM0003411
（RIM0000009）</v>
          </cell>
          <cell r="C5" t="str">
            <v>球头弹卡</v>
          </cell>
          <cell r="E5" t="str">
            <v>50CrVA</v>
          </cell>
          <cell r="F5">
            <v>1.5E-3</v>
          </cell>
        </row>
        <row r="6">
          <cell r="B6" t="str">
            <v>SCS0006414</v>
          </cell>
          <cell r="C6" t="str">
            <v>靠背左侧面套固定钢丝P203</v>
          </cell>
          <cell r="E6" t="str">
            <v>Q235</v>
          </cell>
          <cell r="F6">
            <v>5.3999999999999999E-2</v>
          </cell>
        </row>
        <row r="7">
          <cell r="B7" t="str">
            <v>SCS0006416</v>
          </cell>
          <cell r="C7" t="str">
            <v>靠背右侧面套固定钢丝P203</v>
          </cell>
          <cell r="E7" t="str">
            <v>Q235</v>
          </cell>
          <cell r="F7">
            <v>5.3999999999999999E-2</v>
          </cell>
        </row>
        <row r="8">
          <cell r="B8" t="str">
            <v>SCS0007057</v>
          </cell>
          <cell r="C8" t="str">
            <v>儿童座椅固定挂钩B40V后排坐垫</v>
          </cell>
          <cell r="E8" t="str">
            <v>Q235</v>
          </cell>
          <cell r="F8">
            <v>4.2999999999999997E-2</v>
          </cell>
        </row>
        <row r="9">
          <cell r="B9" t="str">
            <v>SHT0002744</v>
          </cell>
          <cell r="C9" t="str">
            <v>大运背支撑钢丝右</v>
          </cell>
          <cell r="E9" t="str">
            <v>Q235</v>
          </cell>
        </row>
        <row r="10">
          <cell r="B10" t="str">
            <v>SHT0011054</v>
          </cell>
          <cell r="C10" t="str">
            <v>靠背骨架下支撑钢线一汽</v>
          </cell>
          <cell r="E10" t="str">
            <v>Q235</v>
          </cell>
          <cell r="F10">
            <v>0.24</v>
          </cell>
        </row>
        <row r="11">
          <cell r="B11" t="str">
            <v>SHT0011809</v>
          </cell>
          <cell r="C11" t="str">
            <v>仰角调节结构扭簧</v>
          </cell>
          <cell r="E11" t="str">
            <v>65Mn</v>
          </cell>
          <cell r="F11">
            <v>1.8E-3</v>
          </cell>
        </row>
        <row r="12">
          <cell r="B12" t="str">
            <v>SHT0012006</v>
          </cell>
          <cell r="C12" t="str">
            <v>升降锁止安装卡箍</v>
          </cell>
          <cell r="E12" t="str">
            <v>65Mn</v>
          </cell>
          <cell r="F12">
            <v>2E-3</v>
          </cell>
        </row>
        <row r="13">
          <cell r="B13" t="str">
            <v>SHT0012034</v>
          </cell>
          <cell r="C13" t="str">
            <v>气阀固定钢丝</v>
          </cell>
          <cell r="E13" t="str">
            <v>20#</v>
          </cell>
          <cell r="F13">
            <v>1.14E-2</v>
          </cell>
        </row>
        <row r="14">
          <cell r="B14" t="str">
            <v>SHT0012049</v>
          </cell>
          <cell r="C14" t="str">
            <v>拉簧固定钢丝</v>
          </cell>
          <cell r="E14" t="str">
            <v>Q235</v>
          </cell>
          <cell r="F14">
            <v>7.0000000000000001E-3</v>
          </cell>
        </row>
        <row r="15">
          <cell r="B15" t="str">
            <v>SHT0012110</v>
          </cell>
          <cell r="C15" t="str">
            <v>M4主边罩壳固定钢丝</v>
          </cell>
          <cell r="E15" t="str">
            <v>Q235</v>
          </cell>
          <cell r="F15">
            <v>7.5899999999999995E-2</v>
          </cell>
        </row>
        <row r="16">
          <cell r="B16" t="str">
            <v>SHT0012112</v>
          </cell>
          <cell r="C16" t="str">
            <v>M3000副边罩壳固定钢丝</v>
          </cell>
          <cell r="E16" t="str">
            <v>Q235</v>
          </cell>
          <cell r="F16">
            <v>2.01E-2</v>
          </cell>
        </row>
        <row r="17">
          <cell r="B17" t="str">
            <v>SLT0010193</v>
          </cell>
          <cell r="C17" t="str">
            <v>气管线接头固定钢丝</v>
          </cell>
          <cell r="E17" t="str">
            <v>Q235</v>
          </cell>
          <cell r="F17">
            <v>2.4E-2</v>
          </cell>
        </row>
        <row r="18">
          <cell r="B18" t="str">
            <v>SLT0010335</v>
          </cell>
          <cell r="C18" t="str">
            <v>统帅驾驶员侧翼支撑钢丝</v>
          </cell>
          <cell r="E18" t="str">
            <v>Q235</v>
          </cell>
          <cell r="F18">
            <v>7.0999999999999994E-2</v>
          </cell>
        </row>
        <row r="19">
          <cell r="B19" t="str">
            <v>SLT0010355</v>
          </cell>
          <cell r="C19" t="str">
            <v>统帅副驾靠背侧翼支撑钢丝</v>
          </cell>
          <cell r="E19" t="str">
            <v>Q235</v>
          </cell>
          <cell r="F19">
            <v>7.6799999999999993E-2</v>
          </cell>
        </row>
        <row r="20">
          <cell r="B20" t="str">
            <v>SLT0010397</v>
          </cell>
          <cell r="C20" t="str">
            <v>统帅2080副驾座垫骨架总成</v>
          </cell>
          <cell r="E20" t="str">
            <v>ASSY</v>
          </cell>
          <cell r="F20">
            <v>1.2909999999999999</v>
          </cell>
        </row>
        <row r="21">
          <cell r="B21" t="str">
            <v>SLT0010415</v>
          </cell>
          <cell r="C21" t="str">
            <v>驾驶员左侧护板固定钢丝A</v>
          </cell>
          <cell r="E21" t="str">
            <v>Q235</v>
          </cell>
          <cell r="F21">
            <v>5.8000000000000003E-2</v>
          </cell>
        </row>
        <row r="22">
          <cell r="B22" t="str">
            <v>SLT0010416</v>
          </cell>
          <cell r="C22" t="str">
            <v>驾驶员左侧护板固定钢丝B</v>
          </cell>
          <cell r="E22" t="str">
            <v>Q235</v>
          </cell>
          <cell r="F22">
            <v>4.3999999999999997E-2</v>
          </cell>
        </row>
        <row r="23">
          <cell r="B23" t="str">
            <v>SLT0010437</v>
          </cell>
          <cell r="C23" t="str">
            <v>统帅副驾靠背头枕支撑杆</v>
          </cell>
          <cell r="E23" t="str">
            <v>Q235</v>
          </cell>
          <cell r="F23">
            <v>0.1666</v>
          </cell>
        </row>
        <row r="24">
          <cell r="B24" t="str">
            <v>SLT0010438</v>
          </cell>
          <cell r="C24" t="str">
            <v>统帅副驾靠背头枕加强钢丝</v>
          </cell>
          <cell r="E24" t="str">
            <v>Q235</v>
          </cell>
          <cell r="F24">
            <v>7.9500000000000001E-2</v>
          </cell>
        </row>
        <row r="25">
          <cell r="B25" t="str">
            <v>SHT0012749</v>
          </cell>
          <cell r="C25" t="str">
            <v>靠背中部钢丝</v>
          </cell>
          <cell r="E25" t="str">
            <v>65#</v>
          </cell>
          <cell r="F25">
            <v>2.8000000000000001E-2</v>
          </cell>
        </row>
        <row r="26">
          <cell r="B26" t="str">
            <v>SHT0013145</v>
          </cell>
          <cell r="C26" t="str">
            <v>1.0升级前升降拉簧</v>
          </cell>
          <cell r="E26" t="str">
            <v>65Mn</v>
          </cell>
          <cell r="F26">
            <v>6.8000000000000005E-2</v>
          </cell>
        </row>
        <row r="27">
          <cell r="B27" t="str">
            <v>SHT0013146</v>
          </cell>
          <cell r="C27" t="str">
            <v>1.0升级后升降拉簧</v>
          </cell>
          <cell r="E27" t="str">
            <v>65Mn</v>
          </cell>
          <cell r="F27">
            <v>9.4E-2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明细"/>
      <sheetName val="2汇总"/>
      <sheetName val="未定价"/>
      <sheetName val="最新核价"/>
      <sheetName val="自行核价"/>
      <sheetName val="铁马骨架核算"/>
      <sheetName val="V71骨架"/>
      <sheetName val="Sheet1"/>
      <sheetName val="六分座焊接总成"/>
      <sheetName val="四分座焊接总成"/>
      <sheetName val="安全固定片（电泳）"/>
    </sheetNames>
    <sheetDataSet>
      <sheetData sheetId="0">
        <row r="1">
          <cell r="D1" t="str">
            <v>物料代码</v>
          </cell>
          <cell r="E1" t="str">
            <v>物料名称</v>
          </cell>
          <cell r="F1" t="str">
            <v>计量单位</v>
          </cell>
          <cell r="G1" t="str">
            <v>未税单价</v>
          </cell>
        </row>
        <row r="2">
          <cell r="D2" t="str">
            <v>SHT0011809</v>
          </cell>
          <cell r="E2" t="str">
            <v>仰角调节机构扭簧</v>
          </cell>
          <cell r="F2" t="str">
            <v>个</v>
          </cell>
          <cell r="G2">
            <v>0.188</v>
          </cell>
        </row>
        <row r="3">
          <cell r="D3" t="str">
            <v>SCS0007057</v>
          </cell>
          <cell r="E3" t="str">
            <v>儿童锁挂钩</v>
          </cell>
          <cell r="F3" t="str">
            <v>个</v>
          </cell>
          <cell r="G3">
            <v>0.34200000000000003</v>
          </cell>
        </row>
        <row r="4">
          <cell r="D4" t="str">
            <v>SHT0011054</v>
          </cell>
          <cell r="E4" t="str">
            <v>D03靠背骨架下支撑钢丝</v>
          </cell>
          <cell r="F4" t="str">
            <v>个</v>
          </cell>
          <cell r="G4">
            <v>1.911</v>
          </cell>
        </row>
        <row r="5">
          <cell r="D5" t="str">
            <v>SHT0011054</v>
          </cell>
          <cell r="E5" t="str">
            <v>D03靠背骨架下支撑钢丝</v>
          </cell>
          <cell r="F5" t="str">
            <v>个</v>
          </cell>
          <cell r="G5">
            <v>1.911</v>
          </cell>
        </row>
        <row r="6">
          <cell r="D6" t="str">
            <v>SCS0006414</v>
          </cell>
          <cell r="E6" t="str">
            <v>P203靠背左侧面套固定钢丝</v>
          </cell>
          <cell r="F6" t="str">
            <v>个</v>
          </cell>
          <cell r="G6">
            <v>0.43</v>
          </cell>
        </row>
        <row r="7">
          <cell r="D7" t="str">
            <v>SCS0006416</v>
          </cell>
          <cell r="E7" t="str">
            <v>P203靠背右侧面套固定钢丝</v>
          </cell>
          <cell r="F7" t="str">
            <v>个</v>
          </cell>
          <cell r="G7">
            <v>0.43</v>
          </cell>
        </row>
        <row r="8">
          <cell r="D8" t="str">
            <v>SLT0010193</v>
          </cell>
          <cell r="E8" t="str">
            <v>气管接线头固定钢丝</v>
          </cell>
          <cell r="F8" t="str">
            <v>个</v>
          </cell>
          <cell r="G8">
            <v>0.191</v>
          </cell>
        </row>
        <row r="9">
          <cell r="D9" t="str">
            <v>SCS0011681</v>
          </cell>
          <cell r="E9" t="str">
            <v>靠背复位卷簧6801506X0001A</v>
          </cell>
          <cell r="F9" t="str">
            <v>个</v>
          </cell>
          <cell r="G9">
            <v>1.7321</v>
          </cell>
        </row>
        <row r="10">
          <cell r="D10" t="str">
            <v>02.03.58.002</v>
          </cell>
          <cell r="E10" t="str">
            <v>靠背面套固定钢丝-左</v>
          </cell>
          <cell r="F10" t="str">
            <v>个</v>
          </cell>
          <cell r="G10">
            <v>0.36799999999999999</v>
          </cell>
        </row>
        <row r="11">
          <cell r="D11" t="str">
            <v>02.03.58.003</v>
          </cell>
          <cell r="E11" t="str">
            <v>靠背侧翼支撑钢丝-左</v>
          </cell>
          <cell r="F11" t="str">
            <v>个</v>
          </cell>
          <cell r="G11">
            <v>0.40799999999999997</v>
          </cell>
        </row>
        <row r="12">
          <cell r="D12" t="str">
            <v>02.03.58.005</v>
          </cell>
          <cell r="E12" t="str">
            <v>靠背面套固定钢丝-右</v>
          </cell>
          <cell r="F12" t="str">
            <v>个</v>
          </cell>
          <cell r="G12">
            <v>0.36799999999999999</v>
          </cell>
        </row>
        <row r="13">
          <cell r="D13" t="str">
            <v>02.03.58.006</v>
          </cell>
          <cell r="E13" t="str">
            <v>靠背侧翼支撑钢丝-右</v>
          </cell>
          <cell r="F13" t="str">
            <v>个</v>
          </cell>
          <cell r="G13">
            <v>0.40799999999999997</v>
          </cell>
        </row>
        <row r="14">
          <cell r="D14" t="str">
            <v>REM0003411</v>
          </cell>
          <cell r="E14" t="str">
            <v>奥威弹簧(H6状态)</v>
          </cell>
          <cell r="F14" t="str">
            <v>个</v>
          </cell>
          <cell r="G14">
            <v>0.62</v>
          </cell>
        </row>
        <row r="15">
          <cell r="D15" t="str">
            <v>SHT0011809</v>
          </cell>
          <cell r="E15" t="str">
            <v>仰角调节机构扭簧</v>
          </cell>
          <cell r="F15" t="str">
            <v>个</v>
          </cell>
          <cell r="G15">
            <v>0.188</v>
          </cell>
        </row>
        <row r="16">
          <cell r="D16" t="str">
            <v>SCS0006414</v>
          </cell>
          <cell r="E16" t="str">
            <v>P203靠背左侧面套固定钢丝</v>
          </cell>
          <cell r="F16" t="str">
            <v>个</v>
          </cell>
          <cell r="G16">
            <v>0.43</v>
          </cell>
        </row>
        <row r="17">
          <cell r="D17" t="str">
            <v>SCS0006416</v>
          </cell>
          <cell r="E17" t="str">
            <v>P203靠背右侧面套固定钢丝</v>
          </cell>
          <cell r="F17" t="str">
            <v>个</v>
          </cell>
          <cell r="G17">
            <v>0.43</v>
          </cell>
        </row>
        <row r="18">
          <cell r="D18" t="str">
            <v>SLT0010193</v>
          </cell>
          <cell r="E18" t="str">
            <v>气管接线头固定钢丝</v>
          </cell>
          <cell r="F18" t="str">
            <v>个</v>
          </cell>
          <cell r="G18">
            <v>0.191</v>
          </cell>
        </row>
        <row r="19">
          <cell r="D19" t="str">
            <v>SCS0011681</v>
          </cell>
          <cell r="E19" t="str">
            <v>靠背复位卷簧6801506X0001A</v>
          </cell>
          <cell r="F19" t="str">
            <v>个</v>
          </cell>
          <cell r="G19">
            <v>1.7321</v>
          </cell>
        </row>
        <row r="20">
          <cell r="D20" t="str">
            <v>SHT0012110</v>
          </cell>
          <cell r="E20" t="str">
            <v>M4主边罩壳固定钢丝</v>
          </cell>
          <cell r="F20" t="str">
            <v>个</v>
          </cell>
          <cell r="G20">
            <v>0.60399999999999998</v>
          </cell>
        </row>
        <row r="21">
          <cell r="D21" t="str">
            <v>SHT0012006</v>
          </cell>
          <cell r="E21" t="str">
            <v>升降锁止轴安装卡箍</v>
          </cell>
          <cell r="F21" t="str">
            <v>个</v>
          </cell>
          <cell r="G21">
            <v>0.3</v>
          </cell>
        </row>
        <row r="22">
          <cell r="D22" t="str">
            <v>SHT0013145</v>
          </cell>
          <cell r="E22" t="str">
            <v>1.0升级前升降拉簧</v>
          </cell>
          <cell r="F22" t="str">
            <v>个</v>
          </cell>
          <cell r="G22">
            <v>1.2276</v>
          </cell>
        </row>
        <row r="23">
          <cell r="D23" t="str">
            <v>SHT0012112</v>
          </cell>
          <cell r="E23" t="str">
            <v>M3000副边罩壳固定钢丝</v>
          </cell>
          <cell r="F23" t="str">
            <v>个</v>
          </cell>
          <cell r="G23">
            <v>0.16</v>
          </cell>
        </row>
        <row r="24">
          <cell r="D24" t="str">
            <v>BSP0010035</v>
          </cell>
          <cell r="E24" t="str">
            <v>靠背回位簧</v>
          </cell>
          <cell r="F24" t="str">
            <v>个</v>
          </cell>
          <cell r="G24">
            <v>6.2729999999999997</v>
          </cell>
        </row>
        <row r="25">
          <cell r="D25" t="str">
            <v>SLT0010335</v>
          </cell>
          <cell r="E25" t="str">
            <v>驾驶员侧翼支撑钢丝</v>
          </cell>
          <cell r="F25" t="str">
            <v>个</v>
          </cell>
          <cell r="G25">
            <v>0.56499999999999995</v>
          </cell>
        </row>
        <row r="26">
          <cell r="D26" t="str">
            <v>SLT0010437</v>
          </cell>
          <cell r="E26" t="str">
            <v>副驾靠背头枕支撑杆</v>
          </cell>
          <cell r="F26" t="str">
            <v>个</v>
          </cell>
          <cell r="G26">
            <v>1.327</v>
          </cell>
        </row>
        <row r="27">
          <cell r="D27" t="str">
            <v>SLT0010438</v>
          </cell>
          <cell r="E27" t="str">
            <v>副驾靠背头枕加强钢丝</v>
          </cell>
          <cell r="F27" t="str">
            <v>个</v>
          </cell>
          <cell r="G27">
            <v>0.63300000000000001</v>
          </cell>
        </row>
        <row r="28">
          <cell r="D28" t="str">
            <v>SLT0010355</v>
          </cell>
          <cell r="E28" t="str">
            <v>副驾靠背侧翼支撑钢丝</v>
          </cell>
          <cell r="F28" t="str">
            <v>个</v>
          </cell>
          <cell r="G28">
            <v>0.61199999999999999</v>
          </cell>
        </row>
        <row r="29">
          <cell r="D29" t="str">
            <v>SHT0011809</v>
          </cell>
          <cell r="E29" t="str">
            <v>仰角调节机构扭簧</v>
          </cell>
          <cell r="F29" t="str">
            <v>个</v>
          </cell>
          <cell r="G29">
            <v>0.188</v>
          </cell>
        </row>
        <row r="30">
          <cell r="D30" t="str">
            <v>SCS0006414</v>
          </cell>
          <cell r="E30" t="str">
            <v>P203靠背左侧面套固定钢丝</v>
          </cell>
          <cell r="F30" t="str">
            <v>个</v>
          </cell>
          <cell r="G30">
            <v>0.43</v>
          </cell>
        </row>
        <row r="31">
          <cell r="D31" t="str">
            <v>SCS0006416</v>
          </cell>
          <cell r="E31" t="str">
            <v>P203靠背右侧面套固定钢丝</v>
          </cell>
          <cell r="F31" t="str">
            <v>个</v>
          </cell>
          <cell r="G31">
            <v>0.43</v>
          </cell>
        </row>
        <row r="32">
          <cell r="D32" t="str">
            <v>SLT0010193</v>
          </cell>
          <cell r="E32" t="str">
            <v>气管接线头固定钢丝</v>
          </cell>
          <cell r="F32" t="str">
            <v>个</v>
          </cell>
          <cell r="G32">
            <v>0.191</v>
          </cell>
        </row>
        <row r="33">
          <cell r="D33" t="str">
            <v>SHT0012049</v>
          </cell>
          <cell r="E33" t="str">
            <v>拉簧固定钢丝</v>
          </cell>
          <cell r="F33" t="str">
            <v>个</v>
          </cell>
          <cell r="G33">
            <v>0.09</v>
          </cell>
        </row>
        <row r="34">
          <cell r="D34" t="str">
            <v>SHT0012110</v>
          </cell>
          <cell r="E34" t="str">
            <v>M4主边罩壳固定钢丝</v>
          </cell>
          <cell r="F34" t="str">
            <v>个</v>
          </cell>
          <cell r="G34">
            <v>0.60399999999999998</v>
          </cell>
        </row>
        <row r="35">
          <cell r="D35" t="str">
            <v>SHT0012006</v>
          </cell>
          <cell r="E35" t="str">
            <v>升降锁止轴安装卡箍</v>
          </cell>
          <cell r="F35" t="str">
            <v>个</v>
          </cell>
          <cell r="G35">
            <v>0.3</v>
          </cell>
        </row>
        <row r="36">
          <cell r="D36" t="str">
            <v>SHT0012034</v>
          </cell>
          <cell r="E36" t="str">
            <v>气阀固定钢丝</v>
          </cell>
          <cell r="F36" t="str">
            <v>个</v>
          </cell>
          <cell r="G36">
            <v>0.35</v>
          </cell>
        </row>
        <row r="37">
          <cell r="D37" t="str">
            <v>SHT0013145</v>
          </cell>
          <cell r="E37" t="str">
            <v>1.0升级前升降拉簧</v>
          </cell>
          <cell r="F37" t="str">
            <v>个</v>
          </cell>
          <cell r="G37">
            <v>1.2276</v>
          </cell>
        </row>
        <row r="38">
          <cell r="D38" t="str">
            <v>SHT0013146</v>
          </cell>
          <cell r="E38" t="str">
            <v>1.0升级后升降拉簧</v>
          </cell>
          <cell r="F38" t="str">
            <v>个</v>
          </cell>
          <cell r="G38">
            <v>1.6956</v>
          </cell>
        </row>
        <row r="39">
          <cell r="D39" t="str">
            <v>SHT0012112</v>
          </cell>
          <cell r="E39" t="str">
            <v>M3000副边罩壳固定钢丝</v>
          </cell>
          <cell r="F39" t="str">
            <v>个</v>
          </cell>
          <cell r="G39">
            <v>0.16</v>
          </cell>
        </row>
        <row r="40">
          <cell r="D40" t="str">
            <v>SLT0010335</v>
          </cell>
          <cell r="E40" t="str">
            <v>驾驶员侧翼支撑钢丝</v>
          </cell>
          <cell r="F40" t="str">
            <v>个</v>
          </cell>
          <cell r="G40">
            <v>0.56499999999999995</v>
          </cell>
        </row>
        <row r="41">
          <cell r="D41" t="str">
            <v>SLT0010437</v>
          </cell>
          <cell r="E41" t="str">
            <v>副驾靠背头枕支撑杆</v>
          </cell>
          <cell r="F41" t="str">
            <v>个</v>
          </cell>
          <cell r="G41">
            <v>1.327</v>
          </cell>
        </row>
        <row r="42">
          <cell r="D42" t="str">
            <v>SLT0010438</v>
          </cell>
          <cell r="E42" t="str">
            <v>副驾靠背头枕加强钢丝</v>
          </cell>
          <cell r="F42" t="str">
            <v>个</v>
          </cell>
          <cell r="G42">
            <v>0.63300000000000001</v>
          </cell>
        </row>
        <row r="43">
          <cell r="D43" t="str">
            <v>SLT0010355</v>
          </cell>
          <cell r="E43" t="str">
            <v>副驾靠背侧翼支撑钢丝</v>
          </cell>
          <cell r="F43" t="str">
            <v>个</v>
          </cell>
          <cell r="G43">
            <v>0.61199999999999999</v>
          </cell>
        </row>
        <row r="44">
          <cell r="D44" t="str">
            <v>REM0003411</v>
          </cell>
          <cell r="E44" t="str">
            <v>奥威弹簧(H6状态)</v>
          </cell>
          <cell r="F44" t="str">
            <v>个</v>
          </cell>
          <cell r="G44">
            <v>0.62</v>
          </cell>
        </row>
        <row r="45">
          <cell r="D45" t="str">
            <v>SHT0011809</v>
          </cell>
          <cell r="E45" t="str">
            <v>仰角调节机构扭簧</v>
          </cell>
          <cell r="F45" t="str">
            <v>个</v>
          </cell>
          <cell r="G45">
            <v>0.188</v>
          </cell>
        </row>
        <row r="46">
          <cell r="D46" t="str">
            <v>SHT0011054</v>
          </cell>
          <cell r="E46" t="str">
            <v>D03靠背骨架下支撑钢丝</v>
          </cell>
          <cell r="F46" t="str">
            <v>个</v>
          </cell>
          <cell r="G46">
            <v>1.911</v>
          </cell>
        </row>
        <row r="47">
          <cell r="D47" t="str">
            <v>SCS0006414</v>
          </cell>
          <cell r="E47" t="str">
            <v>P203靠背左侧面套固定钢丝</v>
          </cell>
          <cell r="F47" t="str">
            <v>个</v>
          </cell>
          <cell r="G47">
            <v>0.43</v>
          </cell>
        </row>
        <row r="48">
          <cell r="D48" t="str">
            <v>SCS0006416</v>
          </cell>
          <cell r="E48" t="str">
            <v>P203靠背右侧面套固定钢丝</v>
          </cell>
          <cell r="F48" t="str">
            <v>个</v>
          </cell>
          <cell r="G48">
            <v>0.43</v>
          </cell>
        </row>
        <row r="49">
          <cell r="D49" t="str">
            <v>SLT0010193</v>
          </cell>
          <cell r="E49" t="str">
            <v>气管接线头固定钢丝</v>
          </cell>
          <cell r="F49" t="str">
            <v>个</v>
          </cell>
          <cell r="G49">
            <v>0.191</v>
          </cell>
        </row>
        <row r="50">
          <cell r="D50" t="str">
            <v>SHT0012049</v>
          </cell>
          <cell r="E50" t="str">
            <v>拉簧固定钢丝</v>
          </cell>
          <cell r="F50" t="str">
            <v>个</v>
          </cell>
          <cell r="G50">
            <v>0.09</v>
          </cell>
        </row>
        <row r="51">
          <cell r="D51" t="str">
            <v>SHT0013145</v>
          </cell>
          <cell r="E51" t="str">
            <v>1.0升级前升降拉簧</v>
          </cell>
          <cell r="F51" t="str">
            <v>个</v>
          </cell>
          <cell r="G51">
            <v>1.2276</v>
          </cell>
        </row>
        <row r="52">
          <cell r="D52" t="str">
            <v>SHT0013146</v>
          </cell>
          <cell r="E52" t="str">
            <v>1.0升级后升降拉簧</v>
          </cell>
          <cell r="F52" t="str">
            <v>个</v>
          </cell>
          <cell r="G52">
            <v>1.6956</v>
          </cell>
        </row>
        <row r="53">
          <cell r="D53" t="str">
            <v>BSP0010035</v>
          </cell>
          <cell r="E53" t="str">
            <v>靠背回位簧</v>
          </cell>
          <cell r="F53" t="str">
            <v>个</v>
          </cell>
          <cell r="G53">
            <v>6.2729999999999997</v>
          </cell>
        </row>
        <row r="54">
          <cell r="D54" t="str">
            <v>SLT0010335</v>
          </cell>
          <cell r="E54" t="str">
            <v>驾驶员侧翼支撑钢丝</v>
          </cell>
          <cell r="F54" t="str">
            <v>个</v>
          </cell>
          <cell r="G54">
            <v>0.56499999999999995</v>
          </cell>
        </row>
        <row r="55">
          <cell r="D55" t="str">
            <v>SLT0010437</v>
          </cell>
          <cell r="E55" t="str">
            <v>副驾靠背头枕支撑杆</v>
          </cell>
          <cell r="F55" t="str">
            <v>个</v>
          </cell>
          <cell r="G55">
            <v>1.327</v>
          </cell>
        </row>
        <row r="56">
          <cell r="D56" t="str">
            <v>SLT0010438</v>
          </cell>
          <cell r="E56" t="str">
            <v>副驾靠背头枕加强钢丝</v>
          </cell>
          <cell r="F56" t="str">
            <v>个</v>
          </cell>
          <cell r="G56">
            <v>0.63300000000000001</v>
          </cell>
        </row>
        <row r="57">
          <cell r="D57" t="str">
            <v>SLT0010355</v>
          </cell>
          <cell r="E57" t="str">
            <v>副驾靠背侧翼支撑钢丝</v>
          </cell>
          <cell r="F57" t="str">
            <v>个</v>
          </cell>
          <cell r="G57">
            <v>0.61199999999999999</v>
          </cell>
        </row>
        <row r="58">
          <cell r="D58" t="str">
            <v>BSP0000073</v>
          </cell>
          <cell r="E58" t="str">
            <v>B40弹簧（L)</v>
          </cell>
          <cell r="F58" t="str">
            <v>个</v>
          </cell>
          <cell r="G58">
            <v>0.3</v>
          </cell>
        </row>
        <row r="59">
          <cell r="D59" t="str">
            <v>SHT0011809</v>
          </cell>
          <cell r="E59" t="str">
            <v>仰角调节机构扭簧</v>
          </cell>
          <cell r="F59" t="str">
            <v>个</v>
          </cell>
          <cell r="G59">
            <v>0.188</v>
          </cell>
        </row>
        <row r="60">
          <cell r="D60" t="str">
            <v>SCS0007057</v>
          </cell>
          <cell r="E60" t="str">
            <v>儿童锁挂钩</v>
          </cell>
          <cell r="F60" t="str">
            <v>个</v>
          </cell>
          <cell r="G60">
            <v>0.34200000000000003</v>
          </cell>
        </row>
        <row r="61">
          <cell r="D61" t="str">
            <v>SHT0011054</v>
          </cell>
          <cell r="E61" t="str">
            <v>D03靠背骨架下支撑钢丝</v>
          </cell>
          <cell r="F61" t="str">
            <v>个</v>
          </cell>
          <cell r="G61">
            <v>1.911</v>
          </cell>
        </row>
        <row r="62">
          <cell r="D62" t="str">
            <v>SCS0006414</v>
          </cell>
          <cell r="E62" t="str">
            <v>P203靠背左侧面套固定钢丝</v>
          </cell>
          <cell r="F62" t="str">
            <v>个</v>
          </cell>
          <cell r="G62">
            <v>0.43</v>
          </cell>
        </row>
        <row r="63">
          <cell r="D63" t="str">
            <v>SCS0006416</v>
          </cell>
          <cell r="E63" t="str">
            <v>P203靠背右侧面套固定钢丝</v>
          </cell>
          <cell r="F63" t="str">
            <v>个</v>
          </cell>
          <cell r="G63">
            <v>0.43</v>
          </cell>
        </row>
        <row r="64">
          <cell r="D64" t="str">
            <v>SLT0010193</v>
          </cell>
          <cell r="E64" t="str">
            <v>气管接线头固定钢丝</v>
          </cell>
          <cell r="F64" t="str">
            <v>个</v>
          </cell>
          <cell r="G64">
            <v>0.191</v>
          </cell>
        </row>
        <row r="65">
          <cell r="D65" t="str">
            <v>SHT0012049</v>
          </cell>
          <cell r="E65" t="str">
            <v>拉簧固定钢丝</v>
          </cell>
          <cell r="F65" t="str">
            <v>个</v>
          </cell>
          <cell r="G65">
            <v>0.09</v>
          </cell>
        </row>
        <row r="66">
          <cell r="D66" t="str">
            <v>SHT0011809</v>
          </cell>
          <cell r="E66" t="str">
            <v>仰角调节机构扭簧</v>
          </cell>
          <cell r="F66" t="str">
            <v>个</v>
          </cell>
          <cell r="G66">
            <v>0.188</v>
          </cell>
        </row>
        <row r="67">
          <cell r="D67" t="str">
            <v>SHT0011054</v>
          </cell>
          <cell r="E67" t="str">
            <v>D03靠背骨架下支撑钢丝</v>
          </cell>
          <cell r="F67" t="str">
            <v>个</v>
          </cell>
          <cell r="G67">
            <v>1.911</v>
          </cell>
        </row>
        <row r="68">
          <cell r="D68" t="str">
            <v>SCS0006414</v>
          </cell>
          <cell r="E68" t="str">
            <v>P203靠背左侧面套固定钢丝</v>
          </cell>
          <cell r="F68" t="str">
            <v>个</v>
          </cell>
          <cell r="G68">
            <v>0.43</v>
          </cell>
        </row>
        <row r="69">
          <cell r="D69" t="str">
            <v>SCS0006416</v>
          </cell>
          <cell r="E69" t="str">
            <v>P203靠背右侧面套固定钢丝</v>
          </cell>
          <cell r="F69" t="str">
            <v>个</v>
          </cell>
          <cell r="G69">
            <v>0.43</v>
          </cell>
        </row>
        <row r="70">
          <cell r="D70" t="str">
            <v>SLT0010193</v>
          </cell>
          <cell r="E70" t="str">
            <v>气管接线头固定钢丝</v>
          </cell>
          <cell r="F70" t="str">
            <v>个</v>
          </cell>
          <cell r="G70">
            <v>0.191</v>
          </cell>
        </row>
        <row r="71">
          <cell r="D71" t="str">
            <v>SHT0011809</v>
          </cell>
          <cell r="E71" t="str">
            <v>仰角调节机构扭簧</v>
          </cell>
          <cell r="F71" t="str">
            <v>个</v>
          </cell>
          <cell r="G71">
            <v>0.188</v>
          </cell>
        </row>
        <row r="72">
          <cell r="D72" t="str">
            <v>SCS0006414</v>
          </cell>
          <cell r="E72" t="str">
            <v>P203靠背左侧面套固定钢丝</v>
          </cell>
          <cell r="F72" t="str">
            <v>个</v>
          </cell>
          <cell r="G72">
            <v>0.43</v>
          </cell>
        </row>
        <row r="73">
          <cell r="D73" t="str">
            <v>SCS0006416</v>
          </cell>
          <cell r="E73" t="str">
            <v>P203靠背右侧面套固定钢丝</v>
          </cell>
          <cell r="F73" t="str">
            <v>个</v>
          </cell>
          <cell r="G73">
            <v>0.43</v>
          </cell>
        </row>
        <row r="74">
          <cell r="D74" t="str">
            <v>SLT0010193</v>
          </cell>
          <cell r="E74" t="str">
            <v>气管接线头固定钢丝</v>
          </cell>
          <cell r="F74" t="str">
            <v>个</v>
          </cell>
          <cell r="G74">
            <v>0.191</v>
          </cell>
        </row>
        <row r="75">
          <cell r="D75" t="str">
            <v>SHT0012049</v>
          </cell>
          <cell r="E75" t="str">
            <v>拉簧固定钢丝</v>
          </cell>
          <cell r="F75" t="str">
            <v>个</v>
          </cell>
          <cell r="G75">
            <v>0.09</v>
          </cell>
        </row>
        <row r="76">
          <cell r="D76" t="str">
            <v>SHT0012034</v>
          </cell>
          <cell r="E76" t="str">
            <v>气阀固定钢丝</v>
          </cell>
          <cell r="F76" t="str">
            <v>个</v>
          </cell>
          <cell r="G76">
            <v>0.35</v>
          </cell>
        </row>
        <row r="77">
          <cell r="D77" t="str">
            <v>SHT0013145</v>
          </cell>
          <cell r="E77" t="str">
            <v>1.0升级前升降拉簧</v>
          </cell>
          <cell r="F77" t="str">
            <v>个</v>
          </cell>
          <cell r="G77">
            <v>1.2276</v>
          </cell>
        </row>
        <row r="78">
          <cell r="D78" t="str">
            <v>SHT0013146</v>
          </cell>
          <cell r="E78" t="str">
            <v>1.0升级后升降拉簧</v>
          </cell>
          <cell r="F78" t="str">
            <v>个</v>
          </cell>
          <cell r="G78">
            <v>1.6956</v>
          </cell>
        </row>
        <row r="79">
          <cell r="D79" t="str">
            <v>SHT0012112</v>
          </cell>
          <cell r="E79" t="str">
            <v>M3000副边罩壳固定钢丝</v>
          </cell>
          <cell r="F79" t="str">
            <v>个</v>
          </cell>
          <cell r="G79">
            <v>0.16</v>
          </cell>
        </row>
        <row r="80">
          <cell r="D80" t="str">
            <v>SHT0011809</v>
          </cell>
          <cell r="E80" t="str">
            <v>仰角调节机构扭簧</v>
          </cell>
          <cell r="F80" t="str">
            <v>个</v>
          </cell>
          <cell r="G80">
            <v>0.188</v>
          </cell>
        </row>
        <row r="81">
          <cell r="D81" t="str">
            <v>SCS0007057</v>
          </cell>
          <cell r="E81" t="str">
            <v>儿童锁挂钩</v>
          </cell>
          <cell r="F81" t="str">
            <v>个</v>
          </cell>
          <cell r="G81">
            <v>0.34200000000000003</v>
          </cell>
        </row>
        <row r="82">
          <cell r="D82" t="str">
            <v>SCS0006414</v>
          </cell>
          <cell r="E82" t="str">
            <v>P203靠背左侧面套固定钢丝</v>
          </cell>
          <cell r="F82" t="str">
            <v>个</v>
          </cell>
          <cell r="G82">
            <v>0.43</v>
          </cell>
        </row>
        <row r="83">
          <cell r="D83" t="str">
            <v>SCS0006416</v>
          </cell>
          <cell r="E83" t="str">
            <v>P203靠背右侧面套固定钢丝</v>
          </cell>
          <cell r="F83" t="str">
            <v>个</v>
          </cell>
          <cell r="G83">
            <v>0.43</v>
          </cell>
        </row>
        <row r="84">
          <cell r="D84" t="str">
            <v>SLT0010193</v>
          </cell>
          <cell r="E84" t="str">
            <v>气管接线头固定钢丝</v>
          </cell>
          <cell r="F84" t="str">
            <v>个</v>
          </cell>
          <cell r="G84">
            <v>0.191</v>
          </cell>
        </row>
        <row r="85">
          <cell r="D85" t="str">
            <v>02.03.58.002</v>
          </cell>
          <cell r="E85" t="str">
            <v>靠背面套固定钢丝-左</v>
          </cell>
          <cell r="F85" t="str">
            <v>个</v>
          </cell>
          <cell r="G85">
            <v>0.36799999999999999</v>
          </cell>
        </row>
        <row r="86">
          <cell r="D86" t="str">
            <v>02.03.58.003</v>
          </cell>
          <cell r="E86" t="str">
            <v>靠背侧翼支撑钢丝-左</v>
          </cell>
          <cell r="F86" t="str">
            <v>个</v>
          </cell>
          <cell r="G86">
            <v>0.40799999999999997</v>
          </cell>
        </row>
        <row r="87">
          <cell r="D87" t="str">
            <v>02.03.58.005</v>
          </cell>
          <cell r="E87" t="str">
            <v>靠背面套固定钢丝-右</v>
          </cell>
          <cell r="F87" t="str">
            <v>个</v>
          </cell>
          <cell r="G87">
            <v>0.36799999999999999</v>
          </cell>
        </row>
        <row r="88">
          <cell r="D88" t="str">
            <v>02.03.58.006</v>
          </cell>
          <cell r="E88" t="str">
            <v>靠背侧翼支撑钢丝-右</v>
          </cell>
          <cell r="F88" t="str">
            <v>个</v>
          </cell>
          <cell r="G88">
            <v>0.40799999999999997</v>
          </cell>
        </row>
        <row r="89">
          <cell r="D89" t="str">
            <v>SHT0012034</v>
          </cell>
          <cell r="E89" t="str">
            <v>气阀固定钢丝</v>
          </cell>
          <cell r="F89" t="str">
            <v>个</v>
          </cell>
          <cell r="G89">
            <v>0.35</v>
          </cell>
        </row>
        <row r="90">
          <cell r="D90" t="str">
            <v>SHT0013145</v>
          </cell>
          <cell r="E90" t="str">
            <v>1.0升级前升降拉簧</v>
          </cell>
          <cell r="F90" t="str">
            <v>个</v>
          </cell>
          <cell r="G90">
            <v>1.2276</v>
          </cell>
        </row>
        <row r="91">
          <cell r="D91" t="str">
            <v>SHT0013146</v>
          </cell>
          <cell r="E91" t="str">
            <v>1.0升级后升降拉簧</v>
          </cell>
          <cell r="F91" t="str">
            <v>个</v>
          </cell>
          <cell r="G91">
            <v>1.6956</v>
          </cell>
        </row>
        <row r="92">
          <cell r="D92" t="str">
            <v>SCS0006414</v>
          </cell>
          <cell r="E92" t="str">
            <v>P203靠背左侧面套固定钢丝</v>
          </cell>
          <cell r="F92" t="str">
            <v>个</v>
          </cell>
          <cell r="G92">
            <v>0.43</v>
          </cell>
        </row>
        <row r="93">
          <cell r="D93" t="str">
            <v>SCS0006416</v>
          </cell>
          <cell r="E93" t="str">
            <v>P203靠背右侧面套固定钢丝</v>
          </cell>
          <cell r="F93" t="str">
            <v>个</v>
          </cell>
          <cell r="G93">
            <v>0.43</v>
          </cell>
        </row>
        <row r="94">
          <cell r="D94" t="str">
            <v>SLT0010193</v>
          </cell>
          <cell r="E94" t="str">
            <v>气管接线头固定钢丝</v>
          </cell>
          <cell r="F94" t="str">
            <v>个</v>
          </cell>
          <cell r="G94">
            <v>0.191</v>
          </cell>
        </row>
        <row r="95">
          <cell r="D95" t="str">
            <v>SHT0012049</v>
          </cell>
          <cell r="E95" t="str">
            <v>拉簧固定钢丝</v>
          </cell>
          <cell r="F95" t="str">
            <v>个</v>
          </cell>
          <cell r="G95">
            <v>0.09</v>
          </cell>
        </row>
        <row r="96">
          <cell r="D96" t="str">
            <v>SHT0012110</v>
          </cell>
          <cell r="E96" t="str">
            <v>M4主边罩壳固定钢丝</v>
          </cell>
          <cell r="F96" t="str">
            <v>个</v>
          </cell>
          <cell r="G96">
            <v>0.60399999999999998</v>
          </cell>
        </row>
        <row r="97">
          <cell r="D97" t="str">
            <v>SHT0012034</v>
          </cell>
          <cell r="E97" t="str">
            <v>气阀固定钢丝</v>
          </cell>
          <cell r="F97" t="str">
            <v>个</v>
          </cell>
          <cell r="G97">
            <v>0.35</v>
          </cell>
        </row>
        <row r="98">
          <cell r="D98" t="str">
            <v>SHT0013145</v>
          </cell>
          <cell r="E98" t="str">
            <v>1.0升级前升降拉簧</v>
          </cell>
          <cell r="F98" t="str">
            <v>个</v>
          </cell>
          <cell r="G98">
            <v>1.2276</v>
          </cell>
        </row>
        <row r="99">
          <cell r="D99" t="str">
            <v>SHT0013146</v>
          </cell>
          <cell r="E99" t="str">
            <v>1.0升级后升降拉簧</v>
          </cell>
          <cell r="F99" t="str">
            <v>个</v>
          </cell>
          <cell r="G99">
            <v>1.6956</v>
          </cell>
        </row>
        <row r="100">
          <cell r="D100" t="str">
            <v>SHT0012112</v>
          </cell>
          <cell r="E100" t="str">
            <v>M3000副边罩壳固定钢丝</v>
          </cell>
          <cell r="F100" t="str">
            <v>个</v>
          </cell>
          <cell r="G100">
            <v>0.16</v>
          </cell>
        </row>
        <row r="101">
          <cell r="D101" t="str">
            <v>BFA0000746</v>
          </cell>
          <cell r="E101" t="str">
            <v>BWL7500转轴</v>
          </cell>
          <cell r="F101" t="str">
            <v>个</v>
          </cell>
          <cell r="G101">
            <v>8.6999999999999994E-2</v>
          </cell>
        </row>
        <row r="102">
          <cell r="D102" t="str">
            <v>SHT0011054</v>
          </cell>
          <cell r="E102" t="str">
            <v>D03靠背骨架下支撑钢丝</v>
          </cell>
          <cell r="F102" t="str">
            <v>个</v>
          </cell>
          <cell r="G102">
            <v>1.911</v>
          </cell>
        </row>
        <row r="103">
          <cell r="D103" t="str">
            <v>SCS0006414</v>
          </cell>
          <cell r="E103" t="str">
            <v>P203靠背左侧面套固定钢丝</v>
          </cell>
          <cell r="F103" t="str">
            <v>个</v>
          </cell>
          <cell r="G103">
            <v>0.43</v>
          </cell>
        </row>
        <row r="104">
          <cell r="D104" t="str">
            <v>SCS0006416</v>
          </cell>
          <cell r="E104" t="str">
            <v>P203靠背右侧面套固定钢丝</v>
          </cell>
          <cell r="F104" t="str">
            <v>个</v>
          </cell>
          <cell r="G104">
            <v>0.43</v>
          </cell>
        </row>
        <row r="105">
          <cell r="D105" t="str">
            <v>SLT0010193</v>
          </cell>
          <cell r="E105" t="str">
            <v>气管接线头固定钢丝</v>
          </cell>
          <cell r="F105" t="str">
            <v>个</v>
          </cell>
          <cell r="G105">
            <v>0.191</v>
          </cell>
        </row>
        <row r="106">
          <cell r="D106" t="str">
            <v>SHT0012049</v>
          </cell>
          <cell r="E106" t="str">
            <v>拉簧固定钢丝</v>
          </cell>
          <cell r="F106" t="str">
            <v>个</v>
          </cell>
          <cell r="G106">
            <v>0.09</v>
          </cell>
        </row>
        <row r="107">
          <cell r="D107" t="str">
            <v>SHT0012110</v>
          </cell>
          <cell r="E107" t="str">
            <v>M4主边罩壳固定钢丝</v>
          </cell>
          <cell r="F107" t="str">
            <v>个</v>
          </cell>
          <cell r="G107">
            <v>0.60399999999999998</v>
          </cell>
        </row>
        <row r="108">
          <cell r="D108" t="str">
            <v>SHT0012006</v>
          </cell>
          <cell r="E108" t="str">
            <v>升降锁止轴安装卡箍</v>
          </cell>
          <cell r="F108" t="str">
            <v>个</v>
          </cell>
          <cell r="G108">
            <v>0.3</v>
          </cell>
        </row>
        <row r="109">
          <cell r="D109" t="str">
            <v>SHT0012034</v>
          </cell>
          <cell r="E109" t="str">
            <v>气阀固定钢丝</v>
          </cell>
          <cell r="F109" t="str">
            <v>个</v>
          </cell>
          <cell r="G109">
            <v>0.35</v>
          </cell>
        </row>
        <row r="110">
          <cell r="D110" t="str">
            <v>SHT0013145</v>
          </cell>
          <cell r="E110" t="str">
            <v>1.0升级前升降拉簧</v>
          </cell>
          <cell r="F110" t="str">
            <v>个</v>
          </cell>
          <cell r="G110">
            <v>1.2276</v>
          </cell>
        </row>
        <row r="111">
          <cell r="D111" t="str">
            <v>SHT0013146</v>
          </cell>
          <cell r="E111" t="str">
            <v>1.0升级后升降拉簧</v>
          </cell>
          <cell r="F111" t="str">
            <v>个</v>
          </cell>
          <cell r="G111">
            <v>1.6956</v>
          </cell>
        </row>
        <row r="112">
          <cell r="D112" t="str">
            <v>SHT0012112</v>
          </cell>
          <cell r="E112" t="str">
            <v>M3000副边罩壳固定钢丝</v>
          </cell>
          <cell r="F112" t="str">
            <v>个</v>
          </cell>
          <cell r="G112">
            <v>0.16</v>
          </cell>
        </row>
        <row r="113">
          <cell r="D113" t="str">
            <v>SLT0010335</v>
          </cell>
          <cell r="E113" t="str">
            <v>驾驶员侧翼支撑钢丝</v>
          </cell>
          <cell r="F113" t="str">
            <v>个</v>
          </cell>
          <cell r="G113">
            <v>0.56499999999999995</v>
          </cell>
        </row>
        <row r="114">
          <cell r="D114" t="str">
            <v>SLT0010437</v>
          </cell>
          <cell r="E114" t="str">
            <v>副驾靠背头枕支撑杆</v>
          </cell>
          <cell r="F114" t="str">
            <v>个</v>
          </cell>
          <cell r="G114">
            <v>1.327</v>
          </cell>
        </row>
        <row r="115">
          <cell r="D115" t="str">
            <v>SLT0010438</v>
          </cell>
          <cell r="E115" t="str">
            <v>副驾靠背头枕加强钢丝</v>
          </cell>
          <cell r="F115" t="str">
            <v>个</v>
          </cell>
          <cell r="G115">
            <v>0.63300000000000001</v>
          </cell>
        </row>
        <row r="116">
          <cell r="D116" t="str">
            <v>SLT0010355</v>
          </cell>
          <cell r="E116" t="str">
            <v>副驾靠背侧翼支撑钢丝</v>
          </cell>
          <cell r="F116" t="str">
            <v>个</v>
          </cell>
          <cell r="G116">
            <v>0.61199999999999999</v>
          </cell>
        </row>
        <row r="117">
          <cell r="D117" t="str">
            <v>SLT0010472</v>
          </cell>
          <cell r="E117" t="str">
            <v>拉簧</v>
          </cell>
          <cell r="F117" t="str">
            <v>个</v>
          </cell>
          <cell r="G117">
            <v>0.67</v>
          </cell>
        </row>
        <row r="118">
          <cell r="D118" t="str">
            <v>SHT0011809</v>
          </cell>
          <cell r="E118" t="str">
            <v>仰角调节机构扭簧</v>
          </cell>
          <cell r="F118" t="str">
            <v>个</v>
          </cell>
          <cell r="G118">
            <v>0.188</v>
          </cell>
        </row>
        <row r="119">
          <cell r="D119" t="str">
            <v>SCS0006414</v>
          </cell>
          <cell r="E119" t="str">
            <v>P203靠背左侧面套固定钢丝</v>
          </cell>
          <cell r="F119" t="str">
            <v>个</v>
          </cell>
          <cell r="G119">
            <v>0.43</v>
          </cell>
        </row>
        <row r="120">
          <cell r="D120" t="str">
            <v>SCS0006416</v>
          </cell>
          <cell r="E120" t="str">
            <v>P203靠背右侧面套固定钢丝</v>
          </cell>
          <cell r="F120" t="str">
            <v>个</v>
          </cell>
          <cell r="G120">
            <v>0.43</v>
          </cell>
        </row>
        <row r="121">
          <cell r="D121" t="str">
            <v>SLT0010193</v>
          </cell>
          <cell r="E121" t="str">
            <v>气管接线头固定钢丝</v>
          </cell>
          <cell r="F121" t="str">
            <v>个</v>
          </cell>
          <cell r="G121">
            <v>0.191</v>
          </cell>
        </row>
        <row r="122">
          <cell r="D122" t="str">
            <v>SHT0012049</v>
          </cell>
          <cell r="E122" t="str">
            <v>拉簧固定钢丝</v>
          </cell>
          <cell r="F122" t="str">
            <v>个</v>
          </cell>
          <cell r="G122">
            <v>0.09</v>
          </cell>
        </row>
        <row r="123">
          <cell r="D123" t="str">
            <v>SHT0012110</v>
          </cell>
          <cell r="E123" t="str">
            <v>M4主边罩壳固定钢丝</v>
          </cell>
          <cell r="F123" t="str">
            <v>个</v>
          </cell>
          <cell r="G123">
            <v>0.60399999999999998</v>
          </cell>
        </row>
        <row r="124">
          <cell r="D124" t="str">
            <v>SHT0012006</v>
          </cell>
          <cell r="E124" t="str">
            <v>升降锁止轴安装卡箍</v>
          </cell>
          <cell r="F124" t="str">
            <v>个</v>
          </cell>
          <cell r="G124">
            <v>0.3</v>
          </cell>
        </row>
        <row r="125">
          <cell r="D125" t="str">
            <v>SHT0012034</v>
          </cell>
          <cell r="E125" t="str">
            <v>气阀固定钢丝</v>
          </cell>
          <cell r="F125" t="str">
            <v>个</v>
          </cell>
          <cell r="G125">
            <v>0.35</v>
          </cell>
        </row>
        <row r="126">
          <cell r="D126" t="str">
            <v>SHT0013145</v>
          </cell>
          <cell r="E126" t="str">
            <v>1.0升级前升降拉簧</v>
          </cell>
          <cell r="F126" t="str">
            <v>个</v>
          </cell>
          <cell r="G126">
            <v>1.2276</v>
          </cell>
        </row>
        <row r="127">
          <cell r="D127" t="str">
            <v>SHT0013146</v>
          </cell>
          <cell r="E127" t="str">
            <v>1.0升级后升降拉簧</v>
          </cell>
          <cell r="F127" t="str">
            <v>个</v>
          </cell>
          <cell r="G127">
            <v>1.6956</v>
          </cell>
        </row>
        <row r="128">
          <cell r="D128" t="str">
            <v>SHT0012112</v>
          </cell>
          <cell r="E128" t="str">
            <v>M3000副边罩壳固定钢丝</v>
          </cell>
          <cell r="F128" t="str">
            <v>个</v>
          </cell>
          <cell r="G128">
            <v>0.16</v>
          </cell>
        </row>
        <row r="129">
          <cell r="D129" t="str">
            <v>BSP0010035</v>
          </cell>
          <cell r="E129" t="str">
            <v>靠背回位簧</v>
          </cell>
          <cell r="F129" t="str">
            <v>个</v>
          </cell>
          <cell r="G129">
            <v>6.2729999999999997</v>
          </cell>
        </row>
        <row r="130">
          <cell r="D130" t="str">
            <v>SLT0010335</v>
          </cell>
          <cell r="E130" t="str">
            <v>驾驶员侧翼支撑钢丝</v>
          </cell>
          <cell r="F130" t="str">
            <v>个</v>
          </cell>
          <cell r="G130">
            <v>0.56499999999999995</v>
          </cell>
        </row>
        <row r="131">
          <cell r="D131" t="str">
            <v>SLT0010437</v>
          </cell>
          <cell r="E131" t="str">
            <v>副驾靠背头枕支撑杆</v>
          </cell>
          <cell r="F131" t="str">
            <v>个</v>
          </cell>
          <cell r="G131">
            <v>1.327</v>
          </cell>
        </row>
        <row r="132">
          <cell r="D132" t="str">
            <v>SLT0010438</v>
          </cell>
          <cell r="E132" t="str">
            <v>副驾靠背头枕加强钢丝</v>
          </cell>
          <cell r="F132" t="str">
            <v>个</v>
          </cell>
          <cell r="G132">
            <v>0.63300000000000001</v>
          </cell>
        </row>
        <row r="133">
          <cell r="D133" t="str">
            <v>SLT0010355</v>
          </cell>
          <cell r="E133" t="str">
            <v>副驾靠背侧翼支撑钢丝</v>
          </cell>
          <cell r="F133" t="str">
            <v>个</v>
          </cell>
          <cell r="G133">
            <v>0.61199999999999999</v>
          </cell>
        </row>
        <row r="134">
          <cell r="D134" t="str">
            <v>BFA0000746</v>
          </cell>
          <cell r="E134" t="str">
            <v>BWL7500转轴</v>
          </cell>
          <cell r="F134" t="str">
            <v>个</v>
          </cell>
          <cell r="G134">
            <v>8.6999999999999994E-2</v>
          </cell>
        </row>
        <row r="135">
          <cell r="D135" t="str">
            <v>SHT0011809</v>
          </cell>
          <cell r="E135" t="str">
            <v>仰角调节机构扭簧</v>
          </cell>
          <cell r="F135" t="str">
            <v>个</v>
          </cell>
          <cell r="G135">
            <v>0.188</v>
          </cell>
        </row>
        <row r="136">
          <cell r="D136" t="str">
            <v>SCS0007057</v>
          </cell>
          <cell r="E136" t="str">
            <v>儿童锁挂钩</v>
          </cell>
          <cell r="F136" t="str">
            <v>个</v>
          </cell>
          <cell r="G136">
            <v>0.34200000000000003</v>
          </cell>
        </row>
        <row r="137">
          <cell r="D137" t="str">
            <v>SHT0011054</v>
          </cell>
          <cell r="E137" t="str">
            <v>D03靠背骨架下支撑钢丝</v>
          </cell>
          <cell r="F137" t="str">
            <v>个</v>
          </cell>
          <cell r="G137">
            <v>1.911</v>
          </cell>
        </row>
        <row r="138">
          <cell r="D138" t="str">
            <v>SCS0006414</v>
          </cell>
          <cell r="E138" t="str">
            <v>P203靠背左侧面套固定钢丝</v>
          </cell>
          <cell r="F138" t="str">
            <v>个</v>
          </cell>
          <cell r="G138">
            <v>0.43</v>
          </cell>
        </row>
        <row r="139">
          <cell r="D139" t="str">
            <v>SCS0006416</v>
          </cell>
          <cell r="E139" t="str">
            <v>P203靠背右侧面套固定钢丝</v>
          </cell>
          <cell r="F139" t="str">
            <v>个</v>
          </cell>
          <cell r="G139">
            <v>0.43</v>
          </cell>
        </row>
        <row r="140">
          <cell r="D140" t="str">
            <v>SLT0010193</v>
          </cell>
          <cell r="E140" t="str">
            <v>气管接线头固定钢丝</v>
          </cell>
          <cell r="F140" t="str">
            <v>个</v>
          </cell>
          <cell r="G140">
            <v>0.191</v>
          </cell>
        </row>
        <row r="141">
          <cell r="D141" t="str">
            <v>SHT0012034</v>
          </cell>
          <cell r="E141" t="str">
            <v>气阀固定钢丝</v>
          </cell>
          <cell r="F141" t="str">
            <v>个</v>
          </cell>
          <cell r="G141">
            <v>0.35</v>
          </cell>
        </row>
        <row r="142">
          <cell r="D142" t="str">
            <v>SHT0013145</v>
          </cell>
          <cell r="E142" t="str">
            <v>1.0升级前升降拉簧</v>
          </cell>
          <cell r="F142" t="str">
            <v>个</v>
          </cell>
          <cell r="G142">
            <v>1.2276</v>
          </cell>
        </row>
        <row r="143">
          <cell r="D143" t="str">
            <v>SHT0013146</v>
          </cell>
          <cell r="E143" t="str">
            <v>1.0升级后升降拉簧</v>
          </cell>
          <cell r="F143" t="str">
            <v>个</v>
          </cell>
          <cell r="G143">
            <v>1.6956</v>
          </cell>
        </row>
        <row r="144">
          <cell r="D144" t="str">
            <v>SLT0010335</v>
          </cell>
          <cell r="E144" t="str">
            <v>驾驶员侧翼支撑钢丝</v>
          </cell>
          <cell r="F144" t="str">
            <v>个</v>
          </cell>
          <cell r="G144">
            <v>0.56499999999999995</v>
          </cell>
        </row>
        <row r="145">
          <cell r="D145" t="str">
            <v>SLT0010437</v>
          </cell>
          <cell r="E145" t="str">
            <v>副驾靠背头枕支撑杆</v>
          </cell>
          <cell r="F145" t="str">
            <v>个</v>
          </cell>
          <cell r="G145">
            <v>1.327</v>
          </cell>
        </row>
        <row r="146">
          <cell r="D146" t="str">
            <v>SLT0010355</v>
          </cell>
          <cell r="E146" t="str">
            <v>副驾靠背侧翼支撑钢丝</v>
          </cell>
          <cell r="F146" t="str">
            <v>个</v>
          </cell>
          <cell r="G146">
            <v>0.61199999999999999</v>
          </cell>
        </row>
        <row r="147">
          <cell r="D147" t="str">
            <v>BSP0010035</v>
          </cell>
          <cell r="E147" t="str">
            <v>靠背回位簧重汽T5-2.0翻折</v>
          </cell>
          <cell r="F147" t="str">
            <v>个</v>
          </cell>
          <cell r="G147">
            <v>6.2729999999999997</v>
          </cell>
        </row>
        <row r="148">
          <cell r="D148" t="str">
            <v>REM0003411</v>
          </cell>
          <cell r="E148" t="str">
            <v>奥威弹簧(H6状态)</v>
          </cell>
          <cell r="F148" t="str">
            <v>个</v>
          </cell>
          <cell r="G148">
            <v>0.62</v>
          </cell>
        </row>
        <row r="149">
          <cell r="D149" t="str">
            <v>SCS0006414</v>
          </cell>
          <cell r="E149" t="str">
            <v>靠背左侧面套固定钢丝P203</v>
          </cell>
          <cell r="F149" t="str">
            <v>个</v>
          </cell>
          <cell r="G149">
            <v>0.43</v>
          </cell>
        </row>
        <row r="150">
          <cell r="D150" t="str">
            <v>SCS0006416</v>
          </cell>
          <cell r="E150" t="str">
            <v>靠背右侧面套固定钢丝P203</v>
          </cell>
          <cell r="F150" t="str">
            <v>个</v>
          </cell>
          <cell r="G150">
            <v>0.43</v>
          </cell>
        </row>
        <row r="151">
          <cell r="D151" t="str">
            <v>SCS0007057</v>
          </cell>
          <cell r="E151" t="str">
            <v>儿童座椅固定挂钩B40V后排坐垫</v>
          </cell>
          <cell r="F151" t="str">
            <v>个</v>
          </cell>
          <cell r="G151">
            <v>0.34200000000000003</v>
          </cell>
        </row>
        <row r="152">
          <cell r="D152" t="str">
            <v>SHT0002744</v>
          </cell>
          <cell r="E152" t="str">
            <v>大运靠背支撑钢丝右</v>
          </cell>
          <cell r="F152" t="str">
            <v>个</v>
          </cell>
          <cell r="G152">
            <v>1.42</v>
          </cell>
        </row>
        <row r="153">
          <cell r="D153" t="str">
            <v>SHT0011809</v>
          </cell>
          <cell r="E153" t="str">
            <v>仰角调节机构扭簧主驾座框</v>
          </cell>
          <cell r="F153" t="str">
            <v>个</v>
          </cell>
          <cell r="G153">
            <v>0.188</v>
          </cell>
        </row>
        <row r="154">
          <cell r="D154" t="str">
            <v>SHT0012006</v>
          </cell>
          <cell r="E154" t="str">
            <v>升降锁止轴安装卡箍1.3平台</v>
          </cell>
          <cell r="F154" t="str">
            <v>个</v>
          </cell>
          <cell r="G154">
            <v>0.3</v>
          </cell>
        </row>
        <row r="155">
          <cell r="D155" t="str">
            <v>SHT0012034</v>
          </cell>
          <cell r="E155" t="str">
            <v>气阀固定钢丝1.3平台</v>
          </cell>
          <cell r="F155" t="str">
            <v>个</v>
          </cell>
          <cell r="G155">
            <v>0.35</v>
          </cell>
        </row>
        <row r="156">
          <cell r="D156" t="str">
            <v>SHT0012049</v>
          </cell>
          <cell r="E156" t="str">
            <v>拉簧固定钢丝1.3平台</v>
          </cell>
          <cell r="F156" t="str">
            <v>个</v>
          </cell>
          <cell r="G156">
            <v>0.09</v>
          </cell>
        </row>
        <row r="157">
          <cell r="D157" t="str">
            <v>SHT0012110</v>
          </cell>
          <cell r="E157" t="str">
            <v>主边罩壳固定钢丝M4</v>
          </cell>
          <cell r="F157" t="str">
            <v>个</v>
          </cell>
          <cell r="G157">
            <v>0.60399999999999998</v>
          </cell>
        </row>
        <row r="158">
          <cell r="D158" t="str">
            <v>SHT0012112</v>
          </cell>
          <cell r="E158" t="str">
            <v>副边罩壳钢丝M3000</v>
          </cell>
          <cell r="F158" t="str">
            <v>个</v>
          </cell>
          <cell r="G158">
            <v>0.16</v>
          </cell>
        </row>
        <row r="159">
          <cell r="D159" t="str">
            <v>SHT0013145</v>
          </cell>
          <cell r="E159" t="str">
            <v>前升降拉簧1.3平台</v>
          </cell>
          <cell r="F159" t="str">
            <v>个</v>
          </cell>
          <cell r="G159">
            <v>1.2276</v>
          </cell>
        </row>
        <row r="160">
          <cell r="D160" t="str">
            <v>SHT0013146</v>
          </cell>
          <cell r="E160" t="str">
            <v>后升降拉簧1.3平台</v>
          </cell>
          <cell r="F160" t="str">
            <v>个</v>
          </cell>
          <cell r="G160">
            <v>1.6956</v>
          </cell>
        </row>
        <row r="161">
          <cell r="D161" t="str">
            <v>SLT0010193</v>
          </cell>
          <cell r="E161" t="str">
            <v>气管接线头固定钢丝</v>
          </cell>
          <cell r="F161" t="str">
            <v>个</v>
          </cell>
          <cell r="G161">
            <v>0.191</v>
          </cell>
        </row>
        <row r="162">
          <cell r="D162" t="str">
            <v>SLT0010335</v>
          </cell>
          <cell r="E162" t="str">
            <v>驾驶员侧翼支撑钢丝济南轻卡统帅</v>
          </cell>
          <cell r="F162" t="str">
            <v>个</v>
          </cell>
          <cell r="G162">
            <v>0.56499999999999995</v>
          </cell>
        </row>
        <row r="163">
          <cell r="D163" t="str">
            <v>SLT0010355</v>
          </cell>
          <cell r="E163" t="str">
            <v>副驾靠背侧翼支撑钢丝济南轻卡统帅</v>
          </cell>
          <cell r="F163" t="str">
            <v>个</v>
          </cell>
          <cell r="G163">
            <v>0.61199999999999999</v>
          </cell>
        </row>
        <row r="164">
          <cell r="D164" t="str">
            <v>SLT0010437</v>
          </cell>
          <cell r="E164" t="str">
            <v>副驾靠背头枕支撑杆济南轻卡统帅</v>
          </cell>
          <cell r="F164" t="str">
            <v>个</v>
          </cell>
          <cell r="G164">
            <v>1.327</v>
          </cell>
        </row>
        <row r="165">
          <cell r="D165" t="str">
            <v>SLT0010438</v>
          </cell>
          <cell r="E165" t="str">
            <v>副驾靠背头枕加强钢丝济南轻卡统帅</v>
          </cell>
          <cell r="F165" t="str">
            <v>个</v>
          </cell>
          <cell r="G165">
            <v>0.63300000000000001</v>
          </cell>
        </row>
        <row r="166">
          <cell r="D166" t="str">
            <v>BSP0010035</v>
          </cell>
          <cell r="E166" t="str">
            <v>靠背回位簧重汽T5-2.0翻折</v>
          </cell>
          <cell r="F166" t="str">
            <v>个</v>
          </cell>
          <cell r="G166">
            <v>6.2729999999999997</v>
          </cell>
        </row>
        <row r="167">
          <cell r="D167" t="str">
            <v>SCS0006414</v>
          </cell>
          <cell r="E167" t="str">
            <v>靠背左侧面套固定钢丝P203</v>
          </cell>
          <cell r="F167" t="str">
            <v>个</v>
          </cell>
          <cell r="G167">
            <v>0.43</v>
          </cell>
        </row>
        <row r="168">
          <cell r="D168" t="str">
            <v>SCS0006416</v>
          </cell>
          <cell r="E168" t="str">
            <v>靠背右侧面套固定钢丝P203</v>
          </cell>
          <cell r="F168" t="str">
            <v>个</v>
          </cell>
          <cell r="G168">
            <v>0.43</v>
          </cell>
        </row>
        <row r="169">
          <cell r="D169" t="str">
            <v>SHT0002744</v>
          </cell>
          <cell r="E169" t="str">
            <v>大运靠背支撑钢丝右</v>
          </cell>
          <cell r="F169" t="str">
            <v>个</v>
          </cell>
          <cell r="G169">
            <v>1.42</v>
          </cell>
        </row>
        <row r="170">
          <cell r="D170" t="str">
            <v>SHT0013146</v>
          </cell>
          <cell r="E170" t="str">
            <v>后升降拉簧1.3平台</v>
          </cell>
          <cell r="F170" t="str">
            <v>个</v>
          </cell>
          <cell r="G170">
            <v>1.6956</v>
          </cell>
        </row>
        <row r="171">
          <cell r="D171" t="str">
            <v>SLT0010193</v>
          </cell>
          <cell r="E171" t="str">
            <v>气管接线头固定钢丝</v>
          </cell>
          <cell r="F171" t="str">
            <v>个</v>
          </cell>
          <cell r="G171">
            <v>0.191</v>
          </cell>
        </row>
        <row r="172">
          <cell r="D172" t="str">
            <v>SLT0010335</v>
          </cell>
          <cell r="E172" t="str">
            <v>驾驶员侧翼支撑钢丝济南轻卡统帅</v>
          </cell>
          <cell r="F172" t="str">
            <v>个</v>
          </cell>
          <cell r="G172">
            <v>0.56499999999999995</v>
          </cell>
        </row>
        <row r="173">
          <cell r="D173" t="str">
            <v>SLT0010355</v>
          </cell>
          <cell r="E173" t="str">
            <v>副驾靠背侧翼支撑钢丝济南轻卡统帅</v>
          </cell>
          <cell r="F173" t="str">
            <v>个</v>
          </cell>
          <cell r="G173">
            <v>0.61199999999999999</v>
          </cell>
        </row>
        <row r="174">
          <cell r="D174" t="str">
            <v>SLT0010438</v>
          </cell>
          <cell r="E174" t="str">
            <v>副驾靠背头枕加强钢丝济南轻卡统帅</v>
          </cell>
          <cell r="F174" t="str">
            <v>个</v>
          </cell>
          <cell r="G174">
            <v>0.63300000000000001</v>
          </cell>
        </row>
        <row r="175">
          <cell r="D175" t="str">
            <v>SCS0006414</v>
          </cell>
          <cell r="E175" t="str">
            <v>靠背左侧面套固定钢丝P203</v>
          </cell>
          <cell r="F175" t="str">
            <v>个</v>
          </cell>
          <cell r="G175">
            <v>0.43</v>
          </cell>
        </row>
        <row r="176">
          <cell r="D176" t="str">
            <v>SCS0006416</v>
          </cell>
          <cell r="E176" t="str">
            <v>靠背右侧面套固定钢丝P203</v>
          </cell>
          <cell r="F176" t="str">
            <v>个</v>
          </cell>
          <cell r="G176">
            <v>0.43</v>
          </cell>
        </row>
        <row r="177">
          <cell r="D177" t="str">
            <v>SHT0011809</v>
          </cell>
          <cell r="E177" t="str">
            <v>仰角调节机构扭簧主驾座框</v>
          </cell>
          <cell r="F177" t="str">
            <v>个</v>
          </cell>
          <cell r="G177">
            <v>0.188</v>
          </cell>
        </row>
        <row r="178">
          <cell r="D178" t="str">
            <v>SHT0012006</v>
          </cell>
          <cell r="E178" t="str">
            <v>升降锁止轴安装卡箍1.3平台</v>
          </cell>
          <cell r="F178" t="str">
            <v>个</v>
          </cell>
          <cell r="G178">
            <v>0.3</v>
          </cell>
        </row>
        <row r="179">
          <cell r="D179" t="str">
            <v>SHT0013145</v>
          </cell>
          <cell r="E179" t="str">
            <v>前升降拉簧1.3平台</v>
          </cell>
          <cell r="F179" t="str">
            <v>个</v>
          </cell>
          <cell r="G179">
            <v>1.2276</v>
          </cell>
        </row>
        <row r="180">
          <cell r="D180" t="str">
            <v>SHT0013146</v>
          </cell>
          <cell r="E180" t="str">
            <v>后升降拉簧1.3平台</v>
          </cell>
          <cell r="F180" t="str">
            <v>个</v>
          </cell>
          <cell r="G180">
            <v>1.6956</v>
          </cell>
        </row>
        <row r="181">
          <cell r="D181" t="str">
            <v>SCS0006414</v>
          </cell>
          <cell r="E181" t="str">
            <v>靠背左侧面套固定钢丝P203</v>
          </cell>
          <cell r="F181" t="str">
            <v>个</v>
          </cell>
          <cell r="G181">
            <v>0.43</v>
          </cell>
        </row>
        <row r="182">
          <cell r="D182" t="str">
            <v>SCS0006416</v>
          </cell>
          <cell r="E182" t="str">
            <v>靠背右侧面套固定钢丝P203</v>
          </cell>
          <cell r="F182" t="str">
            <v>个</v>
          </cell>
          <cell r="G182">
            <v>0.43</v>
          </cell>
        </row>
        <row r="183">
          <cell r="D183" t="str">
            <v>SCS0007057</v>
          </cell>
          <cell r="E183" t="str">
            <v>儿童座椅固定挂钩B40V后排坐垫</v>
          </cell>
          <cell r="F183" t="str">
            <v>个</v>
          </cell>
          <cell r="G183">
            <v>0.34200000000000003</v>
          </cell>
        </row>
        <row r="184">
          <cell r="D184" t="str">
            <v>SHT0011809</v>
          </cell>
          <cell r="E184" t="str">
            <v>仰角调节机构扭簧主驾座框</v>
          </cell>
          <cell r="F184" t="str">
            <v>个</v>
          </cell>
          <cell r="G184">
            <v>0.188</v>
          </cell>
        </row>
        <row r="185">
          <cell r="D185" t="str">
            <v>SLT0010193</v>
          </cell>
          <cell r="E185" t="str">
            <v>气管接线头固定钢丝</v>
          </cell>
          <cell r="F185" t="str">
            <v>个</v>
          </cell>
          <cell r="G185">
            <v>0.191</v>
          </cell>
        </row>
        <row r="186">
          <cell r="D186" t="str">
            <v>REM0003411</v>
          </cell>
          <cell r="E186" t="str">
            <v>奥威弹簧(H6状态)</v>
          </cell>
          <cell r="F186" t="str">
            <v>个</v>
          </cell>
          <cell r="G186">
            <v>0.62</v>
          </cell>
        </row>
        <row r="187">
          <cell r="D187" t="str">
            <v>SCS0006414</v>
          </cell>
          <cell r="E187" t="str">
            <v>靠背左侧面套固定钢丝P203</v>
          </cell>
          <cell r="F187" t="str">
            <v>个</v>
          </cell>
          <cell r="G187">
            <v>0.43</v>
          </cell>
        </row>
        <row r="188">
          <cell r="D188" t="str">
            <v>SCS0006416</v>
          </cell>
          <cell r="E188" t="str">
            <v>靠背右侧面套固定钢丝P203</v>
          </cell>
          <cell r="F188" t="str">
            <v>个</v>
          </cell>
          <cell r="G188">
            <v>0.43</v>
          </cell>
        </row>
        <row r="189">
          <cell r="D189" t="str">
            <v>SCS0007057</v>
          </cell>
          <cell r="E189" t="str">
            <v>儿童座椅固定挂钩B40V后排坐垫</v>
          </cell>
          <cell r="F189" t="str">
            <v>个</v>
          </cell>
          <cell r="G189">
            <v>0.34200000000000003</v>
          </cell>
        </row>
        <row r="190">
          <cell r="D190" t="str">
            <v>SHT0002744</v>
          </cell>
          <cell r="E190" t="str">
            <v>大运靠背支撑钢丝右</v>
          </cell>
          <cell r="F190" t="str">
            <v>个</v>
          </cell>
          <cell r="G190">
            <v>1.42</v>
          </cell>
        </row>
        <row r="191">
          <cell r="D191" t="str">
            <v>SHT0011809</v>
          </cell>
          <cell r="E191" t="str">
            <v>仰角调节机构扭簧主驾座框</v>
          </cell>
          <cell r="F191" t="str">
            <v>个</v>
          </cell>
          <cell r="G191">
            <v>0.188</v>
          </cell>
        </row>
        <row r="192">
          <cell r="D192" t="str">
            <v>SHT0012006</v>
          </cell>
          <cell r="E192" t="str">
            <v>升降锁止轴安装卡箍1.3平台</v>
          </cell>
          <cell r="F192" t="str">
            <v>个</v>
          </cell>
          <cell r="G192">
            <v>0.3</v>
          </cell>
        </row>
        <row r="193">
          <cell r="D193" t="str">
            <v>SHT0012034</v>
          </cell>
          <cell r="E193" t="str">
            <v>气阀固定钢丝1.3平台</v>
          </cell>
          <cell r="F193" t="str">
            <v>个</v>
          </cell>
          <cell r="G193">
            <v>0.35</v>
          </cell>
        </row>
        <row r="194">
          <cell r="D194" t="str">
            <v>SHT0012049</v>
          </cell>
          <cell r="E194" t="str">
            <v>拉簧固定钢丝1.3平台</v>
          </cell>
          <cell r="F194" t="str">
            <v>个</v>
          </cell>
          <cell r="G194">
            <v>0.09</v>
          </cell>
        </row>
        <row r="195">
          <cell r="D195" t="str">
            <v>SHT0013145</v>
          </cell>
          <cell r="E195" t="str">
            <v>前升降拉簧1.3平台</v>
          </cell>
          <cell r="F195" t="str">
            <v>个</v>
          </cell>
          <cell r="G195">
            <v>1.2276</v>
          </cell>
        </row>
        <row r="196">
          <cell r="D196" t="str">
            <v>SHT0013146</v>
          </cell>
          <cell r="E196" t="str">
            <v>后升降拉簧1.3平台</v>
          </cell>
          <cell r="F196" t="str">
            <v>个</v>
          </cell>
          <cell r="G196">
            <v>1.6956</v>
          </cell>
        </row>
        <row r="197">
          <cell r="D197" t="str">
            <v>SLT0010193</v>
          </cell>
          <cell r="E197" t="str">
            <v>气管接线头固定钢丝</v>
          </cell>
          <cell r="F197" t="str">
            <v>个</v>
          </cell>
          <cell r="G197">
            <v>0.191</v>
          </cell>
        </row>
        <row r="198">
          <cell r="D198" t="str">
            <v>SLT0010335</v>
          </cell>
          <cell r="E198" t="str">
            <v>驾驶员侧翼支撑钢丝济南轻卡统帅</v>
          </cell>
          <cell r="F198" t="str">
            <v>个</v>
          </cell>
          <cell r="G198">
            <v>0.56499999999999995</v>
          </cell>
        </row>
        <row r="199">
          <cell r="D199" t="str">
            <v>SLT0010355</v>
          </cell>
          <cell r="E199" t="str">
            <v>副驾靠背侧翼支撑钢丝济南轻卡统帅</v>
          </cell>
          <cell r="F199" t="str">
            <v>个</v>
          </cell>
          <cell r="G199">
            <v>0.61199999999999999</v>
          </cell>
        </row>
        <row r="200">
          <cell r="D200" t="str">
            <v>SLT0010437</v>
          </cell>
          <cell r="E200" t="str">
            <v>副驾靠背头枕支撑杆济南轻卡统帅</v>
          </cell>
          <cell r="F200" t="str">
            <v>个</v>
          </cell>
          <cell r="G200">
            <v>1.327</v>
          </cell>
        </row>
        <row r="201">
          <cell r="D201" t="str">
            <v>SLT0010438</v>
          </cell>
          <cell r="E201" t="str">
            <v>副驾靠背头枕加强钢丝济南轻卡统帅</v>
          </cell>
          <cell r="F201" t="str">
            <v>个</v>
          </cell>
          <cell r="G201">
            <v>0.63300000000000001</v>
          </cell>
        </row>
        <row r="202">
          <cell r="D202" t="str">
            <v>REM0003411</v>
          </cell>
          <cell r="E202" t="str">
            <v>奥威弹簧(H6状态)</v>
          </cell>
          <cell r="F202" t="str">
            <v>个</v>
          </cell>
          <cell r="G202">
            <v>0.62</v>
          </cell>
        </row>
        <row r="203">
          <cell r="D203" t="str">
            <v>SCS0006414</v>
          </cell>
          <cell r="E203" t="str">
            <v>靠背左侧面套固定钢丝P203</v>
          </cell>
          <cell r="F203" t="str">
            <v>个</v>
          </cell>
          <cell r="G203">
            <v>0.43</v>
          </cell>
        </row>
        <row r="204">
          <cell r="D204" t="str">
            <v>SCS0006416</v>
          </cell>
          <cell r="E204" t="str">
            <v>靠背右侧面套固定钢丝P203</v>
          </cell>
          <cell r="F204" t="str">
            <v>个</v>
          </cell>
          <cell r="G204">
            <v>0.43</v>
          </cell>
        </row>
        <row r="205">
          <cell r="D205" t="str">
            <v>SCS0007057</v>
          </cell>
          <cell r="E205" t="str">
            <v>儿童座椅固定挂钩B40V后排坐垫</v>
          </cell>
          <cell r="F205" t="str">
            <v>个</v>
          </cell>
          <cell r="G205">
            <v>0.34200000000000003</v>
          </cell>
        </row>
        <row r="206">
          <cell r="D206" t="str">
            <v>SHT0002744</v>
          </cell>
          <cell r="E206" t="str">
            <v>大运靠背支撑钢丝右</v>
          </cell>
          <cell r="F206" t="str">
            <v>个</v>
          </cell>
          <cell r="G206">
            <v>1.42</v>
          </cell>
        </row>
        <row r="207">
          <cell r="D207" t="str">
            <v>SHT0011809</v>
          </cell>
          <cell r="E207" t="str">
            <v>仰角调节机构扭簧主驾座框</v>
          </cell>
          <cell r="F207" t="str">
            <v>个</v>
          </cell>
          <cell r="G207">
            <v>0.188</v>
          </cell>
        </row>
        <row r="208">
          <cell r="D208" t="str">
            <v>SHT0012006</v>
          </cell>
          <cell r="E208" t="str">
            <v>升降锁止轴安装卡箍1.3平台</v>
          </cell>
          <cell r="F208" t="str">
            <v>个</v>
          </cell>
          <cell r="G208">
            <v>0.3</v>
          </cell>
        </row>
        <row r="209">
          <cell r="D209" t="str">
            <v>SHT0012034</v>
          </cell>
          <cell r="E209" t="str">
            <v>气阀固定钢丝1.3平台</v>
          </cell>
          <cell r="F209" t="str">
            <v>个</v>
          </cell>
          <cell r="G209">
            <v>0.35</v>
          </cell>
        </row>
        <row r="210">
          <cell r="D210" t="str">
            <v>SHT0012049</v>
          </cell>
          <cell r="E210" t="str">
            <v>拉簧固定钢丝1.3平台</v>
          </cell>
          <cell r="F210" t="str">
            <v>个</v>
          </cell>
          <cell r="G210">
            <v>0.09</v>
          </cell>
        </row>
        <row r="211">
          <cell r="D211" t="str">
            <v>SHT0012110</v>
          </cell>
          <cell r="E211" t="str">
            <v>主边罩壳固定钢丝M4</v>
          </cell>
          <cell r="F211" t="str">
            <v>个</v>
          </cell>
          <cell r="G211">
            <v>0.60399999999999998</v>
          </cell>
        </row>
        <row r="212">
          <cell r="D212" t="str">
            <v>SHT0012112</v>
          </cell>
          <cell r="E212" t="str">
            <v>副边罩壳钢丝M3000</v>
          </cell>
          <cell r="F212" t="str">
            <v>个</v>
          </cell>
          <cell r="G212">
            <v>0.16</v>
          </cell>
        </row>
        <row r="213">
          <cell r="D213" t="str">
            <v>SHT0013145</v>
          </cell>
          <cell r="E213" t="str">
            <v>前升降拉簧1.3平台</v>
          </cell>
          <cell r="F213" t="str">
            <v>个</v>
          </cell>
          <cell r="G213">
            <v>1.2276</v>
          </cell>
        </row>
        <row r="214">
          <cell r="D214" t="str">
            <v>SHT0013146</v>
          </cell>
          <cell r="E214" t="str">
            <v>后升降拉簧1.3平台</v>
          </cell>
          <cell r="F214" t="str">
            <v>个</v>
          </cell>
          <cell r="G214">
            <v>1.6956</v>
          </cell>
        </row>
        <row r="215">
          <cell r="D215" t="str">
            <v>SLT0010193</v>
          </cell>
          <cell r="E215" t="str">
            <v>气管接线头固定钢丝</v>
          </cell>
          <cell r="F215" t="str">
            <v>个</v>
          </cell>
          <cell r="G215">
            <v>0.191</v>
          </cell>
        </row>
        <row r="216">
          <cell r="D216" t="str">
            <v>SLT0010335</v>
          </cell>
          <cell r="E216" t="str">
            <v>驾驶员侧翼支撑钢丝济南轻卡统帅</v>
          </cell>
          <cell r="F216" t="str">
            <v>个</v>
          </cell>
          <cell r="G216">
            <v>0.56499999999999995</v>
          </cell>
        </row>
        <row r="217">
          <cell r="D217" t="str">
            <v>SLT0010438</v>
          </cell>
          <cell r="E217" t="str">
            <v>副驾靠背头枕加强钢丝济南轻卡统帅</v>
          </cell>
          <cell r="F217" t="str">
            <v>个</v>
          </cell>
          <cell r="G217">
            <v>0.63300000000000001</v>
          </cell>
        </row>
        <row r="218">
          <cell r="D218" t="str">
            <v>REM0003411</v>
          </cell>
          <cell r="E218" t="str">
            <v>奥威弹簧(H6状态)</v>
          </cell>
          <cell r="F218" t="str">
            <v>个</v>
          </cell>
          <cell r="G218">
            <v>0.62</v>
          </cell>
        </row>
        <row r="219">
          <cell r="D219" t="str">
            <v>SCS0006414</v>
          </cell>
          <cell r="E219" t="str">
            <v>靠背左侧面套固定钢丝P203</v>
          </cell>
          <cell r="F219" t="str">
            <v>个</v>
          </cell>
          <cell r="G219">
            <v>0.43</v>
          </cell>
        </row>
        <row r="220">
          <cell r="D220" t="str">
            <v>SCS0006416</v>
          </cell>
          <cell r="E220" t="str">
            <v>靠背右侧面套固定钢丝P203</v>
          </cell>
          <cell r="F220" t="str">
            <v>个</v>
          </cell>
          <cell r="G220">
            <v>0.43</v>
          </cell>
        </row>
        <row r="221">
          <cell r="D221" t="str">
            <v>SCS0007057</v>
          </cell>
          <cell r="E221" t="str">
            <v>儿童座椅固定挂钩B40V后排坐垫</v>
          </cell>
          <cell r="F221" t="str">
            <v>个</v>
          </cell>
          <cell r="G221">
            <v>0.34200000000000003</v>
          </cell>
        </row>
        <row r="222">
          <cell r="D222" t="str">
            <v>SHT0011054</v>
          </cell>
          <cell r="E222" t="str">
            <v>靠背骨架下支撑钢线一汽</v>
          </cell>
          <cell r="F222" t="str">
            <v>个</v>
          </cell>
          <cell r="G222">
            <v>1.911</v>
          </cell>
        </row>
        <row r="223">
          <cell r="D223" t="str">
            <v>SHT0011809</v>
          </cell>
          <cell r="E223" t="str">
            <v>仰角调节机构扭簧主驾座框</v>
          </cell>
          <cell r="F223" t="str">
            <v>个</v>
          </cell>
          <cell r="G223">
            <v>0.188</v>
          </cell>
        </row>
        <row r="224">
          <cell r="D224" t="str">
            <v>SHT0012006</v>
          </cell>
          <cell r="E224" t="str">
            <v>升降锁止轴安装卡箍1.3平台</v>
          </cell>
          <cell r="F224" t="str">
            <v>个</v>
          </cell>
          <cell r="G224">
            <v>0.3</v>
          </cell>
        </row>
        <row r="225">
          <cell r="D225" t="str">
            <v>SHT0012034</v>
          </cell>
          <cell r="E225" t="str">
            <v>气阀固定钢丝1.3平台</v>
          </cell>
          <cell r="F225" t="str">
            <v>个</v>
          </cell>
          <cell r="G225">
            <v>0.35</v>
          </cell>
        </row>
        <row r="226">
          <cell r="D226" t="str">
            <v>SHT0012049</v>
          </cell>
          <cell r="E226" t="str">
            <v>拉簧固定钢丝1.3平台</v>
          </cell>
          <cell r="F226" t="str">
            <v>个</v>
          </cell>
          <cell r="G226">
            <v>0.09</v>
          </cell>
        </row>
        <row r="227">
          <cell r="D227" t="str">
            <v>SHT0012110</v>
          </cell>
          <cell r="E227" t="str">
            <v>主边罩壳固定钢丝M4</v>
          </cell>
          <cell r="F227" t="str">
            <v>个</v>
          </cell>
          <cell r="G227">
            <v>0.60399999999999998</v>
          </cell>
        </row>
        <row r="228">
          <cell r="D228" t="str">
            <v>SHT0012112</v>
          </cell>
          <cell r="E228" t="str">
            <v>副边罩壳钢丝M3000</v>
          </cell>
          <cell r="F228" t="str">
            <v>个</v>
          </cell>
          <cell r="G228">
            <v>0.16</v>
          </cell>
        </row>
        <row r="229">
          <cell r="D229" t="str">
            <v>SHT0013145</v>
          </cell>
          <cell r="E229" t="str">
            <v>前升降拉簧1.3平台</v>
          </cell>
          <cell r="F229" t="str">
            <v>个</v>
          </cell>
          <cell r="G229">
            <v>1.2276</v>
          </cell>
        </row>
        <row r="230">
          <cell r="D230" t="str">
            <v>SHT0013146</v>
          </cell>
          <cell r="E230" t="str">
            <v>后升降拉簧1.3平台</v>
          </cell>
          <cell r="F230" t="str">
            <v>个</v>
          </cell>
          <cell r="G230">
            <v>1.6956</v>
          </cell>
        </row>
        <row r="231">
          <cell r="D231" t="str">
            <v>SLT0010193</v>
          </cell>
          <cell r="E231" t="str">
            <v>气管接线头固定钢丝</v>
          </cell>
          <cell r="F231" t="str">
            <v>个</v>
          </cell>
          <cell r="G231">
            <v>0.191</v>
          </cell>
        </row>
        <row r="232">
          <cell r="D232" t="str">
            <v>SLT0010335</v>
          </cell>
          <cell r="E232" t="str">
            <v>驾驶员侧翼支撑钢丝济南轻卡统帅</v>
          </cell>
          <cell r="F232" t="str">
            <v>个</v>
          </cell>
          <cell r="G232">
            <v>0.56499999999999995</v>
          </cell>
        </row>
        <row r="233">
          <cell r="D233" t="str">
            <v>SLT0010355</v>
          </cell>
          <cell r="E233" t="str">
            <v>副驾靠背侧翼支撑钢丝济南轻卡统帅</v>
          </cell>
          <cell r="F233" t="str">
            <v>个</v>
          </cell>
          <cell r="G233">
            <v>0.61199999999999999</v>
          </cell>
        </row>
        <row r="234">
          <cell r="D234" t="str">
            <v>SLT0010438</v>
          </cell>
          <cell r="E234" t="str">
            <v>副驾靠背头枕加强钢丝济南轻卡统帅</v>
          </cell>
          <cell r="F234" t="str">
            <v>个</v>
          </cell>
          <cell r="G234">
            <v>0.63300000000000001</v>
          </cell>
        </row>
        <row r="235">
          <cell r="D235" t="str">
            <v>BSP0010035</v>
          </cell>
          <cell r="E235" t="str">
            <v>靠背回位簧重汽T5-2.0翻折</v>
          </cell>
          <cell r="F235" t="str">
            <v>个</v>
          </cell>
          <cell r="G235">
            <v>6.2729999999999997</v>
          </cell>
        </row>
        <row r="236">
          <cell r="D236" t="str">
            <v>REM0003411</v>
          </cell>
          <cell r="E236" t="str">
            <v>奥威弹簧(H6状态)</v>
          </cell>
          <cell r="F236" t="str">
            <v>个</v>
          </cell>
          <cell r="G236">
            <v>0.62</v>
          </cell>
        </row>
        <row r="237">
          <cell r="D237" t="str">
            <v>SCS0006414</v>
          </cell>
          <cell r="E237" t="str">
            <v>靠背左侧面套固定钢丝P203</v>
          </cell>
          <cell r="F237" t="str">
            <v>个</v>
          </cell>
          <cell r="G237">
            <v>0.43</v>
          </cell>
        </row>
        <row r="238">
          <cell r="D238" t="str">
            <v>SCS0006416</v>
          </cell>
          <cell r="E238" t="str">
            <v>靠背右侧面套固定钢丝P203</v>
          </cell>
          <cell r="F238" t="str">
            <v>个</v>
          </cell>
          <cell r="G238">
            <v>0.43</v>
          </cell>
        </row>
        <row r="239">
          <cell r="D239" t="str">
            <v>SCS0007057</v>
          </cell>
          <cell r="E239" t="str">
            <v>儿童座椅固定挂钩B40V后排坐垫</v>
          </cell>
          <cell r="F239" t="str">
            <v>个</v>
          </cell>
          <cell r="G239">
            <v>0.34200000000000003</v>
          </cell>
        </row>
        <row r="240">
          <cell r="D240" t="str">
            <v>SHT0002744</v>
          </cell>
          <cell r="E240" t="str">
            <v>大运靠背支撑钢丝右</v>
          </cell>
          <cell r="F240" t="str">
            <v>个</v>
          </cell>
          <cell r="G240">
            <v>1.42</v>
          </cell>
        </row>
        <row r="241">
          <cell r="D241" t="str">
            <v>SHT0011809</v>
          </cell>
          <cell r="E241" t="str">
            <v>仰角调节机构扭簧主驾座框</v>
          </cell>
          <cell r="F241" t="str">
            <v>个</v>
          </cell>
          <cell r="G241">
            <v>0.188</v>
          </cell>
        </row>
        <row r="242">
          <cell r="D242" t="str">
            <v>SHT0012006</v>
          </cell>
          <cell r="E242" t="str">
            <v>升降锁止轴安装卡箍1.3平台</v>
          </cell>
          <cell r="F242" t="str">
            <v>个</v>
          </cell>
          <cell r="G242">
            <v>0.3</v>
          </cell>
        </row>
        <row r="243">
          <cell r="D243" t="str">
            <v>SHT0012034</v>
          </cell>
          <cell r="E243" t="str">
            <v>气阀固定钢丝1.3平台</v>
          </cell>
          <cell r="F243" t="str">
            <v>个</v>
          </cell>
          <cell r="G243">
            <v>0.35</v>
          </cell>
        </row>
        <row r="244">
          <cell r="D244" t="str">
            <v>SHT0012049</v>
          </cell>
          <cell r="E244" t="str">
            <v>拉簧固定钢丝1.3平台</v>
          </cell>
          <cell r="F244" t="str">
            <v>个</v>
          </cell>
          <cell r="G244">
            <v>0.09</v>
          </cell>
        </row>
        <row r="245">
          <cell r="D245" t="str">
            <v>SHT0012110</v>
          </cell>
          <cell r="E245" t="str">
            <v>主边罩壳固定钢丝M4</v>
          </cell>
          <cell r="F245" t="str">
            <v>个</v>
          </cell>
          <cell r="G245">
            <v>0.60399999999999998</v>
          </cell>
        </row>
        <row r="246">
          <cell r="D246" t="str">
            <v>SHT0012112</v>
          </cell>
          <cell r="E246" t="str">
            <v>副边罩壳钢丝M3000</v>
          </cell>
          <cell r="F246" t="str">
            <v>个</v>
          </cell>
          <cell r="G246">
            <v>0.16</v>
          </cell>
        </row>
        <row r="247">
          <cell r="D247" t="str">
            <v>SHT0013145</v>
          </cell>
          <cell r="E247" t="str">
            <v>前升降拉簧1.3平台</v>
          </cell>
          <cell r="F247" t="str">
            <v>个</v>
          </cell>
          <cell r="G247">
            <v>1.2276</v>
          </cell>
        </row>
        <row r="248">
          <cell r="D248" t="str">
            <v>SHT0013146</v>
          </cell>
          <cell r="E248" t="str">
            <v>后升降拉簧1.3平台</v>
          </cell>
          <cell r="F248" t="str">
            <v>个</v>
          </cell>
          <cell r="G248">
            <v>1.6956</v>
          </cell>
        </row>
        <row r="249">
          <cell r="D249" t="str">
            <v>SLT0010193</v>
          </cell>
          <cell r="E249" t="str">
            <v>气管接线头固定钢丝</v>
          </cell>
          <cell r="F249" t="str">
            <v>个</v>
          </cell>
          <cell r="G249">
            <v>0.191</v>
          </cell>
        </row>
        <row r="250">
          <cell r="D250" t="str">
            <v>SLT0010335</v>
          </cell>
          <cell r="E250" t="str">
            <v>驾驶员侧翼支撑钢丝济南轻卡统帅</v>
          </cell>
          <cell r="F250" t="str">
            <v>个</v>
          </cell>
          <cell r="G250">
            <v>0.56499999999999995</v>
          </cell>
        </row>
        <row r="251">
          <cell r="D251" t="str">
            <v>SLT0010355</v>
          </cell>
          <cell r="E251" t="str">
            <v>副驾靠背侧翼支撑钢丝济南轻卡统帅</v>
          </cell>
          <cell r="F251" t="str">
            <v>个</v>
          </cell>
          <cell r="G251">
            <v>0.61199999999999999</v>
          </cell>
        </row>
        <row r="252">
          <cell r="D252" t="str">
            <v>SLT0010437</v>
          </cell>
          <cell r="E252" t="str">
            <v>副驾靠背头枕支撑杆济南轻卡统帅</v>
          </cell>
          <cell r="F252" t="str">
            <v>个</v>
          </cell>
          <cell r="G252">
            <v>1.327</v>
          </cell>
        </row>
        <row r="253">
          <cell r="D253" t="str">
            <v>SLT0010438</v>
          </cell>
          <cell r="E253" t="str">
            <v>副驾靠背头枕加强钢丝济南轻卡统帅</v>
          </cell>
          <cell r="F253" t="str">
            <v>个</v>
          </cell>
          <cell r="G253">
            <v>0.63300000000000001</v>
          </cell>
        </row>
        <row r="254">
          <cell r="D254" t="str">
            <v>BSP0010035</v>
          </cell>
          <cell r="E254" t="str">
            <v>靠背回位簧重汽T5-2.0翻折</v>
          </cell>
          <cell r="F254" t="str">
            <v>个</v>
          </cell>
          <cell r="G254">
            <v>6.2729999999999997</v>
          </cell>
        </row>
        <row r="255">
          <cell r="D255" t="str">
            <v>REM0003411</v>
          </cell>
          <cell r="E255" t="str">
            <v>奥威弹簧(H6状态)</v>
          </cell>
          <cell r="F255" t="str">
            <v>个</v>
          </cell>
          <cell r="G255">
            <v>0.62</v>
          </cell>
        </row>
        <row r="256">
          <cell r="D256" t="str">
            <v>SCS0007057</v>
          </cell>
          <cell r="E256" t="str">
            <v>儿童座椅固定挂钩B40V后排坐垫</v>
          </cell>
          <cell r="F256" t="str">
            <v>个</v>
          </cell>
          <cell r="G256">
            <v>0.34200000000000003</v>
          </cell>
        </row>
        <row r="257">
          <cell r="D257" t="str">
            <v>SHT0011809</v>
          </cell>
          <cell r="E257" t="str">
            <v>仰角调节机构扭簧主驾座框</v>
          </cell>
          <cell r="F257" t="str">
            <v>个</v>
          </cell>
          <cell r="G257">
            <v>0.188</v>
          </cell>
        </row>
        <row r="258">
          <cell r="D258" t="str">
            <v>SHT0012006</v>
          </cell>
          <cell r="E258" t="str">
            <v>升降锁止轴安装卡箍1.3平台</v>
          </cell>
          <cell r="F258" t="str">
            <v>个</v>
          </cell>
          <cell r="G258">
            <v>0.3</v>
          </cell>
        </row>
        <row r="259">
          <cell r="D259" t="str">
            <v>SHT0012034</v>
          </cell>
          <cell r="E259" t="str">
            <v>气阀固定钢丝1.3平台</v>
          </cell>
          <cell r="F259" t="str">
            <v>个</v>
          </cell>
          <cell r="G259">
            <v>0.35</v>
          </cell>
        </row>
        <row r="260">
          <cell r="D260" t="str">
            <v>SHT0012049</v>
          </cell>
          <cell r="E260" t="str">
            <v>拉簧固定钢丝1.3平台</v>
          </cell>
          <cell r="F260" t="str">
            <v>个</v>
          </cell>
          <cell r="G260">
            <v>0.09</v>
          </cell>
        </row>
        <row r="261">
          <cell r="D261" t="str">
            <v>SHT0012110</v>
          </cell>
          <cell r="E261" t="str">
            <v>主边罩壳固定钢丝M4</v>
          </cell>
          <cell r="F261" t="str">
            <v>个</v>
          </cell>
          <cell r="G261">
            <v>0.60399999999999998</v>
          </cell>
        </row>
        <row r="262">
          <cell r="D262" t="str">
            <v>SHT0012112</v>
          </cell>
          <cell r="E262" t="str">
            <v>副边罩壳钢丝M3000</v>
          </cell>
          <cell r="F262" t="str">
            <v>个</v>
          </cell>
          <cell r="G262">
            <v>0.16</v>
          </cell>
        </row>
        <row r="263">
          <cell r="D263" t="str">
            <v>SHT0013145</v>
          </cell>
          <cell r="E263" t="str">
            <v>前升降拉簧1.3平台</v>
          </cell>
          <cell r="F263" t="str">
            <v>个</v>
          </cell>
          <cell r="G263">
            <v>1.2276</v>
          </cell>
        </row>
        <row r="264">
          <cell r="D264" t="str">
            <v>SHT0013146</v>
          </cell>
          <cell r="E264" t="str">
            <v>后升降拉簧1.3平台</v>
          </cell>
          <cell r="F264" t="str">
            <v>个</v>
          </cell>
          <cell r="G264">
            <v>1.6956</v>
          </cell>
        </row>
        <row r="265">
          <cell r="D265" t="str">
            <v>SLT0010193</v>
          </cell>
          <cell r="E265" t="str">
            <v>气管接线头固定钢丝</v>
          </cell>
          <cell r="F265" t="str">
            <v>个</v>
          </cell>
          <cell r="G265">
            <v>0.191</v>
          </cell>
        </row>
        <row r="266">
          <cell r="D266" t="str">
            <v>SLT0010335</v>
          </cell>
          <cell r="E266" t="str">
            <v>驾驶员侧翼支撑钢丝济南轻卡统帅</v>
          </cell>
          <cell r="F266" t="str">
            <v>个</v>
          </cell>
          <cell r="G266">
            <v>0.56499999999999995</v>
          </cell>
        </row>
        <row r="267">
          <cell r="D267" t="str">
            <v>SLT0010355</v>
          </cell>
          <cell r="E267" t="str">
            <v>副驾靠背侧翼支撑钢丝济南轻卡统帅</v>
          </cell>
          <cell r="F267" t="str">
            <v>个</v>
          </cell>
          <cell r="G267">
            <v>0.61199999999999999</v>
          </cell>
        </row>
        <row r="268">
          <cell r="D268" t="str">
            <v>SLT0010437</v>
          </cell>
          <cell r="E268" t="str">
            <v>副驾靠背头枕支撑杆济南轻卡统帅</v>
          </cell>
          <cell r="F268" t="str">
            <v>个</v>
          </cell>
          <cell r="G268">
            <v>1.327</v>
          </cell>
        </row>
        <row r="269">
          <cell r="D269" t="str">
            <v>SLT0010438</v>
          </cell>
          <cell r="E269" t="str">
            <v>副驾靠背头枕加强钢丝济南轻卡统帅</v>
          </cell>
          <cell r="F269" t="str">
            <v>个</v>
          </cell>
          <cell r="G269">
            <v>0.63300000000000001</v>
          </cell>
        </row>
        <row r="270">
          <cell r="D270" t="str">
            <v>BSP0010035</v>
          </cell>
          <cell r="E270" t="str">
            <v>靠背回位簧重汽T5-2.0翻折</v>
          </cell>
          <cell r="F270" t="str">
            <v>个</v>
          </cell>
          <cell r="G270">
            <v>6.2729999999999997</v>
          </cell>
        </row>
        <row r="271">
          <cell r="D271" t="str">
            <v>REM0003411</v>
          </cell>
          <cell r="E271" t="str">
            <v>奥威弹簧(H6状态)</v>
          </cell>
          <cell r="F271" t="str">
            <v>个</v>
          </cell>
          <cell r="G271">
            <v>0.62</v>
          </cell>
        </row>
        <row r="272">
          <cell r="D272" t="str">
            <v>SCS0006416</v>
          </cell>
          <cell r="E272" t="str">
            <v>靠背右侧面套固定钢丝P203</v>
          </cell>
          <cell r="F272" t="str">
            <v>个</v>
          </cell>
          <cell r="G272">
            <v>0.43</v>
          </cell>
        </row>
        <row r="273">
          <cell r="D273" t="str">
            <v>SHT0002744</v>
          </cell>
          <cell r="E273" t="str">
            <v>大运靠背支撑钢丝右</v>
          </cell>
          <cell r="F273" t="str">
            <v>个</v>
          </cell>
          <cell r="G273">
            <v>1.42</v>
          </cell>
        </row>
        <row r="274">
          <cell r="D274" t="str">
            <v>SHT0011809</v>
          </cell>
          <cell r="E274" t="str">
            <v>仰角调节机构扭簧主驾座框</v>
          </cell>
          <cell r="F274" t="str">
            <v>个</v>
          </cell>
          <cell r="G274">
            <v>0.188</v>
          </cell>
        </row>
        <row r="275">
          <cell r="D275" t="str">
            <v>SHT0012034</v>
          </cell>
          <cell r="E275" t="str">
            <v>气阀固定钢丝1.3平台</v>
          </cell>
          <cell r="F275" t="str">
            <v>个</v>
          </cell>
          <cell r="G275">
            <v>0.35</v>
          </cell>
        </row>
        <row r="276">
          <cell r="D276" t="str">
            <v>SLT0010193</v>
          </cell>
          <cell r="E276" t="str">
            <v>气管接线头固定钢丝</v>
          </cell>
          <cell r="F276" t="str">
            <v>个</v>
          </cell>
          <cell r="G276">
            <v>0.191</v>
          </cell>
        </row>
        <row r="277">
          <cell r="D277" t="str">
            <v>SLT0010335</v>
          </cell>
          <cell r="E277" t="str">
            <v>驾驶员侧翼支撑钢丝济南轻卡统帅</v>
          </cell>
          <cell r="F277" t="str">
            <v>个</v>
          </cell>
          <cell r="G277">
            <v>0.56499999999999995</v>
          </cell>
        </row>
        <row r="278">
          <cell r="D278" t="str">
            <v>SLT0010355</v>
          </cell>
          <cell r="E278" t="str">
            <v>副驾靠背侧翼支撑钢丝济南轻卡统帅</v>
          </cell>
          <cell r="F278" t="str">
            <v>个</v>
          </cell>
          <cell r="G278">
            <v>0.61199999999999999</v>
          </cell>
        </row>
        <row r="279">
          <cell r="D279" t="str">
            <v>SLT0010437</v>
          </cell>
          <cell r="E279" t="str">
            <v>副驾靠背头枕支撑杆济南轻卡统帅</v>
          </cell>
          <cell r="F279" t="str">
            <v>个</v>
          </cell>
          <cell r="G279">
            <v>1.327</v>
          </cell>
        </row>
        <row r="280">
          <cell r="D280" t="str">
            <v>SLT0010438</v>
          </cell>
          <cell r="E280" t="str">
            <v>副驾靠背头枕加强钢丝济南轻卡统帅</v>
          </cell>
          <cell r="F280" t="str">
            <v>个</v>
          </cell>
          <cell r="G280">
            <v>0.63300000000000001</v>
          </cell>
        </row>
        <row r="281">
          <cell r="D281" t="str">
            <v>BSP0010035</v>
          </cell>
          <cell r="E281" t="str">
            <v>靠背回位簧重汽T5-2.0翻折</v>
          </cell>
          <cell r="F281" t="str">
            <v>个</v>
          </cell>
          <cell r="G281">
            <v>6.2729999999999997</v>
          </cell>
        </row>
        <row r="282">
          <cell r="D282" t="str">
            <v>REM0003411</v>
          </cell>
          <cell r="E282" t="str">
            <v>奥威弹簧(H6状态)</v>
          </cell>
          <cell r="F282" t="str">
            <v>个</v>
          </cell>
          <cell r="G282">
            <v>0.62</v>
          </cell>
        </row>
        <row r="283">
          <cell r="D283" t="str">
            <v>SCS0006414</v>
          </cell>
          <cell r="E283" t="str">
            <v>靠背左侧面套固定钢丝P203</v>
          </cell>
          <cell r="F283" t="str">
            <v>个</v>
          </cell>
          <cell r="G283">
            <v>0.43</v>
          </cell>
        </row>
        <row r="284">
          <cell r="D284" t="str">
            <v>SCS0006416</v>
          </cell>
          <cell r="E284" t="str">
            <v>靠背右侧面套固定钢丝P203</v>
          </cell>
          <cell r="F284" t="str">
            <v>个</v>
          </cell>
          <cell r="G284">
            <v>0.43</v>
          </cell>
        </row>
        <row r="285">
          <cell r="D285" t="str">
            <v>SHT0002744</v>
          </cell>
          <cell r="E285" t="str">
            <v>大运靠背支撑钢丝右</v>
          </cell>
          <cell r="F285" t="str">
            <v>个</v>
          </cell>
          <cell r="G285">
            <v>1.42</v>
          </cell>
        </row>
        <row r="286">
          <cell r="D286" t="str">
            <v>SHT0011809</v>
          </cell>
          <cell r="E286" t="str">
            <v>仰角调节机构扭簧主驾座框</v>
          </cell>
          <cell r="F286" t="str">
            <v>个</v>
          </cell>
          <cell r="G286">
            <v>0.188</v>
          </cell>
        </row>
        <row r="287">
          <cell r="D287" t="str">
            <v>SHT0012006</v>
          </cell>
          <cell r="E287" t="str">
            <v>升降锁止轴安装卡箍1.3平台</v>
          </cell>
          <cell r="F287" t="str">
            <v>个</v>
          </cell>
          <cell r="G287">
            <v>0.3</v>
          </cell>
        </row>
        <row r="288">
          <cell r="D288" t="str">
            <v>SHT0012034</v>
          </cell>
          <cell r="E288" t="str">
            <v>气阀固定钢丝1.3平台</v>
          </cell>
          <cell r="F288" t="str">
            <v>个</v>
          </cell>
          <cell r="G288">
            <v>0.35</v>
          </cell>
        </row>
        <row r="289">
          <cell r="D289" t="str">
            <v>SHT0012049</v>
          </cell>
          <cell r="E289" t="str">
            <v>拉簧固定钢丝1.3平台</v>
          </cell>
          <cell r="F289" t="str">
            <v>个</v>
          </cell>
          <cell r="G289">
            <v>0.09</v>
          </cell>
        </row>
        <row r="290">
          <cell r="D290" t="str">
            <v>SHT0012110</v>
          </cell>
          <cell r="E290" t="str">
            <v>主边罩壳固定钢丝M4</v>
          </cell>
          <cell r="F290" t="str">
            <v>个</v>
          </cell>
          <cell r="G290">
            <v>0.60399999999999998</v>
          </cell>
        </row>
        <row r="291">
          <cell r="D291" t="str">
            <v>SHT0012112</v>
          </cell>
          <cell r="E291" t="str">
            <v>副边罩壳钢丝M3000</v>
          </cell>
          <cell r="F291" t="str">
            <v>个</v>
          </cell>
          <cell r="G291">
            <v>0.16</v>
          </cell>
        </row>
        <row r="292">
          <cell r="D292" t="str">
            <v>SHT0013145</v>
          </cell>
          <cell r="E292" t="str">
            <v>前升降拉簧1.3平台</v>
          </cell>
          <cell r="F292" t="str">
            <v>个</v>
          </cell>
          <cell r="G292">
            <v>1.2276</v>
          </cell>
        </row>
        <row r="293">
          <cell r="D293" t="str">
            <v>SHT0013146</v>
          </cell>
          <cell r="E293" t="str">
            <v>后升降拉簧1.3平台</v>
          </cell>
          <cell r="F293" t="str">
            <v>个</v>
          </cell>
          <cell r="G293">
            <v>1.6956</v>
          </cell>
        </row>
        <row r="294">
          <cell r="D294" t="str">
            <v>SLT0010193</v>
          </cell>
          <cell r="E294" t="str">
            <v>气管接线头固定钢丝</v>
          </cell>
          <cell r="F294" t="str">
            <v>个</v>
          </cell>
          <cell r="G294">
            <v>0.191</v>
          </cell>
        </row>
        <row r="295">
          <cell r="D295" t="str">
            <v>SLT0010335</v>
          </cell>
          <cell r="E295" t="str">
            <v>驾驶员侧翼支撑钢丝济南轻卡统帅</v>
          </cell>
          <cell r="F295" t="str">
            <v>个</v>
          </cell>
          <cell r="G295">
            <v>0.56499999999999995</v>
          </cell>
        </row>
        <row r="296">
          <cell r="D296" t="str">
            <v>SLT0010355</v>
          </cell>
          <cell r="E296" t="str">
            <v>副驾靠背侧翼支撑钢丝济南轻卡统帅</v>
          </cell>
          <cell r="F296" t="str">
            <v>个</v>
          </cell>
          <cell r="G296">
            <v>0.61199999999999999</v>
          </cell>
        </row>
        <row r="297">
          <cell r="D297" t="str">
            <v>SLT0010437</v>
          </cell>
          <cell r="E297" t="str">
            <v>副驾靠背头枕支撑杆济南轻卡统帅</v>
          </cell>
          <cell r="F297" t="str">
            <v>个</v>
          </cell>
          <cell r="G297">
            <v>1.327</v>
          </cell>
        </row>
        <row r="298">
          <cell r="D298" t="str">
            <v>SLT0010438</v>
          </cell>
          <cell r="E298" t="str">
            <v>副驾靠背头枕加强钢丝济南轻卡统帅</v>
          </cell>
          <cell r="F298" t="str">
            <v>个</v>
          </cell>
          <cell r="G298">
            <v>0.63300000000000001</v>
          </cell>
        </row>
        <row r="299">
          <cell r="D299" t="str">
            <v>BSP0010035</v>
          </cell>
          <cell r="E299" t="str">
            <v>靠背回位簧重汽T5-2.0翻折</v>
          </cell>
          <cell r="F299" t="str">
            <v>个</v>
          </cell>
          <cell r="G299">
            <v>6.2729999999999997</v>
          </cell>
        </row>
        <row r="300">
          <cell r="D300" t="str">
            <v>SCS0006414</v>
          </cell>
          <cell r="E300" t="str">
            <v>靠背左侧面套固定钢丝P203</v>
          </cell>
          <cell r="F300" t="str">
            <v>个</v>
          </cell>
          <cell r="G300">
            <v>0.43</v>
          </cell>
        </row>
        <row r="301">
          <cell r="D301" t="str">
            <v>SCS0006416</v>
          </cell>
          <cell r="E301" t="str">
            <v>靠背右侧面套固定钢丝P203</v>
          </cell>
          <cell r="F301" t="str">
            <v>个</v>
          </cell>
          <cell r="G301">
            <v>0.43</v>
          </cell>
        </row>
        <row r="302">
          <cell r="D302" t="str">
            <v>SHT0002744</v>
          </cell>
          <cell r="E302" t="str">
            <v>大运靠背支撑钢丝右</v>
          </cell>
          <cell r="F302" t="str">
            <v>个</v>
          </cell>
          <cell r="G302">
            <v>1.42</v>
          </cell>
        </row>
        <row r="303">
          <cell r="D303" t="str">
            <v>SHT0011809</v>
          </cell>
          <cell r="E303" t="str">
            <v>仰角调节机构扭簧主驾座框</v>
          </cell>
          <cell r="F303" t="str">
            <v>个</v>
          </cell>
          <cell r="G303">
            <v>0.188</v>
          </cell>
        </row>
        <row r="304">
          <cell r="D304" t="str">
            <v>SHT0012006</v>
          </cell>
          <cell r="E304" t="str">
            <v>升降锁止轴安装卡箍1.3平台</v>
          </cell>
          <cell r="F304" t="str">
            <v>个</v>
          </cell>
          <cell r="G304">
            <v>0.3</v>
          </cell>
        </row>
        <row r="305">
          <cell r="D305" t="str">
            <v>SHT0012034</v>
          </cell>
          <cell r="E305" t="str">
            <v>气阀固定钢丝1.3平台</v>
          </cell>
          <cell r="F305" t="str">
            <v>个</v>
          </cell>
          <cell r="G305">
            <v>0.35</v>
          </cell>
        </row>
        <row r="306">
          <cell r="D306" t="str">
            <v>SHT0012049</v>
          </cell>
          <cell r="E306" t="str">
            <v>拉簧固定钢丝1.3平台</v>
          </cell>
          <cell r="F306" t="str">
            <v>个</v>
          </cell>
          <cell r="G306">
            <v>0.09</v>
          </cell>
        </row>
        <row r="307">
          <cell r="D307" t="str">
            <v>SHT0012110</v>
          </cell>
          <cell r="E307" t="str">
            <v>主边罩壳固定钢丝M4</v>
          </cell>
          <cell r="F307" t="str">
            <v>个</v>
          </cell>
          <cell r="G307">
            <v>0.60399999999999998</v>
          </cell>
        </row>
        <row r="308">
          <cell r="D308" t="str">
            <v>SHT0012112</v>
          </cell>
          <cell r="E308" t="str">
            <v>副边罩壳钢丝M3000</v>
          </cell>
          <cell r="F308" t="str">
            <v>个</v>
          </cell>
          <cell r="G308">
            <v>0.16</v>
          </cell>
        </row>
        <row r="309">
          <cell r="D309" t="str">
            <v>SHT0013145</v>
          </cell>
          <cell r="E309" t="str">
            <v>前升降拉簧1.3平台</v>
          </cell>
          <cell r="F309" t="str">
            <v>个</v>
          </cell>
          <cell r="G309">
            <v>1.2276</v>
          </cell>
        </row>
        <row r="310">
          <cell r="D310" t="str">
            <v>SHT0013146</v>
          </cell>
          <cell r="E310" t="str">
            <v>后升降拉簧1.3平台</v>
          </cell>
          <cell r="F310" t="str">
            <v>个</v>
          </cell>
          <cell r="G310">
            <v>1.6956</v>
          </cell>
        </row>
        <row r="311">
          <cell r="D311" t="str">
            <v>SLT0010193</v>
          </cell>
          <cell r="E311" t="str">
            <v>气管接线头固定钢丝</v>
          </cell>
          <cell r="F311" t="str">
            <v>个</v>
          </cell>
          <cell r="G311">
            <v>0.191</v>
          </cell>
        </row>
        <row r="312">
          <cell r="D312" t="str">
            <v>SLT0010335</v>
          </cell>
          <cell r="E312" t="str">
            <v>驾驶员侧翼支撑钢丝济南轻卡统帅</v>
          </cell>
          <cell r="F312" t="str">
            <v>个</v>
          </cell>
          <cell r="G312">
            <v>0.56499999999999995</v>
          </cell>
        </row>
        <row r="313">
          <cell r="D313" t="str">
            <v>SLT0010355</v>
          </cell>
          <cell r="E313" t="str">
            <v>副驾靠背侧翼支撑钢丝济南轻卡统帅</v>
          </cell>
          <cell r="F313" t="str">
            <v>个</v>
          </cell>
          <cell r="G313">
            <v>0.61199999999999999</v>
          </cell>
        </row>
        <row r="314">
          <cell r="D314" t="str">
            <v>SLT0010437</v>
          </cell>
          <cell r="E314" t="str">
            <v>副驾靠背头枕支撑杆济南轻卡统帅</v>
          </cell>
          <cell r="F314" t="str">
            <v>个</v>
          </cell>
          <cell r="G314">
            <v>1.327</v>
          </cell>
        </row>
        <row r="315">
          <cell r="D315" t="str">
            <v>SLT0010438</v>
          </cell>
          <cell r="E315" t="str">
            <v>副驾靠背头枕加强钢丝济南轻卡统帅</v>
          </cell>
          <cell r="F315" t="str">
            <v>个</v>
          </cell>
          <cell r="G315">
            <v>0.63300000000000001</v>
          </cell>
        </row>
        <row r="316">
          <cell r="D316" t="str">
            <v>REM0003411</v>
          </cell>
          <cell r="E316" t="str">
            <v>奥威弹簧(H6状态)</v>
          </cell>
          <cell r="F316" t="str">
            <v>个</v>
          </cell>
          <cell r="G316">
            <v>0.62</v>
          </cell>
        </row>
        <row r="317">
          <cell r="D317" t="str">
            <v>SCS0006414</v>
          </cell>
          <cell r="E317" t="str">
            <v>靠背左侧面套固定钢丝P203</v>
          </cell>
          <cell r="F317" t="str">
            <v>个</v>
          </cell>
          <cell r="G317">
            <v>0.43</v>
          </cell>
        </row>
        <row r="318">
          <cell r="D318" t="str">
            <v>SCS0006416</v>
          </cell>
          <cell r="E318" t="str">
            <v>靠背右侧面套固定钢丝P203</v>
          </cell>
          <cell r="F318" t="str">
            <v>个</v>
          </cell>
          <cell r="G318">
            <v>0.43</v>
          </cell>
        </row>
        <row r="319">
          <cell r="D319" t="str">
            <v>SCS0007057</v>
          </cell>
          <cell r="E319" t="str">
            <v>儿童座椅固定挂钩B40V后排坐垫</v>
          </cell>
          <cell r="F319" t="str">
            <v>个</v>
          </cell>
          <cell r="G319">
            <v>0.34200000000000003</v>
          </cell>
        </row>
        <row r="320">
          <cell r="D320" t="str">
            <v>SHT0002744</v>
          </cell>
          <cell r="E320" t="str">
            <v>大运靠背支撑钢丝右</v>
          </cell>
          <cell r="F320" t="str">
            <v>个</v>
          </cell>
          <cell r="G320">
            <v>1.42</v>
          </cell>
        </row>
        <row r="321">
          <cell r="D321" t="str">
            <v>SHT0011809</v>
          </cell>
          <cell r="E321" t="str">
            <v>仰角调节机构扭簧主驾座框</v>
          </cell>
          <cell r="F321" t="str">
            <v>个</v>
          </cell>
          <cell r="G321">
            <v>0.188</v>
          </cell>
        </row>
        <row r="322">
          <cell r="D322" t="str">
            <v>SHT0012006</v>
          </cell>
          <cell r="E322" t="str">
            <v>升降锁止轴安装卡箍1.3平台</v>
          </cell>
          <cell r="F322" t="str">
            <v>个</v>
          </cell>
          <cell r="G322">
            <v>0.3</v>
          </cell>
        </row>
        <row r="323">
          <cell r="D323" t="str">
            <v>SHT0012034</v>
          </cell>
          <cell r="E323" t="str">
            <v>气阀固定钢丝1.3平台</v>
          </cell>
          <cell r="F323" t="str">
            <v>个</v>
          </cell>
          <cell r="G323">
            <v>0.35</v>
          </cell>
        </row>
        <row r="324">
          <cell r="D324" t="str">
            <v>SHT0012049</v>
          </cell>
          <cell r="E324" t="str">
            <v>拉簧固定钢丝1.3平台</v>
          </cell>
          <cell r="F324" t="str">
            <v>个</v>
          </cell>
          <cell r="G324">
            <v>0.09</v>
          </cell>
        </row>
        <row r="325">
          <cell r="D325" t="str">
            <v>SHT0012110</v>
          </cell>
          <cell r="E325" t="str">
            <v>主边罩壳固定钢丝M4</v>
          </cell>
          <cell r="F325" t="str">
            <v>个</v>
          </cell>
          <cell r="G325">
            <v>0.60399999999999998</v>
          </cell>
        </row>
        <row r="326">
          <cell r="D326" t="str">
            <v>SHT0012112</v>
          </cell>
          <cell r="E326" t="str">
            <v>副边罩壳钢丝M3000</v>
          </cell>
          <cell r="F326" t="str">
            <v>个</v>
          </cell>
          <cell r="G326">
            <v>0.16</v>
          </cell>
        </row>
        <row r="327">
          <cell r="D327" t="str">
            <v>SHT0013145</v>
          </cell>
          <cell r="E327" t="str">
            <v>前升降拉簧1.3平台</v>
          </cell>
          <cell r="F327" t="str">
            <v>个</v>
          </cell>
          <cell r="G327">
            <v>1.2276</v>
          </cell>
        </row>
        <row r="328">
          <cell r="D328" t="str">
            <v>SHT0013146</v>
          </cell>
          <cell r="E328" t="str">
            <v>后升降拉簧1.3平台</v>
          </cell>
          <cell r="F328" t="str">
            <v>个</v>
          </cell>
          <cell r="G328">
            <v>1.6956</v>
          </cell>
        </row>
        <row r="329">
          <cell r="D329" t="str">
            <v>SLT0010193</v>
          </cell>
          <cell r="E329" t="str">
            <v>气管接线头固定钢丝</v>
          </cell>
          <cell r="F329" t="str">
            <v>个</v>
          </cell>
          <cell r="G329">
            <v>0.191</v>
          </cell>
        </row>
        <row r="330">
          <cell r="D330" t="str">
            <v>SLT0010335</v>
          </cell>
          <cell r="E330" t="str">
            <v>驾驶员侧翼支撑钢丝济南轻卡统帅</v>
          </cell>
          <cell r="F330" t="str">
            <v>个</v>
          </cell>
          <cell r="G330">
            <v>0.56499999999999995</v>
          </cell>
        </row>
        <row r="331">
          <cell r="D331" t="str">
            <v>SLT0010355</v>
          </cell>
          <cell r="E331" t="str">
            <v>副驾靠背侧翼支撑钢丝济南轻卡统帅</v>
          </cell>
          <cell r="F331" t="str">
            <v>个</v>
          </cell>
          <cell r="G331">
            <v>0.61199999999999999</v>
          </cell>
        </row>
        <row r="332">
          <cell r="D332" t="str">
            <v>SLT0010437</v>
          </cell>
          <cell r="E332" t="str">
            <v>副驾靠背头枕支撑杆济南轻卡统帅</v>
          </cell>
          <cell r="F332" t="str">
            <v>个</v>
          </cell>
          <cell r="G332">
            <v>1.327</v>
          </cell>
        </row>
        <row r="333">
          <cell r="D333" t="str">
            <v>SLT0010438</v>
          </cell>
          <cell r="E333" t="str">
            <v>副驾靠背头枕加强钢丝济南轻卡统帅</v>
          </cell>
          <cell r="F333" t="str">
            <v>个</v>
          </cell>
          <cell r="G333">
            <v>0.63300000000000001</v>
          </cell>
        </row>
        <row r="334">
          <cell r="D334" t="str">
            <v>REM0003411</v>
          </cell>
          <cell r="E334" t="str">
            <v>奥威弹簧(H6状态)</v>
          </cell>
          <cell r="F334" t="str">
            <v>个</v>
          </cell>
          <cell r="G334">
            <v>0.62</v>
          </cell>
        </row>
        <row r="335">
          <cell r="D335" t="str">
            <v>SCS0006414</v>
          </cell>
          <cell r="E335" t="str">
            <v>靠背左侧面套固定钢丝P203</v>
          </cell>
          <cell r="F335" t="str">
            <v>个</v>
          </cell>
          <cell r="G335">
            <v>0.43</v>
          </cell>
        </row>
        <row r="336">
          <cell r="D336" t="str">
            <v>SCS0006416</v>
          </cell>
          <cell r="E336" t="str">
            <v>靠背右侧面套固定钢丝P203</v>
          </cell>
          <cell r="F336" t="str">
            <v>个</v>
          </cell>
          <cell r="G336">
            <v>0.43</v>
          </cell>
        </row>
        <row r="337">
          <cell r="D337" t="str">
            <v>SCS0007057</v>
          </cell>
          <cell r="E337" t="str">
            <v>儿童座椅固定挂钩B40V后排坐垫</v>
          </cell>
          <cell r="F337" t="str">
            <v>个</v>
          </cell>
          <cell r="G337">
            <v>0.34200000000000003</v>
          </cell>
        </row>
        <row r="338">
          <cell r="D338" t="str">
            <v>SHT0002744</v>
          </cell>
          <cell r="E338" t="str">
            <v>大运靠背支撑钢丝右</v>
          </cell>
          <cell r="F338" t="str">
            <v>个</v>
          </cell>
          <cell r="G338">
            <v>1.42</v>
          </cell>
        </row>
        <row r="339">
          <cell r="D339" t="str">
            <v>SHT0011809</v>
          </cell>
          <cell r="E339" t="str">
            <v>仰角调节机构扭簧主驾座框</v>
          </cell>
          <cell r="F339" t="str">
            <v>个</v>
          </cell>
          <cell r="G339">
            <v>0.188</v>
          </cell>
        </row>
        <row r="340">
          <cell r="D340" t="str">
            <v>SHT0012006</v>
          </cell>
          <cell r="E340" t="str">
            <v>升降锁止轴安装卡箍1.3平台</v>
          </cell>
          <cell r="F340" t="str">
            <v>个</v>
          </cell>
          <cell r="G340">
            <v>0.3</v>
          </cell>
        </row>
        <row r="341">
          <cell r="D341" t="str">
            <v>SHT0012034</v>
          </cell>
          <cell r="E341" t="str">
            <v>气阀固定钢丝1.3平台</v>
          </cell>
          <cell r="F341" t="str">
            <v>个</v>
          </cell>
          <cell r="G341">
            <v>0.35</v>
          </cell>
        </row>
        <row r="342">
          <cell r="D342" t="str">
            <v>SHT0012049</v>
          </cell>
          <cell r="E342" t="str">
            <v>拉簧固定钢丝1.3平台</v>
          </cell>
          <cell r="F342" t="str">
            <v>个</v>
          </cell>
          <cell r="G342">
            <v>0.09</v>
          </cell>
        </row>
        <row r="343">
          <cell r="D343" t="str">
            <v>SHT0012110</v>
          </cell>
          <cell r="E343" t="str">
            <v>主边罩壳固定钢丝M4</v>
          </cell>
          <cell r="F343" t="str">
            <v>个</v>
          </cell>
          <cell r="G343">
            <v>0.60399999999999998</v>
          </cell>
        </row>
        <row r="344">
          <cell r="D344" t="str">
            <v>SHT0012112</v>
          </cell>
          <cell r="E344" t="str">
            <v>副边罩壳钢丝M3000</v>
          </cell>
          <cell r="F344" t="str">
            <v>个</v>
          </cell>
          <cell r="G344">
            <v>0.16</v>
          </cell>
        </row>
        <row r="345">
          <cell r="D345" t="str">
            <v>SHT0013145</v>
          </cell>
          <cell r="E345" t="str">
            <v>前升降拉簧1.3平台</v>
          </cell>
          <cell r="F345" t="str">
            <v>个</v>
          </cell>
          <cell r="G345">
            <v>1.2276</v>
          </cell>
        </row>
        <row r="346">
          <cell r="D346" t="str">
            <v>SHT0013146</v>
          </cell>
          <cell r="E346" t="str">
            <v>后升降拉簧1.3平台</v>
          </cell>
          <cell r="F346" t="str">
            <v>个</v>
          </cell>
          <cell r="G346">
            <v>1.6956</v>
          </cell>
        </row>
        <row r="347">
          <cell r="D347" t="str">
            <v>SLT0010193</v>
          </cell>
          <cell r="E347" t="str">
            <v>气管接线头固定钢丝</v>
          </cell>
          <cell r="F347" t="str">
            <v>个</v>
          </cell>
          <cell r="G347">
            <v>0.191</v>
          </cell>
        </row>
        <row r="348">
          <cell r="D348" t="str">
            <v>SLT0010335</v>
          </cell>
          <cell r="E348" t="str">
            <v>驾驶员侧翼支撑钢丝济南轻卡统帅</v>
          </cell>
          <cell r="F348" t="str">
            <v>个</v>
          </cell>
          <cell r="G348">
            <v>0.56499999999999995</v>
          </cell>
        </row>
        <row r="349">
          <cell r="D349" t="str">
            <v>SLT0010355</v>
          </cell>
          <cell r="E349" t="str">
            <v>副驾靠背侧翼支撑钢丝济南轻卡统帅</v>
          </cell>
          <cell r="F349" t="str">
            <v>个</v>
          </cell>
          <cell r="G349">
            <v>0.61199999999999999</v>
          </cell>
        </row>
        <row r="350">
          <cell r="D350" t="str">
            <v>SLT0010437</v>
          </cell>
          <cell r="E350" t="str">
            <v>副驾靠背头枕支撑杆济南轻卡统帅</v>
          </cell>
          <cell r="F350" t="str">
            <v>个</v>
          </cell>
          <cell r="G350">
            <v>1.327</v>
          </cell>
        </row>
        <row r="351">
          <cell r="D351" t="str">
            <v>SLT0010438</v>
          </cell>
          <cell r="E351" t="str">
            <v>副驾靠背头枕加强钢丝济南轻卡统帅</v>
          </cell>
          <cell r="F351" t="str">
            <v>个</v>
          </cell>
          <cell r="G351">
            <v>0.63300000000000001</v>
          </cell>
        </row>
        <row r="352">
          <cell r="D352" t="str">
            <v>REM0003411</v>
          </cell>
          <cell r="E352" t="str">
            <v>奥威弹簧(H6状态)</v>
          </cell>
          <cell r="F352" t="str">
            <v>个</v>
          </cell>
          <cell r="G352">
            <v>0.62</v>
          </cell>
        </row>
        <row r="353">
          <cell r="D353" t="str">
            <v>SCS0006414</v>
          </cell>
          <cell r="E353" t="str">
            <v>靠背左侧面套固定钢丝P203</v>
          </cell>
          <cell r="F353" t="str">
            <v>个</v>
          </cell>
          <cell r="G353">
            <v>0.43</v>
          </cell>
        </row>
        <row r="354">
          <cell r="D354" t="str">
            <v>SCS0006416</v>
          </cell>
          <cell r="E354" t="str">
            <v>靠背右侧面套固定钢丝P203</v>
          </cell>
          <cell r="F354" t="str">
            <v>个</v>
          </cell>
          <cell r="G354">
            <v>0.43</v>
          </cell>
        </row>
        <row r="355">
          <cell r="D355" t="str">
            <v>SCS0007057</v>
          </cell>
          <cell r="E355" t="str">
            <v>儿童座椅固定挂钩B40V后排坐垫</v>
          </cell>
          <cell r="F355" t="str">
            <v>个</v>
          </cell>
          <cell r="G355">
            <v>0.34200000000000003</v>
          </cell>
        </row>
        <row r="356">
          <cell r="D356" t="str">
            <v>SHT0002744</v>
          </cell>
          <cell r="E356" t="str">
            <v>大运靠背支撑钢丝右</v>
          </cell>
          <cell r="F356" t="str">
            <v>个</v>
          </cell>
          <cell r="G356">
            <v>1.42</v>
          </cell>
        </row>
        <row r="357">
          <cell r="D357" t="str">
            <v>SHT0011809</v>
          </cell>
          <cell r="E357" t="str">
            <v>仰角调节机构扭簧主驾座框</v>
          </cell>
          <cell r="F357" t="str">
            <v>个</v>
          </cell>
          <cell r="G357">
            <v>0.188</v>
          </cell>
        </row>
        <row r="358">
          <cell r="D358" t="str">
            <v>SHT0012006</v>
          </cell>
          <cell r="E358" t="str">
            <v>升降锁止轴安装卡箍1.3平台</v>
          </cell>
          <cell r="F358" t="str">
            <v>个</v>
          </cell>
          <cell r="G358">
            <v>0.3</v>
          </cell>
        </row>
        <row r="359">
          <cell r="D359" t="str">
            <v>SHT0012034</v>
          </cell>
          <cell r="E359" t="str">
            <v>气阀固定钢丝1.3平台</v>
          </cell>
          <cell r="F359" t="str">
            <v>个</v>
          </cell>
          <cell r="G359">
            <v>0.35</v>
          </cell>
        </row>
        <row r="360">
          <cell r="D360" t="str">
            <v>SHT0012049</v>
          </cell>
          <cell r="E360" t="str">
            <v>拉簧固定钢丝1.3平台</v>
          </cell>
          <cell r="F360" t="str">
            <v>个</v>
          </cell>
          <cell r="G360">
            <v>0.09</v>
          </cell>
        </row>
        <row r="361">
          <cell r="D361" t="str">
            <v>SHT0012110</v>
          </cell>
          <cell r="E361" t="str">
            <v>主边罩壳固定钢丝M4</v>
          </cell>
          <cell r="F361" t="str">
            <v>个</v>
          </cell>
          <cell r="G361">
            <v>0.60399999999999998</v>
          </cell>
        </row>
        <row r="362">
          <cell r="D362" t="str">
            <v>SHT0012112</v>
          </cell>
          <cell r="E362" t="str">
            <v>副边罩壳钢丝M3000</v>
          </cell>
          <cell r="F362" t="str">
            <v>个</v>
          </cell>
          <cell r="G362">
            <v>0.16</v>
          </cell>
        </row>
        <row r="363">
          <cell r="D363" t="str">
            <v>SHT0013145</v>
          </cell>
          <cell r="E363" t="str">
            <v>前升降拉簧1.3平台</v>
          </cell>
          <cell r="F363" t="str">
            <v>个</v>
          </cell>
          <cell r="G363">
            <v>1.2276</v>
          </cell>
        </row>
        <row r="364">
          <cell r="D364" t="str">
            <v>SHT0013146</v>
          </cell>
          <cell r="E364" t="str">
            <v>后升降拉簧1.3平台</v>
          </cell>
          <cell r="F364" t="str">
            <v>个</v>
          </cell>
          <cell r="G364">
            <v>1.6956</v>
          </cell>
        </row>
        <row r="365">
          <cell r="D365" t="str">
            <v>SLT0010193</v>
          </cell>
          <cell r="E365" t="str">
            <v>气管接线头固定钢丝</v>
          </cell>
          <cell r="F365" t="str">
            <v>个</v>
          </cell>
          <cell r="G365">
            <v>0.191</v>
          </cell>
        </row>
        <row r="366">
          <cell r="D366" t="str">
            <v>SLT0010335</v>
          </cell>
          <cell r="E366" t="str">
            <v>驾驶员侧翼支撑钢丝济南轻卡统帅</v>
          </cell>
          <cell r="F366" t="str">
            <v>个</v>
          </cell>
          <cell r="G366">
            <v>0.56499999999999995</v>
          </cell>
        </row>
        <row r="367">
          <cell r="D367" t="str">
            <v>SLT0010355</v>
          </cell>
          <cell r="E367" t="str">
            <v>副驾靠背侧翼支撑钢丝济南轻卡统帅</v>
          </cell>
          <cell r="F367" t="str">
            <v>个</v>
          </cell>
          <cell r="G367">
            <v>0.61199999999999999</v>
          </cell>
        </row>
        <row r="368">
          <cell r="D368" t="str">
            <v>SLT0010437</v>
          </cell>
          <cell r="E368" t="str">
            <v>副驾靠背头枕支撑杆济南轻卡统帅</v>
          </cell>
          <cell r="F368" t="str">
            <v>个</v>
          </cell>
          <cell r="G368">
            <v>1.327</v>
          </cell>
        </row>
        <row r="369">
          <cell r="D369" t="str">
            <v>SLT0010438</v>
          </cell>
          <cell r="E369" t="str">
            <v>副驾靠背头枕加强钢丝济南轻卡统帅</v>
          </cell>
          <cell r="F369" t="str">
            <v>个</v>
          </cell>
          <cell r="G369">
            <v>0.63300000000000001</v>
          </cell>
        </row>
        <row r="370">
          <cell r="D370" t="str">
            <v>REM0003411</v>
          </cell>
          <cell r="E370" t="str">
            <v>奥威弹簧(H6状态)</v>
          </cell>
          <cell r="F370" t="str">
            <v>个</v>
          </cell>
          <cell r="G370">
            <v>0.62</v>
          </cell>
        </row>
        <row r="371">
          <cell r="D371" t="str">
            <v>SCS0006414</v>
          </cell>
          <cell r="E371" t="str">
            <v>靠背左侧面套固定钢丝P203</v>
          </cell>
          <cell r="F371" t="str">
            <v>个</v>
          </cell>
          <cell r="G371">
            <v>0.43</v>
          </cell>
        </row>
        <row r="372">
          <cell r="D372" t="str">
            <v>SCS0006416</v>
          </cell>
          <cell r="E372" t="str">
            <v>靠背右侧面套固定钢丝P203</v>
          </cell>
          <cell r="F372" t="str">
            <v>个</v>
          </cell>
          <cell r="G372">
            <v>0.43</v>
          </cell>
        </row>
        <row r="373">
          <cell r="D373" t="str">
            <v>SHT0002744</v>
          </cell>
          <cell r="E373" t="str">
            <v>大运靠背支撑钢丝右</v>
          </cell>
          <cell r="F373" t="str">
            <v>个</v>
          </cell>
          <cell r="G373">
            <v>1.42</v>
          </cell>
        </row>
        <row r="374">
          <cell r="D374" t="str">
            <v>SHT0011809</v>
          </cell>
          <cell r="E374" t="str">
            <v>仰角调节机构扭簧主驾座框</v>
          </cell>
          <cell r="F374" t="str">
            <v>个</v>
          </cell>
          <cell r="G374">
            <v>0.188</v>
          </cell>
        </row>
        <row r="375">
          <cell r="D375" t="str">
            <v>SHT0012034</v>
          </cell>
          <cell r="E375" t="str">
            <v>气阀固定钢丝1.3平台</v>
          </cell>
          <cell r="F375" t="str">
            <v>个</v>
          </cell>
          <cell r="G375">
            <v>0.35</v>
          </cell>
        </row>
        <row r="376">
          <cell r="D376" t="str">
            <v>SHT0012049</v>
          </cell>
          <cell r="E376" t="str">
            <v>拉簧固定钢丝1.3平台</v>
          </cell>
          <cell r="F376" t="str">
            <v>个</v>
          </cell>
          <cell r="G376">
            <v>0.09</v>
          </cell>
        </row>
        <row r="377">
          <cell r="D377" t="str">
            <v>SHT0012110</v>
          </cell>
          <cell r="E377" t="str">
            <v>主边罩壳固定钢丝M4</v>
          </cell>
          <cell r="F377" t="str">
            <v>个</v>
          </cell>
          <cell r="G377">
            <v>0.60399999999999998</v>
          </cell>
        </row>
        <row r="378">
          <cell r="D378" t="str">
            <v>SHT0012112</v>
          </cell>
          <cell r="E378" t="str">
            <v>副边罩壳钢丝M3000</v>
          </cell>
          <cell r="F378" t="str">
            <v>个</v>
          </cell>
          <cell r="G378">
            <v>0.16</v>
          </cell>
        </row>
        <row r="379">
          <cell r="D379" t="str">
            <v>SHT0013145</v>
          </cell>
          <cell r="E379" t="str">
            <v>前升降拉簧1.3平台</v>
          </cell>
          <cell r="F379" t="str">
            <v>个</v>
          </cell>
          <cell r="G379">
            <v>1.2276</v>
          </cell>
        </row>
        <row r="380">
          <cell r="D380" t="str">
            <v>SHT0013146</v>
          </cell>
          <cell r="E380" t="str">
            <v>后升降拉簧1.3平台</v>
          </cell>
          <cell r="F380" t="str">
            <v>个</v>
          </cell>
          <cell r="G380">
            <v>1.6956</v>
          </cell>
        </row>
        <row r="381">
          <cell r="D381" t="str">
            <v>SLT0010193</v>
          </cell>
          <cell r="E381" t="str">
            <v>气管接线头固定钢丝</v>
          </cell>
          <cell r="F381" t="str">
            <v>个</v>
          </cell>
          <cell r="G381">
            <v>0.191</v>
          </cell>
        </row>
        <row r="382">
          <cell r="D382" t="str">
            <v>SLT0010335</v>
          </cell>
          <cell r="E382" t="str">
            <v>驾驶员侧翼支撑钢丝济南轻卡统帅</v>
          </cell>
          <cell r="F382" t="str">
            <v>个</v>
          </cell>
          <cell r="G382">
            <v>0.56499999999999995</v>
          </cell>
        </row>
        <row r="383">
          <cell r="D383" t="str">
            <v>SLT0010355</v>
          </cell>
          <cell r="E383" t="str">
            <v>副驾靠背侧翼支撑钢丝济南轻卡统帅</v>
          </cell>
          <cell r="F383" t="str">
            <v>个</v>
          </cell>
          <cell r="G383">
            <v>0.61199999999999999</v>
          </cell>
        </row>
        <row r="384">
          <cell r="D384" t="str">
            <v>SLT0010437</v>
          </cell>
          <cell r="E384" t="str">
            <v>副驾靠背头枕支撑杆济南轻卡统帅</v>
          </cell>
          <cell r="F384" t="str">
            <v>个</v>
          </cell>
          <cell r="G384">
            <v>1.327</v>
          </cell>
        </row>
        <row r="385">
          <cell r="D385" t="str">
            <v>SLT0010438</v>
          </cell>
          <cell r="E385" t="str">
            <v>副驾靠背头枕加强钢丝济南轻卡统帅</v>
          </cell>
          <cell r="F385" t="str">
            <v>个</v>
          </cell>
          <cell r="G385">
            <v>0.63300000000000001</v>
          </cell>
        </row>
        <row r="386">
          <cell r="D386" t="str">
            <v>BFA0000746</v>
          </cell>
          <cell r="E386" t="str">
            <v>BWL7500转轴</v>
          </cell>
          <cell r="F386" t="str">
            <v>个</v>
          </cell>
          <cell r="G386">
            <v>8.6999999999999994E-2</v>
          </cell>
        </row>
        <row r="387">
          <cell r="D387" t="str">
            <v>REM0003411</v>
          </cell>
          <cell r="E387" t="str">
            <v>奥威弹簧(H6状态)</v>
          </cell>
          <cell r="F387" t="str">
            <v>个</v>
          </cell>
          <cell r="G387">
            <v>0.62</v>
          </cell>
        </row>
        <row r="388">
          <cell r="D388" t="str">
            <v>SCS0006414</v>
          </cell>
          <cell r="E388" t="str">
            <v>靠背左侧面套固定钢丝P203</v>
          </cell>
          <cell r="F388" t="str">
            <v>个</v>
          </cell>
          <cell r="G388">
            <v>0.43</v>
          </cell>
        </row>
        <row r="389">
          <cell r="D389" t="str">
            <v>SCS0006416</v>
          </cell>
          <cell r="E389" t="str">
            <v>靠背右侧面套固定钢丝P203</v>
          </cell>
          <cell r="F389" t="str">
            <v>个</v>
          </cell>
          <cell r="G389">
            <v>0.43</v>
          </cell>
        </row>
        <row r="390">
          <cell r="D390" t="str">
            <v>SCS0007057</v>
          </cell>
          <cell r="E390" t="str">
            <v>儿童座椅固定挂钩B40V后排坐垫</v>
          </cell>
          <cell r="F390" t="str">
            <v>个</v>
          </cell>
          <cell r="G390">
            <v>0.34200000000000003</v>
          </cell>
        </row>
        <row r="391">
          <cell r="D391" t="str">
            <v>SHT0002744</v>
          </cell>
          <cell r="E391" t="str">
            <v>大运靠背支撑钢丝右</v>
          </cell>
          <cell r="F391" t="str">
            <v>个</v>
          </cell>
          <cell r="G391">
            <v>1.42</v>
          </cell>
        </row>
        <row r="392">
          <cell r="D392" t="str">
            <v>SHT0011054</v>
          </cell>
          <cell r="E392" t="str">
            <v>D03靠背骨架下支撑钢丝</v>
          </cell>
          <cell r="F392" t="str">
            <v>个</v>
          </cell>
          <cell r="G392">
            <v>1.911</v>
          </cell>
        </row>
        <row r="393">
          <cell r="D393" t="str">
            <v>SHT0011809</v>
          </cell>
          <cell r="E393" t="str">
            <v>仰角调节机构扭簧主驾座框</v>
          </cell>
          <cell r="F393" t="str">
            <v>个</v>
          </cell>
          <cell r="G393">
            <v>0.188</v>
          </cell>
        </row>
        <row r="394">
          <cell r="D394" t="str">
            <v>SHT0012006</v>
          </cell>
          <cell r="E394" t="str">
            <v>升降锁止轴安装卡箍1.3平台</v>
          </cell>
          <cell r="F394" t="str">
            <v>个</v>
          </cell>
          <cell r="G394">
            <v>0.3</v>
          </cell>
        </row>
        <row r="395">
          <cell r="D395" t="str">
            <v>SHT0012034</v>
          </cell>
          <cell r="E395" t="str">
            <v>气阀固定钢丝1.3平台</v>
          </cell>
          <cell r="F395" t="str">
            <v>个</v>
          </cell>
          <cell r="G395">
            <v>0.35</v>
          </cell>
        </row>
        <row r="396">
          <cell r="D396" t="str">
            <v>SHT0012049</v>
          </cell>
          <cell r="E396" t="str">
            <v>拉簧固定钢丝1.3平台</v>
          </cell>
          <cell r="F396" t="str">
            <v>个</v>
          </cell>
          <cell r="G396">
            <v>0.09</v>
          </cell>
        </row>
        <row r="397">
          <cell r="D397" t="str">
            <v>SHT0012110</v>
          </cell>
          <cell r="E397" t="str">
            <v>主边罩壳固定钢丝M4</v>
          </cell>
          <cell r="F397" t="str">
            <v>个</v>
          </cell>
          <cell r="G397">
            <v>0.60399999999999998</v>
          </cell>
        </row>
        <row r="398">
          <cell r="D398" t="str">
            <v>SHT0012112</v>
          </cell>
          <cell r="E398" t="str">
            <v>副边罩壳钢丝M3000</v>
          </cell>
          <cell r="F398" t="str">
            <v>个</v>
          </cell>
          <cell r="G398">
            <v>0.16</v>
          </cell>
        </row>
        <row r="399">
          <cell r="D399" t="str">
            <v>SHT0013145</v>
          </cell>
          <cell r="E399" t="str">
            <v>前升降拉簧1.3平台</v>
          </cell>
          <cell r="F399" t="str">
            <v>个</v>
          </cell>
          <cell r="G399">
            <v>1.2276</v>
          </cell>
        </row>
        <row r="400">
          <cell r="D400" t="str">
            <v>SHT0013146</v>
          </cell>
          <cell r="E400" t="str">
            <v>后升降拉簧1.3平台</v>
          </cell>
          <cell r="F400" t="str">
            <v>个</v>
          </cell>
          <cell r="G400">
            <v>1.6956</v>
          </cell>
        </row>
        <row r="401">
          <cell r="D401" t="str">
            <v>SLT0010193</v>
          </cell>
          <cell r="E401" t="str">
            <v>气管接线头固定钢丝</v>
          </cell>
          <cell r="F401" t="str">
            <v>个</v>
          </cell>
          <cell r="G401">
            <v>0.191</v>
          </cell>
        </row>
        <row r="402">
          <cell r="D402" t="str">
            <v>SLT0010335</v>
          </cell>
          <cell r="E402" t="str">
            <v>驾驶员侧翼支撑钢丝济南轻卡统帅</v>
          </cell>
          <cell r="F402" t="str">
            <v>个</v>
          </cell>
          <cell r="G402">
            <v>0.56499999999999995</v>
          </cell>
        </row>
        <row r="403">
          <cell r="D403" t="str">
            <v>SLT0010355</v>
          </cell>
          <cell r="E403" t="str">
            <v>副驾靠背侧翼支撑钢丝济南轻卡统帅</v>
          </cell>
          <cell r="F403" t="str">
            <v>个</v>
          </cell>
          <cell r="G403">
            <v>0.61199999999999999</v>
          </cell>
        </row>
        <row r="404">
          <cell r="D404" t="str">
            <v>SLT0010437</v>
          </cell>
          <cell r="E404" t="str">
            <v>副驾靠背头枕支撑杆济南轻卡统帅</v>
          </cell>
          <cell r="F404" t="str">
            <v>个</v>
          </cell>
          <cell r="G404">
            <v>1.327</v>
          </cell>
        </row>
        <row r="405">
          <cell r="D405" t="str">
            <v>SLT0010438</v>
          </cell>
          <cell r="E405" t="str">
            <v>副驾靠背头枕加强钢丝济南轻卡统帅</v>
          </cell>
          <cell r="F405" t="str">
            <v>个</v>
          </cell>
          <cell r="G405">
            <v>0.63300000000000001</v>
          </cell>
        </row>
        <row r="406">
          <cell r="D406" t="str">
            <v>BSP0010035</v>
          </cell>
          <cell r="E406" t="str">
            <v>靠背回位簧重汽T5-2.0翻折</v>
          </cell>
          <cell r="F406" t="str">
            <v>个</v>
          </cell>
          <cell r="G406">
            <v>6.2729999999999997</v>
          </cell>
        </row>
        <row r="407">
          <cell r="D407" t="str">
            <v>REM0003411</v>
          </cell>
          <cell r="E407" t="str">
            <v>奥威弹簧(H6状态)</v>
          </cell>
          <cell r="F407" t="str">
            <v>个</v>
          </cell>
          <cell r="G407">
            <v>0.62</v>
          </cell>
        </row>
        <row r="408">
          <cell r="D408" t="str">
            <v>SCS0006414</v>
          </cell>
          <cell r="E408" t="str">
            <v>靠背左侧面套固定钢丝P203</v>
          </cell>
          <cell r="F408" t="str">
            <v>个</v>
          </cell>
          <cell r="G408">
            <v>0.43</v>
          </cell>
        </row>
        <row r="409">
          <cell r="D409" t="str">
            <v>SCS0006416</v>
          </cell>
          <cell r="E409" t="str">
            <v>靠背右侧面套固定钢丝P203</v>
          </cell>
          <cell r="F409" t="str">
            <v>个</v>
          </cell>
          <cell r="G409">
            <v>0.43</v>
          </cell>
        </row>
        <row r="410">
          <cell r="D410" t="str">
            <v>SCS0007057</v>
          </cell>
          <cell r="E410" t="str">
            <v>儿童座椅固定挂钩B40V后排坐垫</v>
          </cell>
          <cell r="F410" t="str">
            <v>个</v>
          </cell>
          <cell r="G410">
            <v>0.34200000000000003</v>
          </cell>
        </row>
        <row r="411">
          <cell r="D411" t="str">
            <v>SCS0012140</v>
          </cell>
          <cell r="E411" t="str">
            <v>电加热线束固定支架1</v>
          </cell>
          <cell r="F411" t="str">
            <v>个</v>
          </cell>
          <cell r="G411">
            <v>0.74</v>
          </cell>
        </row>
        <row r="412">
          <cell r="D412" t="str">
            <v>SCS0012152</v>
          </cell>
          <cell r="E412" t="str">
            <v>六分座钢丝焊接总成</v>
          </cell>
          <cell r="F412" t="str">
            <v>个</v>
          </cell>
          <cell r="G412">
            <v>9.7988</v>
          </cell>
        </row>
        <row r="413">
          <cell r="D413" t="str">
            <v>SCS0012153</v>
          </cell>
          <cell r="E413" t="str">
            <v>四分座钢丝焊接总成</v>
          </cell>
          <cell r="F413" t="str">
            <v>个</v>
          </cell>
          <cell r="G413">
            <v>7.1897000000000002</v>
          </cell>
        </row>
        <row r="414">
          <cell r="D414" t="str">
            <v>SHT0011809</v>
          </cell>
          <cell r="E414" t="str">
            <v>仰角调节机构扭簧主驾座框</v>
          </cell>
          <cell r="F414" t="str">
            <v>个</v>
          </cell>
          <cell r="G414">
            <v>0.188</v>
          </cell>
        </row>
        <row r="415">
          <cell r="D415" t="str">
            <v>SHT0012006</v>
          </cell>
          <cell r="E415" t="str">
            <v>升降锁止轴安装卡箍1.3平台</v>
          </cell>
          <cell r="F415" t="str">
            <v>个</v>
          </cell>
          <cell r="G415">
            <v>0.3</v>
          </cell>
        </row>
        <row r="416">
          <cell r="D416" t="str">
            <v>SHT0012034</v>
          </cell>
          <cell r="E416" t="str">
            <v>气阀固定钢丝1.3平台</v>
          </cell>
          <cell r="F416" t="str">
            <v>个</v>
          </cell>
          <cell r="G416">
            <v>0.35</v>
          </cell>
        </row>
        <row r="417">
          <cell r="D417" t="str">
            <v>SHT0012049</v>
          </cell>
          <cell r="E417" t="str">
            <v>拉簧固定钢丝1.3平台</v>
          </cell>
          <cell r="F417" t="str">
            <v>个</v>
          </cell>
          <cell r="G417">
            <v>0.09</v>
          </cell>
        </row>
        <row r="418">
          <cell r="D418" t="str">
            <v>SHT0012110</v>
          </cell>
          <cell r="E418" t="str">
            <v>主边罩壳固定钢丝M4</v>
          </cell>
          <cell r="F418" t="str">
            <v>个</v>
          </cell>
          <cell r="G418">
            <v>0.60399999999999998</v>
          </cell>
        </row>
        <row r="419">
          <cell r="D419" t="str">
            <v>SHT0012112</v>
          </cell>
          <cell r="E419" t="str">
            <v>副边罩壳钢丝M3000</v>
          </cell>
          <cell r="F419" t="str">
            <v>个</v>
          </cell>
          <cell r="G419">
            <v>0.16</v>
          </cell>
        </row>
        <row r="420">
          <cell r="D420" t="str">
            <v>SHT0013145</v>
          </cell>
          <cell r="E420" t="str">
            <v>前升降拉簧1.3平台</v>
          </cell>
          <cell r="F420" t="str">
            <v>个</v>
          </cell>
          <cell r="G420">
            <v>1.2276</v>
          </cell>
        </row>
        <row r="421">
          <cell r="D421" t="str">
            <v>SHT0013146</v>
          </cell>
          <cell r="E421" t="str">
            <v>后升降拉簧1.3平台</v>
          </cell>
          <cell r="F421" t="str">
            <v>个</v>
          </cell>
          <cell r="G421">
            <v>1.6956</v>
          </cell>
        </row>
        <row r="422">
          <cell r="D422" t="str">
            <v>SLT0010193</v>
          </cell>
          <cell r="E422" t="str">
            <v>气管接线头固定钢丝</v>
          </cell>
          <cell r="F422" t="str">
            <v>个</v>
          </cell>
          <cell r="G422">
            <v>0.191</v>
          </cell>
        </row>
        <row r="423">
          <cell r="D423" t="str">
            <v>SLT0010335</v>
          </cell>
          <cell r="E423" t="str">
            <v>驾驶员侧翼支撑钢丝济南轻卡统帅</v>
          </cell>
          <cell r="F423" t="str">
            <v>个</v>
          </cell>
          <cell r="G423">
            <v>0.56499999999999995</v>
          </cell>
        </row>
        <row r="424">
          <cell r="D424" t="str">
            <v>SLT0010355</v>
          </cell>
          <cell r="E424" t="str">
            <v>副驾靠背侧翼支撑钢丝济南轻卡统帅</v>
          </cell>
          <cell r="F424" t="str">
            <v>个</v>
          </cell>
          <cell r="G424">
            <v>0.61199999999999999</v>
          </cell>
        </row>
        <row r="425">
          <cell r="D425" t="str">
            <v>SLT0010437</v>
          </cell>
          <cell r="E425" t="str">
            <v>副驾靠背头枕支撑杆济南轻卡统帅</v>
          </cell>
          <cell r="F425" t="str">
            <v>个</v>
          </cell>
          <cell r="G425">
            <v>1.327</v>
          </cell>
        </row>
        <row r="426">
          <cell r="D426" t="str">
            <v>SLT0010438</v>
          </cell>
          <cell r="E426" t="str">
            <v>副驾靠背头枕加强钢丝济南轻卡统帅</v>
          </cell>
          <cell r="F426" t="str">
            <v>个</v>
          </cell>
          <cell r="G426">
            <v>0.63300000000000001</v>
          </cell>
        </row>
        <row r="427">
          <cell r="D427" t="str">
            <v>BSP0010035</v>
          </cell>
          <cell r="E427" t="str">
            <v>靠背回位簧重汽T5-2.0翻折</v>
          </cell>
          <cell r="F427" t="str">
            <v>个</v>
          </cell>
          <cell r="G427">
            <v>6.2729999999999997</v>
          </cell>
        </row>
        <row r="428">
          <cell r="D428" t="str">
            <v>REM0003411</v>
          </cell>
          <cell r="E428" t="str">
            <v>奥威弹簧(H6状态)</v>
          </cell>
          <cell r="F428" t="str">
            <v>个</v>
          </cell>
          <cell r="G428">
            <v>0.62</v>
          </cell>
        </row>
        <row r="429">
          <cell r="D429" t="str">
            <v>SCS0006416</v>
          </cell>
          <cell r="E429" t="str">
            <v>靠背右侧面套固定钢丝P203</v>
          </cell>
          <cell r="F429" t="str">
            <v>个</v>
          </cell>
          <cell r="G429">
            <v>0.43</v>
          </cell>
        </row>
        <row r="430">
          <cell r="D430" t="str">
            <v>SCS0007057</v>
          </cell>
          <cell r="E430" t="str">
            <v>儿童座椅固定挂钩B40V后排坐垫</v>
          </cell>
          <cell r="F430" t="str">
            <v>个</v>
          </cell>
          <cell r="G430">
            <v>0.34200000000000003</v>
          </cell>
        </row>
        <row r="431">
          <cell r="D431" t="str">
            <v>SHT0011809</v>
          </cell>
          <cell r="E431" t="str">
            <v>仰角调节机构扭簧主驾座框</v>
          </cell>
          <cell r="F431" t="str">
            <v>个</v>
          </cell>
          <cell r="G431">
            <v>0.188</v>
          </cell>
        </row>
        <row r="432">
          <cell r="D432" t="str">
            <v>SHT0012006</v>
          </cell>
          <cell r="E432" t="str">
            <v>升降锁止轴安装卡箍1.3平台</v>
          </cell>
          <cell r="F432" t="str">
            <v>个</v>
          </cell>
          <cell r="G432">
            <v>0.3</v>
          </cell>
        </row>
        <row r="433">
          <cell r="D433" t="str">
            <v>SHT0012034</v>
          </cell>
          <cell r="E433" t="str">
            <v>气阀固定钢丝1.3平台</v>
          </cell>
          <cell r="F433" t="str">
            <v>个</v>
          </cell>
          <cell r="G433">
            <v>0.35</v>
          </cell>
        </row>
        <row r="434">
          <cell r="D434" t="str">
            <v>SHT0012049</v>
          </cell>
          <cell r="E434" t="str">
            <v>拉簧固定钢丝1.3平台</v>
          </cell>
          <cell r="F434" t="str">
            <v>个</v>
          </cell>
          <cell r="G434">
            <v>0.09</v>
          </cell>
        </row>
        <row r="435">
          <cell r="D435" t="str">
            <v>SHT0012110</v>
          </cell>
          <cell r="E435" t="str">
            <v>主边罩壳固定钢丝M4</v>
          </cell>
          <cell r="F435" t="str">
            <v>个</v>
          </cell>
          <cell r="G435">
            <v>0.60399999999999998</v>
          </cell>
        </row>
        <row r="436">
          <cell r="D436" t="str">
            <v>SHT0012112</v>
          </cell>
          <cell r="E436" t="str">
            <v>副边罩壳钢丝M3000</v>
          </cell>
          <cell r="F436" t="str">
            <v>个</v>
          </cell>
          <cell r="G436">
            <v>0.16</v>
          </cell>
        </row>
        <row r="437">
          <cell r="D437" t="str">
            <v>SHT0013145</v>
          </cell>
          <cell r="E437" t="str">
            <v>前升降拉簧1.3平台</v>
          </cell>
          <cell r="F437" t="str">
            <v>个</v>
          </cell>
          <cell r="G437">
            <v>1.2276</v>
          </cell>
        </row>
        <row r="438">
          <cell r="D438" t="str">
            <v>SHT0013146</v>
          </cell>
          <cell r="E438" t="str">
            <v>后升降拉簧1.3平台</v>
          </cell>
          <cell r="F438" t="str">
            <v>个</v>
          </cell>
          <cell r="G438">
            <v>1.6956</v>
          </cell>
        </row>
        <row r="439">
          <cell r="D439" t="str">
            <v>SHT0015136</v>
          </cell>
          <cell r="E439" t="str">
            <v>扭力弹簧转盘</v>
          </cell>
          <cell r="F439" t="str">
            <v>个</v>
          </cell>
          <cell r="G439">
            <v>1.8520000000000001</v>
          </cell>
        </row>
        <row r="440">
          <cell r="D440" t="str">
            <v>SLT0010193</v>
          </cell>
          <cell r="E440" t="str">
            <v>气管接线头固定钢丝</v>
          </cell>
          <cell r="F440" t="str">
            <v>个</v>
          </cell>
          <cell r="G440">
            <v>0.191</v>
          </cell>
        </row>
        <row r="441">
          <cell r="D441" t="str">
            <v>SLT0010335</v>
          </cell>
          <cell r="E441" t="str">
            <v>驾驶员侧翼支撑钢丝济南轻卡统帅</v>
          </cell>
          <cell r="F441" t="str">
            <v>个</v>
          </cell>
          <cell r="G441">
            <v>0.56499999999999995</v>
          </cell>
        </row>
        <row r="442">
          <cell r="D442" t="str">
            <v>SLT0010355</v>
          </cell>
          <cell r="E442" t="str">
            <v>副驾靠背侧翼支撑钢丝济南轻卡统帅</v>
          </cell>
          <cell r="F442" t="str">
            <v>个</v>
          </cell>
          <cell r="G442">
            <v>0.61199999999999999</v>
          </cell>
        </row>
        <row r="443">
          <cell r="D443" t="str">
            <v>SLT0010437</v>
          </cell>
          <cell r="E443" t="str">
            <v>副驾靠背头枕支撑杆济南轻卡统帅</v>
          </cell>
          <cell r="F443" t="str">
            <v>个</v>
          </cell>
          <cell r="G443">
            <v>1.327</v>
          </cell>
        </row>
        <row r="444">
          <cell r="D444" t="str">
            <v>SLT0010438</v>
          </cell>
          <cell r="E444" t="str">
            <v>副驾靠背头枕加强钢丝济南轻卡统帅</v>
          </cell>
          <cell r="F444" t="str">
            <v>个</v>
          </cell>
          <cell r="G444">
            <v>0.63300000000000001</v>
          </cell>
        </row>
        <row r="445">
          <cell r="D445" t="str">
            <v>BSP0010035</v>
          </cell>
          <cell r="E445" t="str">
            <v>靠背回位簧重汽T5-2.0翻折</v>
          </cell>
          <cell r="F445" t="str">
            <v>个</v>
          </cell>
          <cell r="G445">
            <v>6.2729999999999997</v>
          </cell>
        </row>
        <row r="446">
          <cell r="D446" t="str">
            <v>REM0003411</v>
          </cell>
          <cell r="E446" t="str">
            <v>奥威弹簧(H6状态)</v>
          </cell>
          <cell r="F446" t="str">
            <v>个</v>
          </cell>
          <cell r="G446">
            <v>0.62</v>
          </cell>
        </row>
        <row r="447">
          <cell r="D447" t="str">
            <v>SCS0006414</v>
          </cell>
          <cell r="E447" t="str">
            <v>靠背左侧面套固定钢丝P203</v>
          </cell>
          <cell r="F447" t="str">
            <v>个</v>
          </cell>
          <cell r="G447">
            <v>0.43</v>
          </cell>
        </row>
        <row r="448">
          <cell r="D448" t="str">
            <v>SCS0006416</v>
          </cell>
          <cell r="E448" t="str">
            <v>靠背右侧面套固定钢丝P203</v>
          </cell>
          <cell r="F448" t="str">
            <v>个</v>
          </cell>
          <cell r="G448">
            <v>0.43</v>
          </cell>
        </row>
        <row r="449">
          <cell r="D449" t="str">
            <v>SHT0001005</v>
          </cell>
          <cell r="E449" t="str">
            <v>涡簧H4A/X3000/一汽</v>
          </cell>
          <cell r="F449" t="str">
            <v>个</v>
          </cell>
          <cell r="G449">
            <v>3.6</v>
          </cell>
        </row>
        <row r="450">
          <cell r="D450" t="str">
            <v>SHT0011809</v>
          </cell>
          <cell r="E450" t="str">
            <v>仰角调节机构扭簧主驾座框</v>
          </cell>
          <cell r="F450" t="str">
            <v>个</v>
          </cell>
          <cell r="G450">
            <v>0.188</v>
          </cell>
        </row>
        <row r="451">
          <cell r="D451" t="str">
            <v>SHT0012006</v>
          </cell>
          <cell r="E451" t="str">
            <v>升降锁止轴安装卡箍1.3平台</v>
          </cell>
          <cell r="F451" t="str">
            <v>个</v>
          </cell>
          <cell r="G451">
            <v>0.3</v>
          </cell>
        </row>
        <row r="452">
          <cell r="D452" t="str">
            <v>SHT0012034</v>
          </cell>
          <cell r="E452" t="str">
            <v>气阀固定钢丝1.3平台</v>
          </cell>
          <cell r="F452" t="str">
            <v>个</v>
          </cell>
          <cell r="G452">
            <v>0.35</v>
          </cell>
        </row>
        <row r="453">
          <cell r="D453" t="str">
            <v>SHT0012049</v>
          </cell>
          <cell r="E453" t="str">
            <v>拉簧固定钢丝1.3平台</v>
          </cell>
          <cell r="F453" t="str">
            <v>个</v>
          </cell>
          <cell r="G453">
            <v>0.09</v>
          </cell>
        </row>
        <row r="454">
          <cell r="D454" t="str">
            <v>SHT0012110</v>
          </cell>
          <cell r="E454" t="str">
            <v>主边罩壳固定钢丝M4</v>
          </cell>
          <cell r="F454" t="str">
            <v>个</v>
          </cell>
          <cell r="G454">
            <v>0.60399999999999998</v>
          </cell>
        </row>
        <row r="455">
          <cell r="D455" t="str">
            <v>SHT0012112</v>
          </cell>
          <cell r="E455" t="str">
            <v>副边罩壳钢丝M3000</v>
          </cell>
          <cell r="F455" t="str">
            <v>个</v>
          </cell>
          <cell r="G455">
            <v>0.16</v>
          </cell>
        </row>
        <row r="456">
          <cell r="D456" t="str">
            <v>SHT0013145</v>
          </cell>
          <cell r="E456" t="str">
            <v>前升降拉簧1.3平台</v>
          </cell>
          <cell r="F456" t="str">
            <v>个</v>
          </cell>
          <cell r="G456">
            <v>1.2276</v>
          </cell>
        </row>
        <row r="457">
          <cell r="D457" t="str">
            <v>SHT0013146</v>
          </cell>
          <cell r="E457" t="str">
            <v>后升降拉簧1.3平台</v>
          </cell>
          <cell r="F457" t="str">
            <v>个</v>
          </cell>
          <cell r="G457">
            <v>1.6956</v>
          </cell>
        </row>
        <row r="458">
          <cell r="D458" t="str">
            <v>SLT0010193</v>
          </cell>
          <cell r="E458" t="str">
            <v>气管接线头固定钢丝</v>
          </cell>
          <cell r="F458" t="str">
            <v>个</v>
          </cell>
          <cell r="G458">
            <v>0.191</v>
          </cell>
        </row>
        <row r="459">
          <cell r="D459" t="str">
            <v>SLT0010335</v>
          </cell>
          <cell r="E459" t="str">
            <v>驾驶员侧翼支撑钢丝济南轻卡统帅</v>
          </cell>
          <cell r="F459" t="str">
            <v>个</v>
          </cell>
          <cell r="G459">
            <v>0.56499999999999995</v>
          </cell>
        </row>
        <row r="460">
          <cell r="D460" t="str">
            <v>SLT0010355</v>
          </cell>
          <cell r="E460" t="str">
            <v>副驾靠背侧翼支撑钢丝济南轻卡统帅</v>
          </cell>
          <cell r="F460" t="str">
            <v>个</v>
          </cell>
          <cell r="G460">
            <v>0.61199999999999999</v>
          </cell>
        </row>
        <row r="461">
          <cell r="D461" t="str">
            <v>SLT0010437</v>
          </cell>
          <cell r="E461" t="str">
            <v>副驾靠背头枕支撑杆济南轻卡统帅</v>
          </cell>
          <cell r="F461" t="str">
            <v>个</v>
          </cell>
          <cell r="G461">
            <v>1.327</v>
          </cell>
        </row>
        <row r="462">
          <cell r="D462" t="str">
            <v>SLT0010438</v>
          </cell>
          <cell r="E462" t="str">
            <v>副驾靠背头枕加强钢丝济南轻卡统帅</v>
          </cell>
          <cell r="F462" t="str">
            <v>个</v>
          </cell>
          <cell r="G462">
            <v>0.63300000000000001</v>
          </cell>
        </row>
        <row r="463">
          <cell r="D463" t="str">
            <v>BSP0010035</v>
          </cell>
          <cell r="E463" t="str">
            <v>靠背回位簧重汽T5-2.0翻折</v>
          </cell>
          <cell r="F463" t="str">
            <v>个</v>
          </cell>
          <cell r="G463">
            <v>6.2729999999999997</v>
          </cell>
        </row>
        <row r="464">
          <cell r="D464" t="str">
            <v>REM0003411</v>
          </cell>
          <cell r="E464" t="str">
            <v>奥威弹簧(H6状态)</v>
          </cell>
          <cell r="F464" t="str">
            <v>个</v>
          </cell>
          <cell r="G464">
            <v>0.62</v>
          </cell>
        </row>
        <row r="465">
          <cell r="D465" t="str">
            <v>SCS0006414</v>
          </cell>
          <cell r="E465" t="str">
            <v>靠背左侧面套固定钢丝P203</v>
          </cell>
          <cell r="F465" t="str">
            <v>个</v>
          </cell>
          <cell r="G465">
            <v>0.43</v>
          </cell>
        </row>
        <row r="466">
          <cell r="D466" t="str">
            <v>SCS0006416</v>
          </cell>
          <cell r="E466" t="str">
            <v>靠背右侧面套固定钢丝P203</v>
          </cell>
          <cell r="F466" t="str">
            <v>个</v>
          </cell>
          <cell r="G466">
            <v>0.43</v>
          </cell>
        </row>
        <row r="467">
          <cell r="D467" t="str">
            <v>SCS0007057</v>
          </cell>
          <cell r="E467" t="str">
            <v>儿童座椅固定挂钩B40V后排坐垫</v>
          </cell>
          <cell r="F467" t="str">
            <v>个</v>
          </cell>
          <cell r="G467">
            <v>0.34200000000000003</v>
          </cell>
        </row>
        <row r="468">
          <cell r="D468" t="str">
            <v>SHT0001005</v>
          </cell>
          <cell r="E468" t="str">
            <v>涡簧H4A/X3000/一汽</v>
          </cell>
          <cell r="F468" t="str">
            <v>个</v>
          </cell>
          <cell r="G468">
            <v>3.6</v>
          </cell>
        </row>
        <row r="469">
          <cell r="D469" t="str">
            <v>SHT0011809</v>
          </cell>
          <cell r="E469" t="str">
            <v>仰角调节机构扭簧主驾座框</v>
          </cell>
          <cell r="F469" t="str">
            <v>个</v>
          </cell>
          <cell r="G469">
            <v>0.188</v>
          </cell>
        </row>
        <row r="470">
          <cell r="D470" t="str">
            <v>SHT0012006</v>
          </cell>
          <cell r="E470" t="str">
            <v>升降锁止轴安装卡箍1.3平台</v>
          </cell>
          <cell r="F470" t="str">
            <v>个</v>
          </cell>
          <cell r="G470">
            <v>0.3</v>
          </cell>
        </row>
        <row r="471">
          <cell r="D471" t="str">
            <v>SHT0012034</v>
          </cell>
          <cell r="E471" t="str">
            <v>气阀固定钢丝1.3平台</v>
          </cell>
          <cell r="F471" t="str">
            <v>个</v>
          </cell>
          <cell r="G471">
            <v>0.35</v>
          </cell>
        </row>
        <row r="472">
          <cell r="D472" t="str">
            <v>SHT0012049</v>
          </cell>
          <cell r="E472" t="str">
            <v>拉簧固定钢丝1.3平台</v>
          </cell>
          <cell r="F472" t="str">
            <v>个</v>
          </cell>
          <cell r="G472">
            <v>0.09</v>
          </cell>
        </row>
        <row r="473">
          <cell r="D473" t="str">
            <v>SHT0012110</v>
          </cell>
          <cell r="E473" t="str">
            <v>主边罩壳固定钢丝M4</v>
          </cell>
          <cell r="F473" t="str">
            <v>个</v>
          </cell>
          <cell r="G473">
            <v>0.60399999999999998</v>
          </cell>
        </row>
        <row r="474">
          <cell r="D474" t="str">
            <v>SHT0012112</v>
          </cell>
          <cell r="E474" t="str">
            <v>副边罩壳钢丝M3000</v>
          </cell>
          <cell r="F474" t="str">
            <v>个</v>
          </cell>
          <cell r="G474">
            <v>0.16</v>
          </cell>
        </row>
        <row r="475">
          <cell r="D475" t="str">
            <v>SHT0013145</v>
          </cell>
          <cell r="E475" t="str">
            <v>前升降拉簧1.3平台</v>
          </cell>
          <cell r="F475" t="str">
            <v>个</v>
          </cell>
          <cell r="G475">
            <v>1.2276</v>
          </cell>
        </row>
        <row r="476">
          <cell r="D476" t="str">
            <v>SHT0013146</v>
          </cell>
          <cell r="E476" t="str">
            <v>后升降拉簧1.3平台</v>
          </cell>
          <cell r="F476" t="str">
            <v>个</v>
          </cell>
          <cell r="G476">
            <v>1.6956</v>
          </cell>
        </row>
        <row r="477">
          <cell r="D477" t="str">
            <v>SHT0015136</v>
          </cell>
          <cell r="E477" t="str">
            <v>扭力弹簧转盘</v>
          </cell>
          <cell r="F477" t="str">
            <v>个</v>
          </cell>
          <cell r="G477">
            <v>1.8520000000000001</v>
          </cell>
        </row>
        <row r="478">
          <cell r="D478" t="str">
            <v>SHT0015886</v>
          </cell>
          <cell r="E478" t="str">
            <v>侧翼支撑上安装钢丝H4-2.2</v>
          </cell>
          <cell r="F478" t="str">
            <v>个</v>
          </cell>
          <cell r="G478">
            <v>0.88400000000000001</v>
          </cell>
        </row>
        <row r="479">
          <cell r="D479" t="str">
            <v>SLT0010193</v>
          </cell>
          <cell r="E479" t="str">
            <v>气管接线头固定钢丝</v>
          </cell>
          <cell r="F479" t="str">
            <v>个</v>
          </cell>
          <cell r="G479">
            <v>0.191</v>
          </cell>
        </row>
        <row r="480">
          <cell r="D480" t="str">
            <v>SLT0010335</v>
          </cell>
          <cell r="E480" t="str">
            <v>驾驶员侧翼支撑钢丝济南轻卡统帅</v>
          </cell>
          <cell r="F480" t="str">
            <v>个</v>
          </cell>
          <cell r="G480">
            <v>0.56499999999999995</v>
          </cell>
        </row>
        <row r="481">
          <cell r="D481" t="str">
            <v>SLT0010355</v>
          </cell>
          <cell r="E481" t="str">
            <v>副驾靠背侧翼支撑钢丝济南轻卡统帅</v>
          </cell>
          <cell r="F481" t="str">
            <v>个</v>
          </cell>
          <cell r="G481">
            <v>0.61199999999999999</v>
          </cell>
        </row>
        <row r="482">
          <cell r="D482" t="str">
            <v>SLT0010437</v>
          </cell>
          <cell r="E482" t="str">
            <v>副驾靠背头枕支撑杆济南轻卡统帅</v>
          </cell>
          <cell r="F482" t="str">
            <v>个</v>
          </cell>
          <cell r="G482">
            <v>1.327</v>
          </cell>
        </row>
        <row r="483">
          <cell r="D483" t="str">
            <v>SLT0010438</v>
          </cell>
          <cell r="E483" t="str">
            <v>副驾靠背头枕加强钢丝济南轻卡统帅</v>
          </cell>
          <cell r="F483" t="str">
            <v>个</v>
          </cell>
          <cell r="G483">
            <v>0.63300000000000001</v>
          </cell>
        </row>
        <row r="484">
          <cell r="D484" t="str">
            <v>BSP0000047</v>
          </cell>
          <cell r="E484" t="str">
            <v>盘簧1.0平台</v>
          </cell>
          <cell r="F484" t="str">
            <v>个</v>
          </cell>
          <cell r="G484">
            <v>3.2</v>
          </cell>
        </row>
        <row r="485">
          <cell r="D485" t="str">
            <v>BSP0010035</v>
          </cell>
          <cell r="E485" t="str">
            <v>靠背回位簧重汽T5-2.0翻折</v>
          </cell>
          <cell r="F485" t="str">
            <v>个</v>
          </cell>
          <cell r="G485">
            <v>6.2729999999999997</v>
          </cell>
        </row>
        <row r="486">
          <cell r="D486" t="str">
            <v>REM0003411</v>
          </cell>
          <cell r="E486" t="str">
            <v>奥威弹簧(H6状态)</v>
          </cell>
          <cell r="F486" t="str">
            <v>个</v>
          </cell>
          <cell r="G486">
            <v>0.62</v>
          </cell>
        </row>
        <row r="487">
          <cell r="D487" t="str">
            <v>SCS0006414</v>
          </cell>
          <cell r="E487" t="str">
            <v>靠背左侧面套固定钢丝P203</v>
          </cell>
          <cell r="F487" t="str">
            <v>个</v>
          </cell>
          <cell r="G487">
            <v>0.43</v>
          </cell>
        </row>
        <row r="488">
          <cell r="D488" t="str">
            <v>SCS0006416</v>
          </cell>
          <cell r="E488" t="str">
            <v>靠背右侧面套固定钢丝P203</v>
          </cell>
          <cell r="F488" t="str">
            <v>个</v>
          </cell>
          <cell r="G488">
            <v>0.43</v>
          </cell>
        </row>
        <row r="489">
          <cell r="D489" t="str">
            <v>SCS0007568</v>
          </cell>
          <cell r="E489" t="str">
            <v>扣手底座固定钢丝</v>
          </cell>
          <cell r="F489" t="str">
            <v>个</v>
          </cell>
          <cell r="G489">
            <v>0.16800000000000001</v>
          </cell>
        </row>
        <row r="490">
          <cell r="D490" t="str">
            <v>SCS0012140</v>
          </cell>
          <cell r="E490" t="str">
            <v>电加热线束固定支架1</v>
          </cell>
          <cell r="F490" t="str">
            <v>个</v>
          </cell>
          <cell r="G490">
            <v>0.74</v>
          </cell>
        </row>
        <row r="491">
          <cell r="D491" t="str">
            <v>SCS0012152</v>
          </cell>
          <cell r="E491" t="str">
            <v>六分座钢丝焊接总成</v>
          </cell>
          <cell r="F491" t="str">
            <v>个</v>
          </cell>
          <cell r="G491">
            <v>9.7988</v>
          </cell>
        </row>
        <row r="492">
          <cell r="D492" t="str">
            <v>SCS0012153</v>
          </cell>
          <cell r="E492" t="str">
            <v>四分座钢丝焊接总成</v>
          </cell>
          <cell r="F492" t="str">
            <v>个</v>
          </cell>
          <cell r="G492">
            <v>7.1897000000000002</v>
          </cell>
        </row>
        <row r="493">
          <cell r="D493" t="str">
            <v>SHT0011809</v>
          </cell>
          <cell r="E493" t="str">
            <v>仰角调节机构扭簧主驾座框</v>
          </cell>
          <cell r="F493" t="str">
            <v>个</v>
          </cell>
          <cell r="G493">
            <v>0.188</v>
          </cell>
        </row>
        <row r="494">
          <cell r="D494" t="str">
            <v>SHT0012006</v>
          </cell>
          <cell r="E494" t="str">
            <v>升降锁止轴安装卡箍1.3平台</v>
          </cell>
          <cell r="F494" t="str">
            <v>个</v>
          </cell>
          <cell r="G494">
            <v>0.3</v>
          </cell>
        </row>
        <row r="495">
          <cell r="D495" t="str">
            <v>SHT0012034</v>
          </cell>
          <cell r="E495" t="str">
            <v>气阀固定钢丝1.3平台</v>
          </cell>
          <cell r="F495" t="str">
            <v>个</v>
          </cell>
          <cell r="G495">
            <v>0.35</v>
          </cell>
        </row>
        <row r="496">
          <cell r="D496" t="str">
            <v>SHT0012049</v>
          </cell>
          <cell r="E496" t="str">
            <v>拉簧固定钢丝1.3平台</v>
          </cell>
          <cell r="F496" t="str">
            <v>个</v>
          </cell>
          <cell r="G496">
            <v>0.09</v>
          </cell>
        </row>
        <row r="497">
          <cell r="D497" t="str">
            <v>SHT0012110</v>
          </cell>
          <cell r="E497" t="str">
            <v>主边罩壳固定钢丝M4</v>
          </cell>
          <cell r="F497" t="str">
            <v>个</v>
          </cell>
          <cell r="G497">
            <v>0.60399999999999998</v>
          </cell>
        </row>
        <row r="498">
          <cell r="D498" t="str">
            <v>SHT0012112</v>
          </cell>
          <cell r="E498" t="str">
            <v>副边罩壳钢丝M3000</v>
          </cell>
          <cell r="F498" t="str">
            <v>个</v>
          </cell>
          <cell r="G498">
            <v>0.16</v>
          </cell>
        </row>
        <row r="499">
          <cell r="D499" t="str">
            <v>SHT0013145</v>
          </cell>
          <cell r="E499" t="str">
            <v>前升降拉簧1.3平台</v>
          </cell>
          <cell r="F499" t="str">
            <v>个</v>
          </cell>
          <cell r="G499">
            <v>1.2276</v>
          </cell>
        </row>
        <row r="500">
          <cell r="D500" t="str">
            <v>SHT0013146</v>
          </cell>
          <cell r="E500" t="str">
            <v>后升降拉簧1.3平台</v>
          </cell>
          <cell r="F500" t="str">
            <v>个</v>
          </cell>
          <cell r="G500">
            <v>1.6956</v>
          </cell>
        </row>
        <row r="501">
          <cell r="D501" t="str">
            <v>SHT0015886</v>
          </cell>
          <cell r="E501" t="str">
            <v>侧翼支撑上安装钢丝H4-2.2</v>
          </cell>
          <cell r="F501" t="str">
            <v>个</v>
          </cell>
          <cell r="G501">
            <v>0.88400000000000001</v>
          </cell>
        </row>
        <row r="502">
          <cell r="D502" t="str">
            <v>SHT0016644</v>
          </cell>
          <cell r="E502" t="str">
            <v>侧翼支撑上安装钢丝J6P经典版</v>
          </cell>
          <cell r="F502" t="str">
            <v>个</v>
          </cell>
          <cell r="G502">
            <v>0.81200000000000006</v>
          </cell>
        </row>
        <row r="503">
          <cell r="D503" t="str">
            <v>SLT0002546</v>
          </cell>
          <cell r="E503" t="str">
            <v>靠背调角器涡簧J7F/虎V靠背骨架</v>
          </cell>
          <cell r="F503" t="str">
            <v>个</v>
          </cell>
          <cell r="G503">
            <v>1.556</v>
          </cell>
        </row>
        <row r="504">
          <cell r="D504" t="str">
            <v>SLT0010193</v>
          </cell>
          <cell r="E504" t="str">
            <v>气管接线头固定钢丝</v>
          </cell>
          <cell r="F504" t="str">
            <v>个</v>
          </cell>
          <cell r="G504">
            <v>0.191</v>
          </cell>
        </row>
        <row r="505">
          <cell r="D505" t="str">
            <v>SLT0010335</v>
          </cell>
          <cell r="E505" t="str">
            <v>驾驶员侧翼支撑钢丝济南轻卡统帅</v>
          </cell>
          <cell r="F505" t="str">
            <v>个</v>
          </cell>
          <cell r="G505">
            <v>0.56499999999999995</v>
          </cell>
        </row>
        <row r="506">
          <cell r="D506" t="str">
            <v>SLT0010355</v>
          </cell>
          <cell r="E506" t="str">
            <v>副驾靠背侧翼支撑钢丝济南轻卡统帅</v>
          </cell>
          <cell r="F506" t="str">
            <v>个</v>
          </cell>
          <cell r="G506">
            <v>0.61199999999999999</v>
          </cell>
        </row>
        <row r="507">
          <cell r="D507" t="str">
            <v>SLT0010437</v>
          </cell>
          <cell r="E507" t="str">
            <v>副驾靠背头枕支撑杆济南轻卡统帅</v>
          </cell>
          <cell r="F507" t="str">
            <v>个</v>
          </cell>
          <cell r="G507">
            <v>1.327</v>
          </cell>
        </row>
        <row r="508">
          <cell r="D508" t="str">
            <v>SLT0010438</v>
          </cell>
          <cell r="E508" t="str">
            <v>副驾靠背头枕加强钢丝济南轻卡统帅</v>
          </cell>
          <cell r="F508" t="str">
            <v>个</v>
          </cell>
          <cell r="G508">
            <v>0.63300000000000001</v>
          </cell>
        </row>
        <row r="509">
          <cell r="D509" t="str">
            <v>SLT0010675</v>
          </cell>
          <cell r="E509" t="str">
            <v>左侧护板上固定钢丝一起轻卡减震</v>
          </cell>
          <cell r="F509" t="str">
            <v>个</v>
          </cell>
          <cell r="G509">
            <v>0.93600000000000005</v>
          </cell>
        </row>
        <row r="510">
          <cell r="D510" t="str">
            <v>SLT0010676</v>
          </cell>
          <cell r="E510" t="str">
            <v>左侧护板前加强钢丝一汽轻卡减震</v>
          </cell>
          <cell r="F510" t="str">
            <v>个</v>
          </cell>
          <cell r="G510">
            <v>0.191</v>
          </cell>
        </row>
        <row r="511">
          <cell r="D511" t="str">
            <v>SLT0010677</v>
          </cell>
          <cell r="E511" t="str">
            <v>左侧护板后加强钢丝一汽轻卡减震</v>
          </cell>
          <cell r="F511" t="str">
            <v>个</v>
          </cell>
          <cell r="G511">
            <v>0.17499999999999999</v>
          </cell>
        </row>
        <row r="512">
          <cell r="D512" t="str">
            <v>SLT0011262</v>
          </cell>
          <cell r="E512" t="str">
            <v>左侧大护板上固定钢丝欧马可</v>
          </cell>
          <cell r="F512" t="str">
            <v>个</v>
          </cell>
          <cell r="G512">
            <v>0.748</v>
          </cell>
        </row>
        <row r="513">
          <cell r="D513" t="str">
            <v>SLT0011263</v>
          </cell>
          <cell r="E513" t="str">
            <v>左侧大护板加强钢丝欧马可</v>
          </cell>
          <cell r="F513" t="str">
            <v>个</v>
          </cell>
          <cell r="G513">
            <v>0.219</v>
          </cell>
        </row>
        <row r="514">
          <cell r="D514" t="str">
            <v>SLT0011265</v>
          </cell>
          <cell r="E514" t="str">
            <v>左侧大护板下固定钢丝欧马可</v>
          </cell>
          <cell r="F514" t="str">
            <v>个</v>
          </cell>
          <cell r="G514">
            <v>0.56899999999999995</v>
          </cell>
        </row>
        <row r="515">
          <cell r="D515" t="str">
            <v>SLT0011319</v>
          </cell>
          <cell r="E515" t="str">
            <v>座垫面套卡接钢丝欧马可</v>
          </cell>
          <cell r="F515" t="str">
            <v>个</v>
          </cell>
          <cell r="G515">
            <v>0.374</v>
          </cell>
        </row>
        <row r="516">
          <cell r="D516" t="str">
            <v>SLT0011689</v>
          </cell>
          <cell r="E516" t="str">
            <v>主驾背板支撑钢丝焊接总成</v>
          </cell>
          <cell r="F516" t="str">
            <v>个</v>
          </cell>
          <cell r="G516">
            <v>3.7069999999999999</v>
          </cell>
        </row>
        <row r="517">
          <cell r="D517" t="str">
            <v>SLT0011690</v>
          </cell>
          <cell r="E517" t="str">
            <v>副驾背板支撑钢丝焊接总成</v>
          </cell>
          <cell r="F517" t="str">
            <v>个</v>
          </cell>
          <cell r="G517">
            <v>2.1059999999999999</v>
          </cell>
        </row>
        <row r="518">
          <cell r="D518" t="str">
            <v>SLT0011697</v>
          </cell>
          <cell r="E518" t="str">
            <v>副驾小背焊接钢丝总成</v>
          </cell>
          <cell r="F518" t="str">
            <v>个</v>
          </cell>
          <cell r="G518">
            <v>2.1219999999999999</v>
          </cell>
        </row>
        <row r="519">
          <cell r="D519" t="str">
            <v>SLT0011699</v>
          </cell>
          <cell r="E519" t="str">
            <v>副驾小背焊接钢丝总成</v>
          </cell>
          <cell r="F519" t="str">
            <v>个</v>
          </cell>
          <cell r="G519">
            <v>2.0510000000000002</v>
          </cell>
        </row>
        <row r="520">
          <cell r="D520" t="str">
            <v>BSP0010035</v>
          </cell>
          <cell r="E520" t="str">
            <v>靠背回位簧重汽T5-2.0翻折</v>
          </cell>
          <cell r="F520" t="str">
            <v>个</v>
          </cell>
          <cell r="G520">
            <v>6.2729999999999997</v>
          </cell>
        </row>
        <row r="521">
          <cell r="D521" t="str">
            <v>SCS0006414</v>
          </cell>
          <cell r="E521" t="str">
            <v>靠背左侧面套固定钢丝P203</v>
          </cell>
          <cell r="F521" t="str">
            <v>个</v>
          </cell>
          <cell r="G521">
            <v>0.43</v>
          </cell>
        </row>
        <row r="522">
          <cell r="D522" t="str">
            <v>SCS0006416</v>
          </cell>
          <cell r="E522" t="str">
            <v>靠背右侧面套固定钢丝P203</v>
          </cell>
          <cell r="F522" t="str">
            <v>个</v>
          </cell>
          <cell r="G522">
            <v>0.43</v>
          </cell>
        </row>
        <row r="523">
          <cell r="D523" t="str">
            <v>SCS0007568</v>
          </cell>
          <cell r="E523" t="str">
            <v>扣手底座固定钢丝</v>
          </cell>
          <cell r="F523" t="str">
            <v>个</v>
          </cell>
          <cell r="G523">
            <v>0.16800000000000001</v>
          </cell>
        </row>
        <row r="524">
          <cell r="D524" t="str">
            <v>SCS0012140</v>
          </cell>
          <cell r="E524" t="str">
            <v>电加热线束固定支架1</v>
          </cell>
          <cell r="F524" t="str">
            <v>个</v>
          </cell>
          <cell r="G524">
            <v>0.74</v>
          </cell>
        </row>
        <row r="525">
          <cell r="D525" t="str">
            <v>SCS0012152</v>
          </cell>
          <cell r="E525" t="str">
            <v>六分座钢丝焊接总成</v>
          </cell>
          <cell r="F525" t="str">
            <v>个</v>
          </cell>
          <cell r="G525">
            <v>9.7988</v>
          </cell>
        </row>
        <row r="526">
          <cell r="D526" t="str">
            <v>SCS0012153</v>
          </cell>
          <cell r="E526" t="str">
            <v>四分座钢丝焊接总成</v>
          </cell>
          <cell r="F526" t="str">
            <v>个</v>
          </cell>
          <cell r="G526">
            <v>7.1897000000000002</v>
          </cell>
        </row>
        <row r="527">
          <cell r="D527" t="str">
            <v>SHT0001005</v>
          </cell>
          <cell r="E527" t="str">
            <v>涡簧H4A/X3000/一汽</v>
          </cell>
          <cell r="F527" t="str">
            <v>个</v>
          </cell>
          <cell r="G527">
            <v>3.6</v>
          </cell>
        </row>
        <row r="528">
          <cell r="D528" t="str">
            <v>SHT0011809</v>
          </cell>
          <cell r="E528" t="str">
            <v>仰角调节机构扭簧主驾座框</v>
          </cell>
          <cell r="F528" t="str">
            <v>个</v>
          </cell>
          <cell r="G528">
            <v>0.188</v>
          </cell>
        </row>
        <row r="529">
          <cell r="D529" t="str">
            <v>SHT0012006</v>
          </cell>
          <cell r="E529" t="str">
            <v>升降锁止轴安装卡箍1.3平台</v>
          </cell>
          <cell r="F529" t="str">
            <v>个</v>
          </cell>
          <cell r="G529">
            <v>0.3</v>
          </cell>
        </row>
        <row r="530">
          <cell r="D530" t="str">
            <v>SHT0012034</v>
          </cell>
          <cell r="E530" t="str">
            <v>气阀固定钢丝1.3平台</v>
          </cell>
          <cell r="F530" t="str">
            <v>个</v>
          </cell>
          <cell r="G530">
            <v>0.35</v>
          </cell>
        </row>
        <row r="531">
          <cell r="D531" t="str">
            <v>SHT0012049</v>
          </cell>
          <cell r="E531" t="str">
            <v>拉簧固定钢丝1.3平台</v>
          </cell>
          <cell r="F531" t="str">
            <v>个</v>
          </cell>
          <cell r="G531">
            <v>0.09</v>
          </cell>
        </row>
        <row r="532">
          <cell r="D532" t="str">
            <v>SHT0012110</v>
          </cell>
          <cell r="E532" t="str">
            <v>主边罩壳固定钢丝M4</v>
          </cell>
          <cell r="F532" t="str">
            <v>个</v>
          </cell>
          <cell r="G532">
            <v>0.60399999999999998</v>
          </cell>
        </row>
        <row r="533">
          <cell r="D533" t="str">
            <v>SHT0012112</v>
          </cell>
          <cell r="E533" t="str">
            <v>副边罩壳钢丝M3000</v>
          </cell>
          <cell r="F533" t="str">
            <v>个</v>
          </cell>
          <cell r="G533">
            <v>0.16</v>
          </cell>
        </row>
        <row r="534">
          <cell r="D534" t="str">
            <v>SHT0013145</v>
          </cell>
          <cell r="E534" t="str">
            <v>前升降拉簧1.3平台</v>
          </cell>
          <cell r="F534" t="str">
            <v>个</v>
          </cell>
          <cell r="G534">
            <v>1.2276</v>
          </cell>
        </row>
        <row r="535">
          <cell r="D535" t="str">
            <v>SHT0013146</v>
          </cell>
          <cell r="E535" t="str">
            <v>后升降拉簧1.3平台</v>
          </cell>
          <cell r="F535" t="str">
            <v>个</v>
          </cell>
          <cell r="G535">
            <v>1.6956</v>
          </cell>
        </row>
        <row r="536">
          <cell r="D536" t="str">
            <v>SHT0016644</v>
          </cell>
          <cell r="E536" t="str">
            <v>侧翼支撑上安装钢丝J6P经典版</v>
          </cell>
          <cell r="F536" t="str">
            <v>个</v>
          </cell>
          <cell r="G536">
            <v>0.81200000000000006</v>
          </cell>
        </row>
        <row r="537">
          <cell r="D537" t="str">
            <v>SLT0002546</v>
          </cell>
          <cell r="E537" t="str">
            <v>靠背调角器涡簧J7F/虎V靠背骨架</v>
          </cell>
          <cell r="F537" t="str">
            <v>个</v>
          </cell>
          <cell r="G537">
            <v>1.556</v>
          </cell>
        </row>
        <row r="538">
          <cell r="D538" t="str">
            <v>SLT0010193</v>
          </cell>
          <cell r="E538" t="str">
            <v>气管接线头固定钢丝</v>
          </cell>
          <cell r="F538" t="str">
            <v>个</v>
          </cell>
          <cell r="G538">
            <v>0.191</v>
          </cell>
        </row>
        <row r="539">
          <cell r="D539" t="str">
            <v>SLT0010335</v>
          </cell>
          <cell r="E539" t="str">
            <v>驾驶员侧翼支撑钢丝济南轻卡统帅</v>
          </cell>
          <cell r="F539" t="str">
            <v>个</v>
          </cell>
          <cell r="G539">
            <v>0.56499999999999995</v>
          </cell>
        </row>
        <row r="540">
          <cell r="D540" t="str">
            <v>SLT0010355</v>
          </cell>
          <cell r="E540" t="str">
            <v>副驾靠背侧翼支撑钢丝济南轻卡统帅</v>
          </cell>
          <cell r="F540" t="str">
            <v>个</v>
          </cell>
          <cell r="G540">
            <v>0.61199999999999999</v>
          </cell>
        </row>
        <row r="541">
          <cell r="D541" t="str">
            <v>SLT0010437</v>
          </cell>
          <cell r="E541" t="str">
            <v>副驾靠背头枕支撑杆济南轻卡统帅</v>
          </cell>
          <cell r="F541" t="str">
            <v>个</v>
          </cell>
          <cell r="G541">
            <v>1.327</v>
          </cell>
        </row>
        <row r="542">
          <cell r="D542" t="str">
            <v>SLT0010438</v>
          </cell>
          <cell r="E542" t="str">
            <v>副驾靠背头枕加强钢丝济南轻卡统帅</v>
          </cell>
          <cell r="F542" t="str">
            <v>个</v>
          </cell>
          <cell r="G542">
            <v>0.63300000000000001</v>
          </cell>
        </row>
        <row r="543">
          <cell r="D543" t="str">
            <v>SLT0010675</v>
          </cell>
          <cell r="E543" t="str">
            <v>左侧护板上固定钢丝一起轻卡减震</v>
          </cell>
          <cell r="F543" t="str">
            <v>个</v>
          </cell>
          <cell r="G543">
            <v>0.93600000000000005</v>
          </cell>
        </row>
        <row r="544">
          <cell r="D544" t="str">
            <v>SLT0010676</v>
          </cell>
          <cell r="E544" t="str">
            <v>左侧护板前加强钢丝一汽轻卡减震</v>
          </cell>
          <cell r="F544" t="str">
            <v>个</v>
          </cell>
          <cell r="G544">
            <v>0.191</v>
          </cell>
        </row>
        <row r="545">
          <cell r="D545" t="str">
            <v>SLT0010677</v>
          </cell>
          <cell r="E545" t="str">
            <v>左侧护板后加强钢丝一汽轻卡减震</v>
          </cell>
          <cell r="F545" t="str">
            <v>个</v>
          </cell>
          <cell r="G545">
            <v>0.17499999999999999</v>
          </cell>
        </row>
        <row r="546">
          <cell r="D546" t="str">
            <v>SLT0011262</v>
          </cell>
          <cell r="E546" t="str">
            <v>左侧大护板上固定钢丝欧马可</v>
          </cell>
          <cell r="F546" t="str">
            <v>个</v>
          </cell>
          <cell r="G546">
            <v>0.748</v>
          </cell>
        </row>
        <row r="547">
          <cell r="D547" t="str">
            <v>SLT0011263</v>
          </cell>
          <cell r="E547" t="str">
            <v>左侧大护板加强钢丝欧马可</v>
          </cell>
          <cell r="F547" t="str">
            <v>个</v>
          </cell>
          <cell r="G547">
            <v>0.219</v>
          </cell>
        </row>
        <row r="548">
          <cell r="D548" t="str">
            <v>SLT0011265</v>
          </cell>
          <cell r="E548" t="str">
            <v>左侧大护板下固定钢丝欧马可</v>
          </cell>
          <cell r="F548" t="str">
            <v>个</v>
          </cell>
          <cell r="G548">
            <v>0.56899999999999995</v>
          </cell>
        </row>
        <row r="549">
          <cell r="D549" t="str">
            <v>SLT0011319</v>
          </cell>
          <cell r="E549" t="str">
            <v>座垫面套卡接钢丝欧马可</v>
          </cell>
          <cell r="F549" t="str">
            <v>个</v>
          </cell>
          <cell r="G549">
            <v>0.374</v>
          </cell>
        </row>
        <row r="550">
          <cell r="D550" t="str">
            <v>SLT0011689</v>
          </cell>
          <cell r="E550" t="str">
            <v>主驾背板支撑钢丝焊接总成</v>
          </cell>
          <cell r="F550" t="str">
            <v>个</v>
          </cell>
          <cell r="G550">
            <v>3.7069999999999999</v>
          </cell>
        </row>
        <row r="551">
          <cell r="D551" t="str">
            <v>SLT0011690</v>
          </cell>
          <cell r="E551" t="str">
            <v>副驾背板支撑钢丝焊接总成</v>
          </cell>
          <cell r="F551" t="str">
            <v>个</v>
          </cell>
          <cell r="G551">
            <v>2.1059999999999999</v>
          </cell>
        </row>
        <row r="552">
          <cell r="D552" t="str">
            <v>SLT0011697</v>
          </cell>
          <cell r="E552" t="str">
            <v>副驾小背焊接钢丝总成</v>
          </cell>
          <cell r="F552" t="str">
            <v>个</v>
          </cell>
          <cell r="G552">
            <v>2.1219999999999999</v>
          </cell>
        </row>
        <row r="553">
          <cell r="D553" t="str">
            <v>SLT0011699</v>
          </cell>
          <cell r="E553" t="str">
            <v>副驾小背焊接钢丝总成</v>
          </cell>
          <cell r="F553" t="str">
            <v>个</v>
          </cell>
          <cell r="G553">
            <v>2.0510000000000002</v>
          </cell>
        </row>
        <row r="554">
          <cell r="D554" t="str">
            <v>REM0003411</v>
          </cell>
          <cell r="E554" t="str">
            <v>奥威弹簧(H6状态)</v>
          </cell>
          <cell r="F554" t="str">
            <v>个</v>
          </cell>
          <cell r="G554">
            <v>0.62</v>
          </cell>
        </row>
        <row r="555">
          <cell r="D555" t="str">
            <v>SCS0006414</v>
          </cell>
          <cell r="E555" t="str">
            <v>靠背左侧面套固定钢丝P203</v>
          </cell>
          <cell r="F555" t="str">
            <v>个</v>
          </cell>
          <cell r="G555">
            <v>0.43</v>
          </cell>
        </row>
        <row r="556">
          <cell r="D556" t="str">
            <v>SCS0006416</v>
          </cell>
          <cell r="E556" t="str">
            <v>靠背右侧面套固定钢丝P203</v>
          </cell>
          <cell r="F556" t="str">
            <v>个</v>
          </cell>
          <cell r="G556">
            <v>0.43</v>
          </cell>
        </row>
        <row r="557">
          <cell r="D557" t="str">
            <v>SHT0001935</v>
          </cell>
          <cell r="E557" t="str">
            <v>侧翼支撑上安装钢丝F3000</v>
          </cell>
          <cell r="F557" t="str">
            <v>个</v>
          </cell>
          <cell r="G557">
            <v>0</v>
          </cell>
        </row>
        <row r="558">
          <cell r="D558" t="str">
            <v>SHT0012006</v>
          </cell>
          <cell r="E558" t="str">
            <v>升降锁止轴安装卡箍1.3平台</v>
          </cell>
          <cell r="F558" t="str">
            <v>个</v>
          </cell>
          <cell r="G558">
            <v>0.3</v>
          </cell>
        </row>
        <row r="559">
          <cell r="D559" t="str">
            <v>SHT0012034</v>
          </cell>
          <cell r="E559" t="str">
            <v>气阀固定钢丝1.3平台</v>
          </cell>
          <cell r="F559" t="str">
            <v>个</v>
          </cell>
          <cell r="G559">
            <v>0.35</v>
          </cell>
        </row>
        <row r="560">
          <cell r="D560" t="str">
            <v>SHT0012049</v>
          </cell>
          <cell r="E560" t="str">
            <v>拉簧固定钢丝1.3平台</v>
          </cell>
          <cell r="F560" t="str">
            <v>个</v>
          </cell>
          <cell r="G560">
            <v>0.09</v>
          </cell>
        </row>
        <row r="561">
          <cell r="D561" t="str">
            <v>SHT0012110</v>
          </cell>
          <cell r="E561" t="str">
            <v>主边罩壳固定钢丝M4</v>
          </cell>
          <cell r="F561" t="str">
            <v>个</v>
          </cell>
          <cell r="G561">
            <v>0.60399999999999998</v>
          </cell>
        </row>
        <row r="562">
          <cell r="D562" t="str">
            <v>SHT0012112</v>
          </cell>
          <cell r="E562" t="str">
            <v>副边罩壳钢丝M3000</v>
          </cell>
          <cell r="F562" t="str">
            <v>个</v>
          </cell>
          <cell r="G562">
            <v>0.16</v>
          </cell>
        </row>
        <row r="563">
          <cell r="D563" t="str">
            <v>SHT0013145</v>
          </cell>
          <cell r="E563" t="str">
            <v>前升降拉簧1.3平台</v>
          </cell>
          <cell r="F563" t="str">
            <v>个</v>
          </cell>
          <cell r="G563">
            <v>1.2276</v>
          </cell>
        </row>
        <row r="564">
          <cell r="D564" t="str">
            <v>SHT0013146</v>
          </cell>
          <cell r="E564" t="str">
            <v>后升降拉簧1.3平台</v>
          </cell>
          <cell r="F564" t="str">
            <v>个</v>
          </cell>
          <cell r="G564">
            <v>1.6956</v>
          </cell>
        </row>
        <row r="565">
          <cell r="D565" t="str">
            <v>SHT0016644</v>
          </cell>
          <cell r="E565" t="str">
            <v>侧翼支撑上安装钢丝J6P经典版</v>
          </cell>
          <cell r="F565" t="str">
            <v>个</v>
          </cell>
          <cell r="G565">
            <v>0.81200000000000006</v>
          </cell>
        </row>
        <row r="566">
          <cell r="D566" t="str">
            <v>SLT0010193</v>
          </cell>
          <cell r="E566" t="str">
            <v>气管接线头固定钢丝</v>
          </cell>
          <cell r="F566" t="str">
            <v>个</v>
          </cell>
          <cell r="G566">
            <v>0.191</v>
          </cell>
        </row>
        <row r="567">
          <cell r="D567" t="str">
            <v>SLT0010335</v>
          </cell>
          <cell r="E567" t="str">
            <v>驾驶员侧翼支撑钢丝济南轻卡统帅</v>
          </cell>
          <cell r="F567" t="str">
            <v>个</v>
          </cell>
          <cell r="G567">
            <v>0.56499999999999995</v>
          </cell>
        </row>
        <row r="568">
          <cell r="D568" t="str">
            <v>SLT0010355</v>
          </cell>
          <cell r="E568" t="str">
            <v>副驾靠背侧翼支撑钢丝济南轻卡统帅</v>
          </cell>
          <cell r="F568" t="str">
            <v>个</v>
          </cell>
          <cell r="G568">
            <v>0.61199999999999999</v>
          </cell>
        </row>
        <row r="569">
          <cell r="D569" t="str">
            <v>SLT0010437</v>
          </cell>
          <cell r="E569" t="str">
            <v>副驾靠背头枕支撑杆济南轻卡统帅</v>
          </cell>
          <cell r="F569" t="str">
            <v>个</v>
          </cell>
          <cell r="G569">
            <v>1.327</v>
          </cell>
        </row>
        <row r="570">
          <cell r="D570" t="str">
            <v>SLT0010438</v>
          </cell>
          <cell r="E570" t="str">
            <v>副驾靠背头枕加强钢丝济南轻卡统帅</v>
          </cell>
          <cell r="F570" t="str">
            <v>个</v>
          </cell>
          <cell r="G570">
            <v>0.63300000000000001</v>
          </cell>
        </row>
        <row r="571">
          <cell r="D571" t="str">
            <v>SLT0011262</v>
          </cell>
          <cell r="E571" t="str">
            <v>左侧大护板上固定钢丝欧马可</v>
          </cell>
          <cell r="F571" t="str">
            <v>个</v>
          </cell>
          <cell r="G571">
            <v>0.748</v>
          </cell>
        </row>
        <row r="572">
          <cell r="D572" t="str">
            <v>SLT0011263</v>
          </cell>
          <cell r="E572" t="str">
            <v>左侧大护板加强钢丝欧马可</v>
          </cell>
          <cell r="F572" t="str">
            <v>个</v>
          </cell>
          <cell r="G572">
            <v>0.219</v>
          </cell>
        </row>
        <row r="573">
          <cell r="D573" t="str">
            <v>SLT0011265</v>
          </cell>
          <cell r="E573" t="str">
            <v>左侧大护板下固定钢丝欧马可</v>
          </cell>
          <cell r="F573" t="str">
            <v>个</v>
          </cell>
          <cell r="G573">
            <v>0.56899999999999995</v>
          </cell>
        </row>
        <row r="574">
          <cell r="D574" t="str">
            <v>SLT0011689</v>
          </cell>
          <cell r="E574" t="str">
            <v>主驾背板支撑钢丝焊接总成</v>
          </cell>
          <cell r="F574" t="str">
            <v>个</v>
          </cell>
          <cell r="G574">
            <v>3.7069999999999999</v>
          </cell>
        </row>
        <row r="575">
          <cell r="D575" t="str">
            <v>SLT0011690</v>
          </cell>
          <cell r="E575" t="str">
            <v>副驾背板支撑钢丝焊接总成</v>
          </cell>
          <cell r="F575" t="str">
            <v>个</v>
          </cell>
          <cell r="G575">
            <v>2.1059999999999999</v>
          </cell>
        </row>
        <row r="576">
          <cell r="D576" t="str">
            <v>SLT0011697</v>
          </cell>
          <cell r="E576" t="str">
            <v>副驾小背焊接钢丝总成</v>
          </cell>
          <cell r="F576" t="str">
            <v>个</v>
          </cell>
          <cell r="G576">
            <v>2.1219999999999999</v>
          </cell>
        </row>
        <row r="577">
          <cell r="D577" t="str">
            <v>SLT0011699</v>
          </cell>
          <cell r="E577" t="str">
            <v>副驾小背焊接钢丝总成</v>
          </cell>
          <cell r="F577" t="str">
            <v>个</v>
          </cell>
          <cell r="G577">
            <v>2.0510000000000002</v>
          </cell>
        </row>
        <row r="578">
          <cell r="D578" t="str">
            <v>BSP0000047</v>
          </cell>
          <cell r="E578" t="str">
            <v>盘簧1.0平台</v>
          </cell>
          <cell r="F578" t="str">
            <v>个</v>
          </cell>
          <cell r="G578">
            <v>3.2</v>
          </cell>
        </row>
        <row r="579">
          <cell r="D579" t="str">
            <v>BSP0000089</v>
          </cell>
          <cell r="E579" t="str">
            <v>调角手柄复位簧P203</v>
          </cell>
          <cell r="F579" t="str">
            <v>个</v>
          </cell>
          <cell r="G579">
            <v>0</v>
          </cell>
        </row>
        <row r="580">
          <cell r="D580" t="str">
            <v>BSP0010035</v>
          </cell>
          <cell r="E580" t="str">
            <v>靠背回位簧重汽T5-2.0翻折</v>
          </cell>
          <cell r="F580" t="str">
            <v>个</v>
          </cell>
          <cell r="G580">
            <v>6.2729999999999997</v>
          </cell>
        </row>
        <row r="581">
          <cell r="D581" t="str">
            <v>BSP0010056</v>
          </cell>
          <cell r="E581" t="str">
            <v>防护弹簧150mm长</v>
          </cell>
          <cell r="F581" t="str">
            <v>个</v>
          </cell>
          <cell r="G581">
            <v>0</v>
          </cell>
        </row>
        <row r="582">
          <cell r="D582" t="str">
            <v>REM0003411</v>
          </cell>
          <cell r="E582" t="str">
            <v>奥威弹簧(H6状态)</v>
          </cell>
          <cell r="F582" t="str">
            <v>个</v>
          </cell>
          <cell r="G582">
            <v>0.62</v>
          </cell>
        </row>
        <row r="583">
          <cell r="D583" t="str">
            <v>SCS0006414</v>
          </cell>
          <cell r="E583" t="str">
            <v>靠背左侧面套固定钢丝P203</v>
          </cell>
          <cell r="F583" t="str">
            <v>个</v>
          </cell>
          <cell r="G583">
            <v>0.43</v>
          </cell>
        </row>
        <row r="584">
          <cell r="D584" t="str">
            <v>SCS0006416</v>
          </cell>
          <cell r="E584" t="str">
            <v>靠背右侧面套固定钢丝P203</v>
          </cell>
          <cell r="F584" t="str">
            <v>个</v>
          </cell>
          <cell r="G584">
            <v>0.43</v>
          </cell>
        </row>
        <row r="585">
          <cell r="D585" t="str">
            <v>SCS0007057</v>
          </cell>
          <cell r="E585" t="str">
            <v>儿童座椅固定挂钩B40V后排坐垫</v>
          </cell>
          <cell r="F585" t="str">
            <v>个</v>
          </cell>
          <cell r="G585">
            <v>0.34200000000000003</v>
          </cell>
        </row>
        <row r="586">
          <cell r="D586" t="str">
            <v>SCS0007568</v>
          </cell>
          <cell r="E586" t="str">
            <v>扣手底座固定钢丝</v>
          </cell>
          <cell r="F586" t="str">
            <v>个</v>
          </cell>
          <cell r="G586">
            <v>0.16800000000000001</v>
          </cell>
        </row>
        <row r="587">
          <cell r="D587" t="str">
            <v>SHT0001005</v>
          </cell>
          <cell r="E587" t="str">
            <v>涡簧H4A/X3000/一汽</v>
          </cell>
          <cell r="F587" t="str">
            <v>个</v>
          </cell>
          <cell r="G587">
            <v>3.6</v>
          </cell>
        </row>
        <row r="588">
          <cell r="D588" t="str">
            <v>SHT0002744</v>
          </cell>
          <cell r="E588" t="str">
            <v>大运靠背支撑钢丝右</v>
          </cell>
          <cell r="F588" t="str">
            <v>个</v>
          </cell>
          <cell r="G588">
            <v>1.42</v>
          </cell>
        </row>
        <row r="589">
          <cell r="D589" t="str">
            <v>SHT0011809</v>
          </cell>
          <cell r="E589" t="str">
            <v>仰角调节机构扭簧主驾座框</v>
          </cell>
          <cell r="F589" t="str">
            <v>个</v>
          </cell>
          <cell r="G589">
            <v>0.188</v>
          </cell>
        </row>
        <row r="590">
          <cell r="D590" t="str">
            <v>SHT0012006</v>
          </cell>
          <cell r="E590" t="str">
            <v>升降锁止轴安装卡箍1.3平台</v>
          </cell>
          <cell r="F590" t="str">
            <v>个</v>
          </cell>
          <cell r="G590">
            <v>0.3</v>
          </cell>
        </row>
        <row r="591">
          <cell r="D591" t="str">
            <v>SHT0012034</v>
          </cell>
          <cell r="E591" t="str">
            <v>气阀固定钢丝1.3平台</v>
          </cell>
          <cell r="F591" t="str">
            <v>个</v>
          </cell>
          <cell r="G591">
            <v>0.35</v>
          </cell>
        </row>
        <row r="592">
          <cell r="D592" t="str">
            <v>SHT0012049</v>
          </cell>
          <cell r="E592" t="str">
            <v>拉簧固定钢丝1.3平台</v>
          </cell>
          <cell r="F592" t="str">
            <v>个</v>
          </cell>
          <cell r="G592">
            <v>0.09</v>
          </cell>
        </row>
        <row r="593">
          <cell r="D593" t="str">
            <v>SHT0012110</v>
          </cell>
          <cell r="E593" t="str">
            <v>主边罩壳固定钢丝M4</v>
          </cell>
          <cell r="F593" t="str">
            <v>个</v>
          </cell>
          <cell r="G593">
            <v>0.60399999999999998</v>
          </cell>
        </row>
        <row r="594">
          <cell r="D594" t="str">
            <v>SHT0012112</v>
          </cell>
          <cell r="E594" t="str">
            <v>副边罩壳钢丝M3000</v>
          </cell>
          <cell r="F594" t="str">
            <v>个</v>
          </cell>
          <cell r="G594">
            <v>0.16</v>
          </cell>
        </row>
        <row r="595">
          <cell r="D595" t="str">
            <v>SHT0013145</v>
          </cell>
          <cell r="E595" t="str">
            <v>前升降拉簧1.3平台</v>
          </cell>
          <cell r="F595" t="str">
            <v>个</v>
          </cell>
          <cell r="G595">
            <v>1.2276</v>
          </cell>
        </row>
        <row r="596">
          <cell r="D596" t="str">
            <v>SHT0013146</v>
          </cell>
          <cell r="E596" t="str">
            <v>后升降拉簧1.3平台</v>
          </cell>
          <cell r="F596" t="str">
            <v>个</v>
          </cell>
          <cell r="G596">
            <v>1.6956</v>
          </cell>
        </row>
        <row r="597">
          <cell r="D597" t="str">
            <v>SHT0016644</v>
          </cell>
          <cell r="E597" t="str">
            <v>侧翼支撑上安装钢丝J6P经典版</v>
          </cell>
          <cell r="F597" t="str">
            <v>个</v>
          </cell>
          <cell r="G597">
            <v>0.81200000000000006</v>
          </cell>
        </row>
        <row r="598">
          <cell r="D598" t="str">
            <v>SLT0002546</v>
          </cell>
          <cell r="E598" t="str">
            <v>靠背调角器涡簧J7F/虎V靠背骨架</v>
          </cell>
          <cell r="F598" t="str">
            <v>个</v>
          </cell>
          <cell r="G598">
            <v>1.556</v>
          </cell>
        </row>
        <row r="599">
          <cell r="D599" t="str">
            <v>SLT0010193</v>
          </cell>
          <cell r="E599" t="str">
            <v>气管接线头固定钢丝</v>
          </cell>
          <cell r="F599" t="str">
            <v>个</v>
          </cell>
          <cell r="G599">
            <v>0.191</v>
          </cell>
        </row>
        <row r="600">
          <cell r="D600" t="str">
            <v>SLT0010335</v>
          </cell>
          <cell r="E600" t="str">
            <v>驾驶员侧翼支撑钢丝济南轻卡统帅</v>
          </cell>
          <cell r="F600" t="str">
            <v>个</v>
          </cell>
          <cell r="G600">
            <v>0.56499999999999995</v>
          </cell>
        </row>
        <row r="601">
          <cell r="D601" t="str">
            <v>SLT0010355</v>
          </cell>
          <cell r="E601" t="str">
            <v>副驾靠背侧翼支撑钢丝济南轻卡统帅</v>
          </cell>
          <cell r="F601" t="str">
            <v>个</v>
          </cell>
          <cell r="G601">
            <v>0.61199999999999999</v>
          </cell>
        </row>
        <row r="602">
          <cell r="D602" t="str">
            <v>SLT0010437</v>
          </cell>
          <cell r="E602" t="str">
            <v>副驾靠背头枕支撑杆济南轻卡统帅</v>
          </cell>
          <cell r="F602" t="str">
            <v>个</v>
          </cell>
          <cell r="G602">
            <v>1.327</v>
          </cell>
        </row>
        <row r="603">
          <cell r="D603" t="str">
            <v>SLT0010438</v>
          </cell>
          <cell r="E603" t="str">
            <v>副驾靠背头枕加强钢丝济南轻卡统帅</v>
          </cell>
          <cell r="F603" t="str">
            <v>个</v>
          </cell>
          <cell r="G603">
            <v>0.63300000000000001</v>
          </cell>
        </row>
        <row r="604">
          <cell r="D604" t="str">
            <v>SLT0010675</v>
          </cell>
          <cell r="E604" t="str">
            <v>左侧护板上固定钢丝一起轻卡减震</v>
          </cell>
          <cell r="F604" t="str">
            <v>个</v>
          </cell>
          <cell r="G604">
            <v>0.93600000000000005</v>
          </cell>
        </row>
        <row r="605">
          <cell r="D605" t="str">
            <v>SLT0010676</v>
          </cell>
          <cell r="E605" t="str">
            <v>左侧护板前加强钢丝一汽轻卡减震</v>
          </cell>
          <cell r="F605" t="str">
            <v>个</v>
          </cell>
          <cell r="G605">
            <v>0.191</v>
          </cell>
        </row>
        <row r="606">
          <cell r="D606" t="str">
            <v>SLT0010677</v>
          </cell>
          <cell r="E606" t="str">
            <v>左侧护板后加强钢丝一汽轻卡减震</v>
          </cell>
          <cell r="F606" t="str">
            <v>个</v>
          </cell>
          <cell r="G606">
            <v>0.17499999999999999</v>
          </cell>
        </row>
        <row r="607">
          <cell r="D607" t="str">
            <v>SLT0010678</v>
          </cell>
          <cell r="E607" t="str">
            <v>左侧护板下固定钢丝一汽轻卡减震</v>
          </cell>
          <cell r="F607" t="str">
            <v>个</v>
          </cell>
          <cell r="G607">
            <v>0</v>
          </cell>
        </row>
        <row r="608">
          <cell r="D608" t="str">
            <v>SLT0010885</v>
          </cell>
          <cell r="E608" t="str">
            <v>主驾背板支撑钢丝A欧马可升级</v>
          </cell>
          <cell r="F608" t="str">
            <v>个</v>
          </cell>
          <cell r="G608">
            <v>0</v>
          </cell>
        </row>
        <row r="609">
          <cell r="D609" t="str">
            <v>SLT0011083</v>
          </cell>
          <cell r="E609" t="str">
            <v>小背背板后支撑钢丝A欧马可升级2060副</v>
          </cell>
          <cell r="F609" t="str">
            <v>个</v>
          </cell>
          <cell r="G609">
            <v>0</v>
          </cell>
        </row>
        <row r="610">
          <cell r="D610" t="str">
            <v>SLT0011262</v>
          </cell>
          <cell r="E610" t="str">
            <v>左侧大护板上固定钢丝欧马可</v>
          </cell>
          <cell r="F610" t="str">
            <v>个</v>
          </cell>
          <cell r="G610">
            <v>0.748</v>
          </cell>
        </row>
        <row r="611">
          <cell r="D611" t="str">
            <v>SLT0011263</v>
          </cell>
          <cell r="E611" t="str">
            <v>左侧大护板加强钢丝欧马可</v>
          </cell>
          <cell r="F611" t="str">
            <v>个</v>
          </cell>
          <cell r="G611">
            <v>0.219</v>
          </cell>
        </row>
        <row r="612">
          <cell r="D612" t="str">
            <v>SLT0011265</v>
          </cell>
          <cell r="E612" t="str">
            <v>左侧大护板下固定钢丝欧马可</v>
          </cell>
          <cell r="F612" t="str">
            <v>个</v>
          </cell>
          <cell r="G612">
            <v>0.56899999999999995</v>
          </cell>
        </row>
        <row r="613">
          <cell r="D613" t="str">
            <v>SLT0011319</v>
          </cell>
          <cell r="E613" t="str">
            <v>座垫面套卡接钢丝欧马可</v>
          </cell>
          <cell r="F613" t="str">
            <v>个</v>
          </cell>
          <cell r="G613">
            <v>0.374</v>
          </cell>
        </row>
        <row r="614">
          <cell r="D614" t="str">
            <v>SLT0011689</v>
          </cell>
          <cell r="E614" t="str">
            <v>主驾背板支撑钢丝焊接总成</v>
          </cell>
          <cell r="F614" t="str">
            <v>个</v>
          </cell>
          <cell r="G614">
            <v>3.7069999999999999</v>
          </cell>
        </row>
        <row r="615">
          <cell r="D615" t="str">
            <v>SLT0011690</v>
          </cell>
          <cell r="E615" t="str">
            <v>副驾背板支撑钢丝焊接总成</v>
          </cell>
          <cell r="F615" t="str">
            <v>个</v>
          </cell>
          <cell r="G615">
            <v>2.1059999999999999</v>
          </cell>
        </row>
        <row r="616">
          <cell r="D616" t="str">
            <v>SLT0011697</v>
          </cell>
          <cell r="E616" t="str">
            <v>副驾小背焊接钢丝总成</v>
          </cell>
          <cell r="F616" t="str">
            <v>个</v>
          </cell>
          <cell r="G616">
            <v>2.1219999999999999</v>
          </cell>
        </row>
        <row r="617">
          <cell r="D617" t="str">
            <v>SLT0011699</v>
          </cell>
          <cell r="E617" t="str">
            <v>副驾小背焊接钢丝总成</v>
          </cell>
          <cell r="F617" t="str">
            <v>个</v>
          </cell>
          <cell r="G617">
            <v>2.0510000000000002</v>
          </cell>
        </row>
        <row r="618">
          <cell r="D618" t="str">
            <v>BSP0000071</v>
          </cell>
          <cell r="E618" t="str">
            <v>BC311弹簧72B</v>
          </cell>
          <cell r="F618" t="str">
            <v>个</v>
          </cell>
          <cell r="G618">
            <v>1.5</v>
          </cell>
        </row>
        <row r="619">
          <cell r="D619" t="str">
            <v>BSP0010056</v>
          </cell>
          <cell r="E619" t="str">
            <v>防护弹簧150mm长</v>
          </cell>
          <cell r="F619" t="str">
            <v>个</v>
          </cell>
          <cell r="G619">
            <v>0</v>
          </cell>
        </row>
        <row r="620">
          <cell r="D620" t="str">
            <v>SCS0006414</v>
          </cell>
          <cell r="E620" t="str">
            <v>靠背左侧面套固定钢丝P203</v>
          </cell>
          <cell r="F620" t="str">
            <v>个</v>
          </cell>
          <cell r="G620">
            <v>0.43</v>
          </cell>
        </row>
        <row r="621">
          <cell r="D621" t="str">
            <v>SCS0006416</v>
          </cell>
          <cell r="E621" t="str">
            <v>靠背右侧面套固定钢丝P203</v>
          </cell>
          <cell r="F621" t="str">
            <v>个</v>
          </cell>
          <cell r="G621">
            <v>0.43</v>
          </cell>
        </row>
        <row r="622">
          <cell r="D622" t="str">
            <v>SCS0007057</v>
          </cell>
          <cell r="E622" t="str">
            <v>儿童座椅固定挂钩B40V后排坐垫</v>
          </cell>
          <cell r="F622" t="str">
            <v>个</v>
          </cell>
          <cell r="G622">
            <v>0.34200000000000003</v>
          </cell>
        </row>
        <row r="623">
          <cell r="D623" t="str">
            <v>SCS0007568</v>
          </cell>
          <cell r="E623" t="str">
            <v>扣手底座固定钢丝</v>
          </cell>
          <cell r="F623" t="str">
            <v>个</v>
          </cell>
          <cell r="G623">
            <v>0.16800000000000001</v>
          </cell>
        </row>
        <row r="624">
          <cell r="D624" t="str">
            <v>SCS0007586</v>
          </cell>
          <cell r="E624" t="str">
            <v>螺旋扭簧 L</v>
          </cell>
          <cell r="F624" t="str">
            <v>个</v>
          </cell>
          <cell r="G624">
            <v>0</v>
          </cell>
        </row>
        <row r="625">
          <cell r="D625" t="str">
            <v>SCS0007587</v>
          </cell>
          <cell r="E625" t="str">
            <v>螺旋扭簧 R</v>
          </cell>
          <cell r="F625" t="str">
            <v>个</v>
          </cell>
          <cell r="G625">
            <v>0</v>
          </cell>
        </row>
        <row r="626">
          <cell r="D626" t="str">
            <v>SCS0012063</v>
          </cell>
          <cell r="E626" t="str">
            <v>后排坐垫骨架V71</v>
          </cell>
          <cell r="F626" t="str">
            <v>个</v>
          </cell>
          <cell r="G626">
            <v>0</v>
          </cell>
        </row>
        <row r="627">
          <cell r="D627" t="str">
            <v>SHT0002255</v>
          </cell>
          <cell r="E627" t="str">
            <v>大运靠背支撑钢丝右</v>
          </cell>
          <cell r="F627" t="str">
            <v>个</v>
          </cell>
          <cell r="G627">
            <v>0</v>
          </cell>
        </row>
        <row r="628">
          <cell r="D628" t="str">
            <v>SHT0002744</v>
          </cell>
          <cell r="E628" t="str">
            <v>大运靠背支撑钢丝右</v>
          </cell>
          <cell r="F628" t="str">
            <v>个</v>
          </cell>
          <cell r="G628">
            <v>1.42</v>
          </cell>
        </row>
        <row r="629">
          <cell r="D629" t="str">
            <v>SHT0011054</v>
          </cell>
          <cell r="E629" t="str">
            <v>靠背骨架下支撑钢线一汽</v>
          </cell>
          <cell r="F629" t="str">
            <v>个</v>
          </cell>
          <cell r="G629">
            <v>1.911</v>
          </cell>
        </row>
        <row r="630">
          <cell r="D630" t="str">
            <v>SHT0011809</v>
          </cell>
          <cell r="E630" t="str">
            <v>仰角调节机构扭簧主驾座框</v>
          </cell>
          <cell r="F630" t="str">
            <v>个</v>
          </cell>
          <cell r="G630">
            <v>0.188</v>
          </cell>
        </row>
        <row r="631">
          <cell r="D631" t="str">
            <v>SHT0012006</v>
          </cell>
          <cell r="E631" t="str">
            <v>升降锁止轴安装卡箍1.3平台</v>
          </cell>
          <cell r="F631" t="str">
            <v>个</v>
          </cell>
          <cell r="G631">
            <v>0.3</v>
          </cell>
        </row>
        <row r="632">
          <cell r="D632" t="str">
            <v>SHT0012034</v>
          </cell>
          <cell r="E632" t="str">
            <v>气阀固定钢丝1.3平台</v>
          </cell>
          <cell r="F632" t="str">
            <v>个</v>
          </cell>
          <cell r="G632">
            <v>0.35</v>
          </cell>
        </row>
        <row r="633">
          <cell r="D633" t="str">
            <v>SHT0012049</v>
          </cell>
          <cell r="E633" t="str">
            <v>拉簧固定钢丝1.3平台</v>
          </cell>
          <cell r="F633" t="str">
            <v>个</v>
          </cell>
          <cell r="G633">
            <v>0.09</v>
          </cell>
        </row>
        <row r="634">
          <cell r="D634" t="str">
            <v>SHT0012112</v>
          </cell>
          <cell r="E634" t="str">
            <v>副边罩壳钢丝M3000</v>
          </cell>
          <cell r="F634" t="str">
            <v>个</v>
          </cell>
          <cell r="G634">
            <v>0.16</v>
          </cell>
        </row>
        <row r="635">
          <cell r="D635" t="str">
            <v>SHT0013145</v>
          </cell>
          <cell r="E635" t="str">
            <v>前升降拉簧1.3平台</v>
          </cell>
          <cell r="F635" t="str">
            <v>个</v>
          </cell>
          <cell r="G635">
            <v>1.2276</v>
          </cell>
        </row>
        <row r="636">
          <cell r="D636" t="str">
            <v>SHT0013146</v>
          </cell>
          <cell r="E636" t="str">
            <v>后升降拉簧1.3平台</v>
          </cell>
          <cell r="F636" t="str">
            <v>个</v>
          </cell>
          <cell r="G636">
            <v>1.6956</v>
          </cell>
        </row>
        <row r="637">
          <cell r="D637" t="str">
            <v>SHT0015136</v>
          </cell>
          <cell r="E637" t="str">
            <v>扭力弹簧转盘</v>
          </cell>
          <cell r="F637" t="str">
            <v>个</v>
          </cell>
          <cell r="G637">
            <v>1.8520000000000001</v>
          </cell>
        </row>
        <row r="638">
          <cell r="D638" t="str">
            <v>SHT0016644</v>
          </cell>
          <cell r="E638" t="str">
            <v>侧翼支撑上安装钢丝J6P经典版</v>
          </cell>
          <cell r="F638" t="str">
            <v>个</v>
          </cell>
          <cell r="G638">
            <v>0.81200000000000006</v>
          </cell>
        </row>
        <row r="639">
          <cell r="D639" t="str">
            <v>SLT0002546</v>
          </cell>
          <cell r="E639" t="str">
            <v>靠背调角器涡簧J7F/虎V靠背骨架</v>
          </cell>
          <cell r="F639" t="str">
            <v>个</v>
          </cell>
          <cell r="G639">
            <v>1.556</v>
          </cell>
        </row>
        <row r="640">
          <cell r="D640" t="str">
            <v>SLT0010193</v>
          </cell>
          <cell r="E640" t="str">
            <v>气管接线头固定钢丝</v>
          </cell>
          <cell r="F640" t="str">
            <v>个</v>
          </cell>
          <cell r="G640">
            <v>0.191</v>
          </cell>
        </row>
        <row r="641">
          <cell r="D641" t="str">
            <v>SLT0010335</v>
          </cell>
          <cell r="E641" t="str">
            <v>驾驶员侧翼支撑钢丝济南轻卡统帅</v>
          </cell>
          <cell r="F641" t="str">
            <v>个</v>
          </cell>
          <cell r="G641">
            <v>0.56499999999999995</v>
          </cell>
        </row>
        <row r="642">
          <cell r="D642" t="str">
            <v>SLT0010355</v>
          </cell>
          <cell r="E642" t="str">
            <v>副驾靠背侧翼支撑钢丝济南轻卡统帅</v>
          </cell>
          <cell r="F642" t="str">
            <v>个</v>
          </cell>
          <cell r="G642">
            <v>0.61199999999999999</v>
          </cell>
        </row>
        <row r="643">
          <cell r="D643" t="str">
            <v>SLT0010675</v>
          </cell>
          <cell r="E643" t="str">
            <v>左侧护板上固定钢丝一起轻卡减震</v>
          </cell>
          <cell r="F643" t="str">
            <v>个</v>
          </cell>
          <cell r="G643">
            <v>0.93600000000000005</v>
          </cell>
        </row>
        <row r="644">
          <cell r="D644" t="str">
            <v>SLT0011262</v>
          </cell>
          <cell r="E644" t="str">
            <v>左侧大护板上固定钢丝欧马可</v>
          </cell>
          <cell r="F644" t="str">
            <v>个</v>
          </cell>
          <cell r="G644">
            <v>0.748</v>
          </cell>
        </row>
        <row r="645">
          <cell r="D645" t="str">
            <v>SLT0011263</v>
          </cell>
          <cell r="E645" t="str">
            <v>左侧大护板加强钢丝欧马可</v>
          </cell>
          <cell r="F645" t="str">
            <v>个</v>
          </cell>
          <cell r="G645">
            <v>0.219</v>
          </cell>
        </row>
        <row r="646">
          <cell r="D646" t="str">
            <v>SLT0011265</v>
          </cell>
          <cell r="E646" t="str">
            <v>左侧大护板下固定钢丝欧马可</v>
          </cell>
          <cell r="F646" t="str">
            <v>个</v>
          </cell>
          <cell r="G646">
            <v>0.56899999999999995</v>
          </cell>
        </row>
        <row r="647">
          <cell r="D647" t="str">
            <v>SLT0011319</v>
          </cell>
          <cell r="E647" t="str">
            <v>座垫面套卡接钢丝欧马可</v>
          </cell>
          <cell r="F647" t="str">
            <v>个</v>
          </cell>
          <cell r="G647">
            <v>0.374</v>
          </cell>
        </row>
        <row r="648">
          <cell r="D648" t="str">
            <v>SLT0011628</v>
          </cell>
          <cell r="E648" t="str">
            <v>坐垫钢丝焊接总成铁马</v>
          </cell>
          <cell r="F648" t="str">
            <v>个</v>
          </cell>
          <cell r="G648">
            <v>0</v>
          </cell>
        </row>
        <row r="649">
          <cell r="D649" t="str">
            <v>SLT0011689</v>
          </cell>
          <cell r="E649" t="str">
            <v>主驾背板支撑钢丝焊接总成</v>
          </cell>
          <cell r="F649" t="str">
            <v>个</v>
          </cell>
          <cell r="G649">
            <v>3.7069999999999999</v>
          </cell>
        </row>
        <row r="650">
          <cell r="D650" t="str">
            <v>SLT0011690</v>
          </cell>
          <cell r="E650" t="str">
            <v>副驾背板支撑钢丝焊接总成</v>
          </cell>
          <cell r="F650" t="str">
            <v>个</v>
          </cell>
          <cell r="G650">
            <v>2.1059999999999999</v>
          </cell>
        </row>
        <row r="651">
          <cell r="D651" t="str">
            <v>SLT0011697</v>
          </cell>
          <cell r="E651" t="str">
            <v>副驾小背焊接钢丝总成</v>
          </cell>
          <cell r="F651" t="str">
            <v>个</v>
          </cell>
          <cell r="G651">
            <v>2.1219999999999999</v>
          </cell>
        </row>
        <row r="652">
          <cell r="D652" t="str">
            <v>SLT0011699</v>
          </cell>
          <cell r="E652" t="str">
            <v>副驾小背焊接钢丝总成</v>
          </cell>
          <cell r="F652" t="str">
            <v>个</v>
          </cell>
          <cell r="G652">
            <v>2.0510000000000002</v>
          </cell>
        </row>
        <row r="653">
          <cell r="D653" t="str">
            <v>SCS0006414</v>
          </cell>
          <cell r="E653" t="str">
            <v>靠背左侧面套固定钢丝P203</v>
          </cell>
          <cell r="F653" t="str">
            <v>个</v>
          </cell>
          <cell r="G653">
            <v>0.43</v>
          </cell>
        </row>
        <row r="654">
          <cell r="D654" t="str">
            <v>SCS0006416</v>
          </cell>
          <cell r="E654" t="str">
            <v>靠背右侧面套固定钢丝P203</v>
          </cell>
          <cell r="F654" t="str">
            <v>个</v>
          </cell>
          <cell r="G654">
            <v>0.43</v>
          </cell>
        </row>
        <row r="655">
          <cell r="D655" t="str">
            <v>SCS0007568</v>
          </cell>
          <cell r="E655" t="str">
            <v>扣手底座固定钢丝</v>
          </cell>
          <cell r="F655" t="str">
            <v>个</v>
          </cell>
          <cell r="G655">
            <v>0.16800000000000001</v>
          </cell>
        </row>
        <row r="656">
          <cell r="D656" t="str">
            <v>SCS0007588</v>
          </cell>
          <cell r="E656" t="e">
            <v>#N/A</v>
          </cell>
          <cell r="F656" t="str">
            <v>个</v>
          </cell>
          <cell r="G656">
            <v>0</v>
          </cell>
        </row>
        <row r="657">
          <cell r="D657" t="str">
            <v>SCS0012140</v>
          </cell>
          <cell r="E657" t="str">
            <v>电加热线束固定支架1</v>
          </cell>
          <cell r="F657" t="str">
            <v>个</v>
          </cell>
          <cell r="G657">
            <v>0.74</v>
          </cell>
        </row>
        <row r="658">
          <cell r="D658" t="str">
            <v>SHT0000800</v>
          </cell>
          <cell r="E658" t="e">
            <v>#N/A</v>
          </cell>
          <cell r="F658" t="str">
            <v>个</v>
          </cell>
          <cell r="G658">
            <v>0</v>
          </cell>
        </row>
        <row r="659">
          <cell r="D659" t="str">
            <v>SHT0000801</v>
          </cell>
          <cell r="E659" t="e">
            <v>#N/A</v>
          </cell>
          <cell r="F659" t="str">
            <v>个</v>
          </cell>
          <cell r="G659">
            <v>0</v>
          </cell>
        </row>
        <row r="660">
          <cell r="D660" t="str">
            <v>SHT0002255</v>
          </cell>
          <cell r="E660" t="str">
            <v>大运靠背支撑钢丝右</v>
          </cell>
          <cell r="F660" t="str">
            <v>个</v>
          </cell>
          <cell r="G660">
            <v>0</v>
          </cell>
        </row>
        <row r="661">
          <cell r="D661" t="str">
            <v>SHT0010780</v>
          </cell>
          <cell r="E661" t="str">
            <v>气袋腰托下固定点焊接总成H6</v>
          </cell>
          <cell r="F661" t="str">
            <v>个</v>
          </cell>
          <cell r="G661">
            <v>0</v>
          </cell>
        </row>
        <row r="662">
          <cell r="D662" t="str">
            <v>SHT0011809</v>
          </cell>
          <cell r="E662" t="str">
            <v>仰角调节机构扭簧主驾座框</v>
          </cell>
          <cell r="F662" t="str">
            <v>个</v>
          </cell>
          <cell r="G662">
            <v>0.188</v>
          </cell>
        </row>
        <row r="663">
          <cell r="D663" t="str">
            <v>SHT0012034</v>
          </cell>
          <cell r="E663" t="str">
            <v>气阀固定钢丝1.3平台</v>
          </cell>
          <cell r="F663" t="str">
            <v>个</v>
          </cell>
          <cell r="G663">
            <v>0.35</v>
          </cell>
        </row>
        <row r="664">
          <cell r="D664" t="str">
            <v>SHT0012049</v>
          </cell>
          <cell r="E664" t="str">
            <v>拉簧固定钢丝1.3平台</v>
          </cell>
          <cell r="F664" t="str">
            <v>个</v>
          </cell>
          <cell r="G664">
            <v>0.09</v>
          </cell>
        </row>
        <row r="665">
          <cell r="D665" t="str">
            <v>SHT0012110</v>
          </cell>
          <cell r="E665" t="str">
            <v>主边罩壳固定钢丝M4</v>
          </cell>
          <cell r="F665" t="str">
            <v>个</v>
          </cell>
          <cell r="G665">
            <v>0.60399999999999998</v>
          </cell>
        </row>
        <row r="666">
          <cell r="D666" t="str">
            <v>SHT0012112</v>
          </cell>
          <cell r="E666" t="str">
            <v>副边罩壳钢丝M3000</v>
          </cell>
          <cell r="F666" t="str">
            <v>个</v>
          </cell>
          <cell r="G666">
            <v>0.16</v>
          </cell>
        </row>
        <row r="667">
          <cell r="D667" t="str">
            <v>SHT0013145</v>
          </cell>
          <cell r="E667" t="str">
            <v>前升降拉簧1.3平台</v>
          </cell>
          <cell r="F667" t="str">
            <v>个</v>
          </cell>
          <cell r="G667">
            <v>1.2276</v>
          </cell>
        </row>
        <row r="668">
          <cell r="D668" t="str">
            <v>SHT0013146</v>
          </cell>
          <cell r="E668" t="str">
            <v>后升降拉簧1.3平台</v>
          </cell>
          <cell r="F668" t="str">
            <v>个</v>
          </cell>
          <cell r="G668">
            <v>1.6956</v>
          </cell>
        </row>
        <row r="669">
          <cell r="D669" t="str">
            <v>SLT0000740</v>
          </cell>
          <cell r="E669" t="e">
            <v>#N/A</v>
          </cell>
          <cell r="F669" t="str">
            <v>个</v>
          </cell>
          <cell r="G669">
            <v>0</v>
          </cell>
        </row>
        <row r="670">
          <cell r="D670" t="str">
            <v>SLT0001093</v>
          </cell>
          <cell r="E670" t="e">
            <v>#N/A</v>
          </cell>
          <cell r="F670" t="str">
            <v>个</v>
          </cell>
          <cell r="G670">
            <v>0</v>
          </cell>
        </row>
        <row r="671">
          <cell r="D671" t="str">
            <v>SLT0001126</v>
          </cell>
          <cell r="E671" t="e">
            <v>#N/A</v>
          </cell>
          <cell r="F671" t="str">
            <v>个</v>
          </cell>
          <cell r="G671">
            <v>0</v>
          </cell>
        </row>
        <row r="672">
          <cell r="D672" t="str">
            <v>SLT0010335</v>
          </cell>
          <cell r="E672" t="str">
            <v>驾驶员侧翼支撑钢丝济南轻卡统帅</v>
          </cell>
          <cell r="F672" t="str">
            <v>个</v>
          </cell>
          <cell r="G672">
            <v>0.56499999999999995</v>
          </cell>
        </row>
        <row r="673">
          <cell r="D673" t="str">
            <v>SLT0010355</v>
          </cell>
          <cell r="E673" t="str">
            <v>副驾靠背侧翼支撑钢丝济南轻卡统帅</v>
          </cell>
          <cell r="F673" t="str">
            <v>个</v>
          </cell>
          <cell r="G673">
            <v>0.61199999999999999</v>
          </cell>
        </row>
        <row r="674">
          <cell r="D674" t="str">
            <v>SLT0010437</v>
          </cell>
          <cell r="E674" t="str">
            <v>副驾靠背头枕支撑杆济南轻卡统帅</v>
          </cell>
          <cell r="F674" t="str">
            <v>个</v>
          </cell>
          <cell r="G674">
            <v>1.327</v>
          </cell>
        </row>
        <row r="675">
          <cell r="D675" t="str">
            <v>SLT0010438</v>
          </cell>
          <cell r="E675" t="str">
            <v>副驾靠背头枕加强钢丝济南轻卡统帅</v>
          </cell>
          <cell r="F675" t="str">
            <v>个</v>
          </cell>
          <cell r="G675">
            <v>0.63300000000000001</v>
          </cell>
        </row>
        <row r="676">
          <cell r="D676" t="str">
            <v>SLT0010675</v>
          </cell>
          <cell r="E676" t="str">
            <v>左侧护板上固定钢丝一起轻卡减震</v>
          </cell>
          <cell r="F676" t="str">
            <v>个</v>
          </cell>
          <cell r="G676">
            <v>0.93600000000000005</v>
          </cell>
        </row>
        <row r="677">
          <cell r="D677" t="str">
            <v>SLT0010676</v>
          </cell>
          <cell r="E677" t="str">
            <v>左侧护板前加强钢丝一汽轻卡减震</v>
          </cell>
          <cell r="F677" t="str">
            <v>个</v>
          </cell>
          <cell r="G677">
            <v>0.191</v>
          </cell>
        </row>
        <row r="678">
          <cell r="D678" t="str">
            <v>SLT0010677</v>
          </cell>
          <cell r="E678" t="str">
            <v>左侧护板后加强钢丝一汽轻卡减震</v>
          </cell>
          <cell r="F678" t="str">
            <v>个</v>
          </cell>
          <cell r="G678">
            <v>0.17499999999999999</v>
          </cell>
        </row>
        <row r="679">
          <cell r="D679" t="str">
            <v>SLT0011262</v>
          </cell>
          <cell r="E679" t="str">
            <v>左侧大护板上固定钢丝欧马可</v>
          </cell>
          <cell r="F679" t="str">
            <v>个</v>
          </cell>
          <cell r="G679">
            <v>0.748</v>
          </cell>
        </row>
        <row r="680">
          <cell r="D680" t="str">
            <v>SLT0011263</v>
          </cell>
          <cell r="E680" t="str">
            <v>左侧大护板加强钢丝欧马可</v>
          </cell>
          <cell r="F680" t="str">
            <v>个</v>
          </cell>
          <cell r="G680">
            <v>0.219</v>
          </cell>
        </row>
        <row r="681">
          <cell r="D681" t="str">
            <v>SLT0011265</v>
          </cell>
          <cell r="E681" t="str">
            <v>左侧大护板下固定钢丝欧马可</v>
          </cell>
          <cell r="F681" t="str">
            <v>个</v>
          </cell>
          <cell r="G681">
            <v>0.56899999999999995</v>
          </cell>
        </row>
        <row r="682">
          <cell r="D682" t="str">
            <v>SLT0011319</v>
          </cell>
          <cell r="E682" t="str">
            <v>座垫面套卡接钢丝欧马可</v>
          </cell>
          <cell r="F682" t="str">
            <v>个</v>
          </cell>
          <cell r="G682">
            <v>0.374</v>
          </cell>
        </row>
        <row r="683">
          <cell r="D683" t="str">
            <v>SLT0011628</v>
          </cell>
          <cell r="E683" t="str">
            <v>坐垫钢丝焊接总成铁马</v>
          </cell>
          <cell r="F683" t="str">
            <v>个</v>
          </cell>
          <cell r="G683">
            <v>0</v>
          </cell>
        </row>
        <row r="684">
          <cell r="D684" t="str">
            <v>SLT0011689</v>
          </cell>
          <cell r="E684" t="str">
            <v>主驾背板支撑钢丝焊接总成</v>
          </cell>
          <cell r="F684" t="str">
            <v>个</v>
          </cell>
          <cell r="G684">
            <v>3.7069999999999999</v>
          </cell>
        </row>
        <row r="685">
          <cell r="D685" t="str">
            <v>SLT0011690</v>
          </cell>
          <cell r="E685" t="str">
            <v>副驾背板支撑钢丝焊接总成</v>
          </cell>
          <cell r="F685" t="str">
            <v>个</v>
          </cell>
          <cell r="G685">
            <v>2.1059999999999999</v>
          </cell>
        </row>
        <row r="686">
          <cell r="D686" t="str">
            <v>SLT0011697</v>
          </cell>
          <cell r="E686" t="str">
            <v>副驾小背焊接钢丝总成</v>
          </cell>
          <cell r="F686" t="str">
            <v>个</v>
          </cell>
          <cell r="G686">
            <v>2.1219999999999999</v>
          </cell>
        </row>
        <row r="687">
          <cell r="D687" t="str">
            <v>SLT0011699</v>
          </cell>
          <cell r="E687" t="str">
            <v>副驾小背焊接钢丝总成</v>
          </cell>
          <cell r="F687" t="str">
            <v>个</v>
          </cell>
          <cell r="G687">
            <v>2.0510000000000002</v>
          </cell>
        </row>
      </sheetData>
      <sheetData sheetId="1"/>
      <sheetData sheetId="2"/>
      <sheetData sheetId="3"/>
      <sheetData sheetId="4">
        <row r="3">
          <cell r="S3">
            <v>0.31908991452991498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明细"/>
      <sheetName val="2汇总"/>
      <sheetName val="未定价"/>
      <sheetName val="自行核价"/>
      <sheetName val="铁马骨架核算"/>
      <sheetName val="V71骨架"/>
      <sheetName val="Sheet1"/>
    </sheetNames>
    <sheetDataSet>
      <sheetData sheetId="0"/>
      <sheetData sheetId="1"/>
      <sheetData sheetId="2">
        <row r="2">
          <cell r="B2" t="str">
            <v>SHT0013146</v>
          </cell>
          <cell r="C2" t="str">
            <v>1.0升级后升降拉簧</v>
          </cell>
          <cell r="D2">
            <v>8910</v>
          </cell>
          <cell r="E2" t="str">
            <v>一厂</v>
          </cell>
          <cell r="F2" t="str">
            <v>65Mn</v>
          </cell>
          <cell r="G2">
            <v>9.4E-2</v>
          </cell>
          <cell r="J2">
            <v>1.6956</v>
          </cell>
        </row>
        <row r="3">
          <cell r="B3" t="str">
            <v>SHT0013145</v>
          </cell>
          <cell r="C3" t="str">
            <v>1.0升级前升降拉簧</v>
          </cell>
          <cell r="D3">
            <v>8910</v>
          </cell>
          <cell r="E3" t="str">
            <v>一厂</v>
          </cell>
          <cell r="F3" t="str">
            <v>65Mn</v>
          </cell>
          <cell r="G3">
            <v>6.8000000000000005E-2</v>
          </cell>
          <cell r="J3">
            <v>1.2276</v>
          </cell>
        </row>
        <row r="4">
          <cell r="B4" t="str">
            <v>BSP0000071</v>
          </cell>
          <cell r="C4" t="str">
            <v>BC311弹簧72B</v>
          </cell>
          <cell r="D4">
            <v>10000</v>
          </cell>
          <cell r="E4" t="str">
            <v>灯镜</v>
          </cell>
          <cell r="F4" t="e">
            <v>#N/A</v>
          </cell>
          <cell r="G4" t="e">
            <v>#N/A</v>
          </cell>
        </row>
        <row r="5">
          <cell r="B5" t="str">
            <v>SHT0012112</v>
          </cell>
          <cell r="C5" t="str">
            <v>M3000副边罩壳固定钢丝</v>
          </cell>
          <cell r="D5">
            <v>8700</v>
          </cell>
          <cell r="E5" t="str">
            <v>一厂</v>
          </cell>
          <cell r="F5" t="str">
            <v>Q235</v>
          </cell>
          <cell r="G5">
            <v>2.01E-2</v>
          </cell>
          <cell r="I5">
            <v>7.566371681415931</v>
          </cell>
          <cell r="J5">
            <v>0.15208407079646022</v>
          </cell>
        </row>
        <row r="6">
          <cell r="B6" t="str">
            <v>SHT0012110</v>
          </cell>
          <cell r="C6" t="str">
            <v>M4主边罩壳固定钢丝</v>
          </cell>
          <cell r="D6">
            <v>3600</v>
          </cell>
          <cell r="E6" t="str">
            <v>一厂</v>
          </cell>
          <cell r="F6" t="str">
            <v>Q235</v>
          </cell>
          <cell r="G6">
            <v>7.5899999999999995E-2</v>
          </cell>
          <cell r="I6">
            <v>7.566371681415931</v>
          </cell>
          <cell r="J6">
            <v>0.57428761061946909</v>
          </cell>
        </row>
        <row r="7">
          <cell r="B7" t="str">
            <v>SCS0006416</v>
          </cell>
          <cell r="C7" t="str">
            <v>P203靠背右侧面套固定钢丝</v>
          </cell>
          <cell r="D7">
            <v>44225</v>
          </cell>
          <cell r="E7" t="str">
            <v>一厂</v>
          </cell>
          <cell r="F7" t="str">
            <v>Q235</v>
          </cell>
          <cell r="G7">
            <v>5.3999999999999999E-2</v>
          </cell>
          <cell r="I7">
            <v>7.566371681415931</v>
          </cell>
          <cell r="J7">
            <v>0.40858407079646025</v>
          </cell>
        </row>
        <row r="8">
          <cell r="B8" t="str">
            <v>SCS0006414</v>
          </cell>
          <cell r="C8" t="str">
            <v>P203靠背左侧面套固定钢丝</v>
          </cell>
          <cell r="D8">
            <v>43725</v>
          </cell>
          <cell r="E8" t="str">
            <v>一厂</v>
          </cell>
          <cell r="F8" t="str">
            <v>Q235</v>
          </cell>
          <cell r="G8">
            <v>5.3999999999999999E-2</v>
          </cell>
          <cell r="I8">
            <v>7.566371681415931</v>
          </cell>
          <cell r="J8">
            <v>0.40858407079646025</v>
          </cell>
        </row>
        <row r="9">
          <cell r="B9" t="str">
            <v>REM0003411</v>
          </cell>
          <cell r="C9" t="str">
            <v>奥威弹簧(H6状态)</v>
          </cell>
          <cell r="D9">
            <v>16810</v>
          </cell>
          <cell r="E9" t="str">
            <v>灯镜</v>
          </cell>
          <cell r="F9" t="str">
            <v>65Mn</v>
          </cell>
          <cell r="G9">
            <v>1.7999999999999999E-2</v>
          </cell>
        </row>
        <row r="10">
          <cell r="B10" t="str">
            <v>SHT0002255</v>
          </cell>
          <cell r="C10" t="str">
            <v>大运靠背支撑钢丝右</v>
          </cell>
          <cell r="D10">
            <v>4000</v>
          </cell>
          <cell r="E10" t="str">
            <v>一厂</v>
          </cell>
          <cell r="F10" t="e">
            <v>#N/A</v>
          </cell>
          <cell r="G10" t="e">
            <v>#N/A</v>
          </cell>
        </row>
        <row r="11">
          <cell r="B11" t="str">
            <v>SHT0002744</v>
          </cell>
          <cell r="C11" t="str">
            <v>大运靠背支撑钢丝右</v>
          </cell>
          <cell r="D11">
            <v>3972</v>
          </cell>
          <cell r="E11" t="str">
            <v>一厂</v>
          </cell>
          <cell r="F11" t="str">
            <v>Q235</v>
          </cell>
          <cell r="G11">
            <v>0</v>
          </cell>
          <cell r="J11">
            <v>1.349</v>
          </cell>
        </row>
        <row r="12">
          <cell r="B12" t="str">
            <v>SCS0012140</v>
          </cell>
          <cell r="C12" t="str">
            <v>电加热线束固定支架1</v>
          </cell>
          <cell r="D12">
            <v>2530</v>
          </cell>
          <cell r="E12" t="str">
            <v>一厂</v>
          </cell>
          <cell r="F12" t="str">
            <v>Q235</v>
          </cell>
          <cell r="G12">
            <v>1.7000000000000001E-2</v>
          </cell>
          <cell r="J12">
            <v>0.74</v>
          </cell>
        </row>
        <row r="13">
          <cell r="B13" t="str">
            <v>BSP0000089</v>
          </cell>
          <cell r="C13" t="str">
            <v>调角手柄复位簧P203</v>
          </cell>
          <cell r="D13">
            <v>6350</v>
          </cell>
          <cell r="E13" t="str">
            <v>一厂</v>
          </cell>
          <cell r="F13" t="e">
            <v>#N/A</v>
          </cell>
          <cell r="G13" t="e">
            <v>#N/A</v>
          </cell>
          <cell r="J13">
            <v>0.10091391452991452</v>
          </cell>
        </row>
        <row r="14">
          <cell r="B14" t="str">
            <v>SCS0007057</v>
          </cell>
          <cell r="C14" t="str">
            <v>儿童锁挂钩</v>
          </cell>
          <cell r="D14">
            <v>10990</v>
          </cell>
          <cell r="E14" t="str">
            <v>一厂</v>
          </cell>
          <cell r="F14" t="str">
            <v>Q235</v>
          </cell>
          <cell r="G14">
            <v>4.2999999999999997E-2</v>
          </cell>
          <cell r="I14">
            <v>7.566371681415931</v>
          </cell>
          <cell r="J14">
            <v>0.32535398230088503</v>
          </cell>
        </row>
        <row r="15">
          <cell r="B15" t="str">
            <v>BSP0010056</v>
          </cell>
          <cell r="C15" t="str">
            <v>防护弹簧150mm长</v>
          </cell>
          <cell r="D15">
            <v>5500</v>
          </cell>
          <cell r="E15" t="str">
            <v>一厂</v>
          </cell>
          <cell r="F15" t="e">
            <v>#N/A</v>
          </cell>
          <cell r="G15" t="e">
            <v>#N/A</v>
          </cell>
          <cell r="J15">
            <v>0.3135</v>
          </cell>
        </row>
        <row r="16">
          <cell r="B16" t="str">
            <v>SLT0010690</v>
          </cell>
          <cell r="C16" t="str">
            <v>副驾背板支撑钢丝焊接总成</v>
          </cell>
          <cell r="D16">
            <v>20633</v>
          </cell>
          <cell r="E16" t="str">
            <v>一厂</v>
          </cell>
          <cell r="F16" t="str">
            <v>Q235</v>
          </cell>
          <cell r="G16">
            <v>7.980000000000001E-2</v>
          </cell>
          <cell r="I16">
            <v>7.566371681415931</v>
          </cell>
          <cell r="J16">
            <v>1.6351637168141595</v>
          </cell>
        </row>
        <row r="17">
          <cell r="B17" t="str">
            <v>SLT0010355</v>
          </cell>
          <cell r="C17" t="str">
            <v>副驾靠背侧翼支撑钢丝</v>
          </cell>
          <cell r="D17">
            <v>11675</v>
          </cell>
          <cell r="E17" t="str">
            <v>一厂</v>
          </cell>
          <cell r="F17" t="str">
            <v>Q235</v>
          </cell>
          <cell r="G17">
            <v>7.6799999999999993E-2</v>
          </cell>
          <cell r="I17">
            <v>7.566371681415931</v>
          </cell>
          <cell r="J17">
            <v>0.58109734513274347</v>
          </cell>
        </row>
        <row r="18">
          <cell r="B18" t="str">
            <v>SLT0010438</v>
          </cell>
          <cell r="C18" t="str">
            <v>副驾靠背头枕加强钢丝</v>
          </cell>
          <cell r="D18">
            <v>5730</v>
          </cell>
          <cell r="E18" t="str">
            <v>一厂</v>
          </cell>
          <cell r="F18" t="str">
            <v>Q235</v>
          </cell>
          <cell r="G18">
            <v>7.9500000000000001E-2</v>
          </cell>
          <cell r="I18">
            <v>7.566371681415931</v>
          </cell>
          <cell r="J18">
            <v>0.6015265486725665</v>
          </cell>
        </row>
        <row r="19">
          <cell r="B19" t="str">
            <v>SLT0010437</v>
          </cell>
          <cell r="C19" t="str">
            <v>副驾靠背头枕支撑杆</v>
          </cell>
          <cell r="D19">
            <v>5950</v>
          </cell>
          <cell r="E19" t="str">
            <v>一厂</v>
          </cell>
          <cell r="F19" t="str">
            <v>Q235</v>
          </cell>
          <cell r="G19">
            <v>0.1666</v>
          </cell>
          <cell r="I19">
            <v>7.566371681415931</v>
          </cell>
          <cell r="J19">
            <v>1.260557522123894</v>
          </cell>
        </row>
        <row r="20">
          <cell r="B20" t="str">
            <v>SLT0011697</v>
          </cell>
          <cell r="C20" t="str">
            <v>副驾小背焊接钢丝总成</v>
          </cell>
          <cell r="D20">
            <v>15112</v>
          </cell>
          <cell r="E20" t="str">
            <v>一厂</v>
          </cell>
          <cell r="F20" t="str">
            <v>Q235</v>
          </cell>
          <cell r="G20">
            <v>0.16109999999999999</v>
          </cell>
          <cell r="I20">
            <v>7.566371681415931</v>
          </cell>
          <cell r="J20">
            <v>1.4436991150442482</v>
          </cell>
        </row>
        <row r="21">
          <cell r="B21" t="str">
            <v>SLT0011699</v>
          </cell>
          <cell r="C21" t="str">
            <v>副驾小背焊接钢丝总成</v>
          </cell>
          <cell r="D21">
            <v>6408</v>
          </cell>
          <cell r="E21" t="str">
            <v>一厂</v>
          </cell>
          <cell r="F21" t="str">
            <v>Q235</v>
          </cell>
          <cell r="G21">
            <v>7.5899999999999995E-2</v>
          </cell>
          <cell r="I21">
            <v>7.566371681415931</v>
          </cell>
          <cell r="J21">
            <v>0.79828761061946918</v>
          </cell>
        </row>
        <row r="22">
          <cell r="B22" t="str">
            <v>SCS0012063</v>
          </cell>
          <cell r="C22" t="str">
            <v>后排坐垫骨架V71</v>
          </cell>
          <cell r="D22">
            <v>115</v>
          </cell>
          <cell r="E22" t="str">
            <v>二厂</v>
          </cell>
          <cell r="F22" t="e">
            <v>#N/A</v>
          </cell>
          <cell r="G22" t="e">
            <v>#N/A</v>
          </cell>
          <cell r="J22">
            <v>18.218236047354964</v>
          </cell>
        </row>
        <row r="23">
          <cell r="B23" t="str">
            <v>SLT0010335</v>
          </cell>
          <cell r="C23" t="str">
            <v>驾驶员侧翼支撑钢丝</v>
          </cell>
          <cell r="D23">
            <v>12570</v>
          </cell>
          <cell r="E23" t="str">
            <v>一厂</v>
          </cell>
          <cell r="F23" t="str">
            <v>Q235</v>
          </cell>
          <cell r="G23">
            <v>7.0999999999999994E-2</v>
          </cell>
          <cell r="I23">
            <v>7.566371681415931</v>
          </cell>
          <cell r="J23">
            <v>0.53721238938053106</v>
          </cell>
        </row>
        <row r="24">
          <cell r="B24" t="str">
            <v>BSP0010035</v>
          </cell>
          <cell r="C24" t="str">
            <v>靠背回位簧</v>
          </cell>
          <cell r="D24">
            <v>510</v>
          </cell>
          <cell r="E24" t="str">
            <v>一厂</v>
          </cell>
          <cell r="F24" t="str">
            <v>65Mn</v>
          </cell>
          <cell r="G24">
            <v>0.35599999999999998</v>
          </cell>
          <cell r="I24">
            <v>8.5</v>
          </cell>
          <cell r="J24">
            <v>5.04</v>
          </cell>
        </row>
        <row r="25">
          <cell r="B25" t="str">
            <v>SCS0010585</v>
          </cell>
          <cell r="C25" t="str">
            <v>靠背面套固定钢丝-右</v>
          </cell>
          <cell r="D25">
            <v>280</v>
          </cell>
          <cell r="E25" t="str">
            <v>一厂</v>
          </cell>
          <cell r="F25" t="str">
            <v>Q235/φ5.0</v>
          </cell>
          <cell r="G25">
            <v>6.4000000000000001E-2</v>
          </cell>
          <cell r="I25">
            <v>7.566371681415931</v>
          </cell>
          <cell r="J25">
            <v>0.4842477876106196</v>
          </cell>
        </row>
        <row r="26">
          <cell r="B26" t="str">
            <v>SCS0007568</v>
          </cell>
          <cell r="C26" t="str">
            <v>扣手底座固定钢丝</v>
          </cell>
          <cell r="D26">
            <v>15500</v>
          </cell>
          <cell r="E26" t="str">
            <v>一厂</v>
          </cell>
          <cell r="F26" t="str">
            <v>Q235</v>
          </cell>
          <cell r="G26">
            <v>2.1100000000000001E-2</v>
          </cell>
          <cell r="I26">
            <v>7.566371681415931</v>
          </cell>
          <cell r="J26">
            <v>0.15965044247787616</v>
          </cell>
        </row>
        <row r="27">
          <cell r="B27" t="str">
            <v>SLT0010472</v>
          </cell>
          <cell r="C27" t="str">
            <v>拉簧</v>
          </cell>
          <cell r="D27">
            <v>30</v>
          </cell>
          <cell r="E27" t="str">
            <v>一厂</v>
          </cell>
          <cell r="F27" t="str">
            <v>65Mn</v>
          </cell>
          <cell r="G27">
            <v>2.9000000000000001E-2</v>
          </cell>
          <cell r="I27">
            <v>7</v>
          </cell>
          <cell r="J27">
            <v>0.31908991452991453</v>
          </cell>
        </row>
        <row r="28">
          <cell r="B28" t="str">
            <v>SHT0012049</v>
          </cell>
          <cell r="C28" t="str">
            <v>拉簧固定钢丝</v>
          </cell>
          <cell r="D28">
            <v>18600</v>
          </cell>
          <cell r="E28" t="str">
            <v>一厂</v>
          </cell>
          <cell r="F28" t="str">
            <v>Q235</v>
          </cell>
          <cell r="G28">
            <v>7.0000000000000001E-3</v>
          </cell>
          <cell r="I28">
            <v>7.566371681415931</v>
          </cell>
          <cell r="J28">
            <v>5.2964601769911517E-2</v>
          </cell>
        </row>
        <row r="29">
          <cell r="B29" t="str">
            <v>SCS0012152</v>
          </cell>
          <cell r="C29" t="str">
            <v>六分座钢丝焊接总成</v>
          </cell>
          <cell r="D29">
            <v>1230</v>
          </cell>
          <cell r="E29" t="str">
            <v>一厂</v>
          </cell>
          <cell r="F29" t="str">
            <v>Q235</v>
          </cell>
          <cell r="G29">
            <v>0.54499999999999993</v>
          </cell>
          <cell r="I29">
            <v>7.566371681415931</v>
          </cell>
          <cell r="J29">
            <v>5.3519216443716822</v>
          </cell>
        </row>
        <row r="30">
          <cell r="B30" t="str">
            <v>SCS0007586</v>
          </cell>
          <cell r="C30" t="str">
            <v>螺旋扭簧 L</v>
          </cell>
          <cell r="D30">
            <v>212</v>
          </cell>
          <cell r="E30" t="str">
            <v>一厂</v>
          </cell>
          <cell r="F30" t="str">
            <v>65Mn</v>
          </cell>
          <cell r="G30">
            <v>1.8800000000000001E-2</v>
          </cell>
          <cell r="I30">
            <v>7</v>
          </cell>
          <cell r="J30">
            <v>6.7798609686609695E-2</v>
          </cell>
        </row>
        <row r="31">
          <cell r="B31" t="str">
            <v>SCS0007587</v>
          </cell>
          <cell r="C31" t="str">
            <v>螺旋扭簧 R</v>
          </cell>
          <cell r="D31">
            <v>218</v>
          </cell>
          <cell r="E31" t="str">
            <v>一厂</v>
          </cell>
          <cell r="F31" t="e">
            <v>#N/A</v>
          </cell>
          <cell r="G31" t="e">
            <v>#N/A</v>
          </cell>
          <cell r="I31">
            <v>7</v>
          </cell>
          <cell r="J31">
            <v>6.7798609686609695E-2</v>
          </cell>
        </row>
        <row r="32">
          <cell r="B32" t="str">
            <v>SHT0015136</v>
          </cell>
          <cell r="C32" t="str">
            <v>扭力弹簧转盘</v>
          </cell>
          <cell r="D32">
            <v>2400</v>
          </cell>
          <cell r="E32" t="str">
            <v>一厂</v>
          </cell>
          <cell r="F32" t="e">
            <v>#N/A</v>
          </cell>
          <cell r="G32" t="e">
            <v>#N/A</v>
          </cell>
          <cell r="J32">
            <v>0.15</v>
          </cell>
        </row>
        <row r="33">
          <cell r="B33" t="str">
            <v>BSP0000047</v>
          </cell>
          <cell r="C33" t="str">
            <v>盘簧1.0平台</v>
          </cell>
          <cell r="D33">
            <v>4551</v>
          </cell>
          <cell r="E33" t="str">
            <v>一厂</v>
          </cell>
          <cell r="F33" t="e">
            <v>#N/A</v>
          </cell>
          <cell r="G33" t="e">
            <v>#N/A</v>
          </cell>
          <cell r="J33">
            <v>2.23</v>
          </cell>
        </row>
        <row r="34">
          <cell r="B34" t="str">
            <v>SHT0010780</v>
          </cell>
          <cell r="C34" t="str">
            <v>气袋腰托下固定点焊接总成H6</v>
          </cell>
          <cell r="D34">
            <v>401</v>
          </cell>
          <cell r="E34" t="str">
            <v>一厂</v>
          </cell>
          <cell r="F34" t="str">
            <v>Q235</v>
          </cell>
          <cell r="G34">
            <v>0.26100000000000001</v>
          </cell>
          <cell r="I34">
            <v>7.566371681415931</v>
          </cell>
          <cell r="J34">
            <v>2.0868230088495578</v>
          </cell>
        </row>
        <row r="35">
          <cell r="B35" t="str">
            <v>SHT0012034</v>
          </cell>
          <cell r="C35" t="str">
            <v>气阀固定钢丝</v>
          </cell>
          <cell r="D35">
            <v>5200</v>
          </cell>
          <cell r="E35" t="str">
            <v>一厂</v>
          </cell>
          <cell r="F35" t="str">
            <v>20#</v>
          </cell>
          <cell r="G35">
            <v>1.14E-2</v>
          </cell>
          <cell r="I35">
            <v>7.566371681415931</v>
          </cell>
          <cell r="J35">
            <v>8.6256637168141623E-2</v>
          </cell>
        </row>
        <row r="36">
          <cell r="B36" t="str">
            <v>SLT0010193</v>
          </cell>
          <cell r="C36" t="str">
            <v>气管接线头固定钢丝</v>
          </cell>
          <cell r="D36">
            <v>140300</v>
          </cell>
          <cell r="E36" t="str">
            <v>一厂</v>
          </cell>
          <cell r="F36" t="str">
            <v>Q235</v>
          </cell>
          <cell r="G36">
            <v>2.4E-2</v>
          </cell>
          <cell r="I36">
            <v>7.566371681415931</v>
          </cell>
          <cell r="J36">
            <v>0.18159292035398233</v>
          </cell>
        </row>
        <row r="37">
          <cell r="B37" t="str">
            <v>SHT0012006</v>
          </cell>
          <cell r="C37" t="str">
            <v>升降锁止轴安装卡箍</v>
          </cell>
          <cell r="D37">
            <v>9980</v>
          </cell>
          <cell r="E37" t="str">
            <v>一厂</v>
          </cell>
          <cell r="F37" t="str">
            <v>65Mn</v>
          </cell>
          <cell r="G37">
            <v>2E-3</v>
          </cell>
          <cell r="J37">
            <v>0.26</v>
          </cell>
        </row>
        <row r="38">
          <cell r="B38" t="str">
            <v>SCS0012153</v>
          </cell>
          <cell r="C38" t="str">
            <v>四分座钢丝焊接总成</v>
          </cell>
          <cell r="D38">
            <v>1240</v>
          </cell>
          <cell r="E38" t="str">
            <v>一厂</v>
          </cell>
          <cell r="F38" t="e">
            <v>#N/A</v>
          </cell>
          <cell r="G38" t="e">
            <v>#N/A</v>
          </cell>
          <cell r="J38">
            <v>3.8476959806548678</v>
          </cell>
        </row>
        <row r="39">
          <cell r="B39" t="str">
            <v>SHT0001005</v>
          </cell>
          <cell r="C39" t="str">
            <v>涡簧H4A/X3000/一汽</v>
          </cell>
          <cell r="D39">
            <v>14230</v>
          </cell>
          <cell r="E39" t="str">
            <v>一厂</v>
          </cell>
          <cell r="F39" t="e">
            <v>#N/A</v>
          </cell>
          <cell r="G39" t="e">
            <v>#N/A</v>
          </cell>
          <cell r="J39">
            <v>2.4300000000000002</v>
          </cell>
        </row>
        <row r="40">
          <cell r="B40" t="str">
            <v>SLT0011083</v>
          </cell>
          <cell r="C40" t="str">
            <v>小背背板后支撑钢丝A欧马可升级2060副</v>
          </cell>
          <cell r="D40">
            <v>-1000</v>
          </cell>
          <cell r="E40" t="str">
            <v>一厂</v>
          </cell>
          <cell r="F40" t="str">
            <v>Q235</v>
          </cell>
          <cell r="G40">
            <v>6.0499999999999998E-2</v>
          </cell>
          <cell r="I40">
            <v>7.566371681415931</v>
          </cell>
          <cell r="J40">
            <v>0.45776548672566381</v>
          </cell>
        </row>
        <row r="41">
          <cell r="B41" t="str">
            <v>SHT0011809</v>
          </cell>
          <cell r="C41" t="str">
            <v>仰角调节机构扭簧</v>
          </cell>
          <cell r="D41">
            <v>159060</v>
          </cell>
          <cell r="E41" t="str">
            <v>一厂</v>
          </cell>
          <cell r="F41" t="str">
            <v>65Mn</v>
          </cell>
          <cell r="G41">
            <v>1.8E-3</v>
          </cell>
          <cell r="J41">
            <v>7.8998609686609683E-2</v>
          </cell>
        </row>
        <row r="42">
          <cell r="B42" t="str">
            <v>SLT0010885</v>
          </cell>
          <cell r="C42" t="str">
            <v>主驾背板支撑钢丝A欧马可升级</v>
          </cell>
          <cell r="D42">
            <v>-40</v>
          </cell>
          <cell r="E42" t="str">
            <v>一厂</v>
          </cell>
          <cell r="F42" t="str">
            <v>Q235</v>
          </cell>
          <cell r="G42">
            <v>6.3E-2</v>
          </cell>
          <cell r="I42">
            <v>7.566371681415931</v>
          </cell>
          <cell r="J42">
            <v>0.47668141592920366</v>
          </cell>
        </row>
        <row r="43">
          <cell r="B43" t="str">
            <v>SLT0011689</v>
          </cell>
          <cell r="C43" t="str">
            <v>主驾背板支撑钢丝焊接总成</v>
          </cell>
          <cell r="D43">
            <v>16394</v>
          </cell>
          <cell r="E43" t="str">
            <v>一厂</v>
          </cell>
          <cell r="F43" t="str">
            <v>Q235</v>
          </cell>
          <cell r="G43">
            <v>0.3085</v>
          </cell>
          <cell r="J43">
            <v>2.1973274336283191</v>
          </cell>
        </row>
        <row r="44">
          <cell r="B44" t="str">
            <v>SLT0011263</v>
          </cell>
          <cell r="C44" t="str">
            <v>左侧大护板加强钢丝欧马可</v>
          </cell>
          <cell r="D44">
            <v>35790</v>
          </cell>
          <cell r="E44" t="str">
            <v>一厂</v>
          </cell>
          <cell r="F44" t="str">
            <v>Q235/φ6</v>
          </cell>
          <cell r="G44">
            <v>2.7E-2</v>
          </cell>
          <cell r="I44">
            <v>7.566371681415931</v>
          </cell>
          <cell r="J44">
            <v>0.20429203539823013</v>
          </cell>
        </row>
        <row r="45">
          <cell r="B45" t="str">
            <v>SLT0011262</v>
          </cell>
          <cell r="C45" t="str">
            <v>左侧大护板上固定钢丝欧马可</v>
          </cell>
          <cell r="D45">
            <v>17820</v>
          </cell>
          <cell r="E45" t="str">
            <v>一厂</v>
          </cell>
          <cell r="F45" t="str">
            <v>Q235/φ6</v>
          </cell>
          <cell r="G45">
            <v>9.1999999999999998E-2</v>
          </cell>
          <cell r="I45">
            <v>7.566371681415931</v>
          </cell>
          <cell r="J45">
            <v>0.69610619469026569</v>
          </cell>
        </row>
        <row r="46">
          <cell r="B46" t="str">
            <v>SLT0011265</v>
          </cell>
          <cell r="C46" t="str">
            <v>左侧大护板下固定钢丝欧马可</v>
          </cell>
          <cell r="D46">
            <v>18999</v>
          </cell>
          <cell r="E46" t="str">
            <v>一厂</v>
          </cell>
          <cell r="F46" t="str">
            <v>Q235/φ6</v>
          </cell>
          <cell r="G46">
            <v>7.3999999999999996E-2</v>
          </cell>
          <cell r="I46">
            <v>7.566371681415931</v>
          </cell>
          <cell r="J46">
            <v>0.55991150442477888</v>
          </cell>
        </row>
        <row r="47">
          <cell r="B47" t="str">
            <v>SLT0010677</v>
          </cell>
          <cell r="C47" t="str">
            <v>左侧护板后加强钢丝一汽轻卡减震</v>
          </cell>
          <cell r="D47">
            <v>9000</v>
          </cell>
          <cell r="E47" t="str">
            <v>一厂</v>
          </cell>
          <cell r="F47" t="str">
            <v>Q235</v>
          </cell>
          <cell r="G47">
            <v>1.54E-2</v>
          </cell>
          <cell r="I47">
            <v>7.566371681415931</v>
          </cell>
          <cell r="J47">
            <v>0.11652212389380534</v>
          </cell>
        </row>
        <row r="48">
          <cell r="B48" t="str">
            <v>SLT0010676</v>
          </cell>
          <cell r="C48" t="str">
            <v>左侧护板前加强钢丝一汽轻卡减震</v>
          </cell>
          <cell r="D48">
            <v>9000</v>
          </cell>
          <cell r="E48" t="str">
            <v>一厂</v>
          </cell>
          <cell r="F48" t="str">
            <v>Q235</v>
          </cell>
          <cell r="G48">
            <v>2.4199999999999999E-2</v>
          </cell>
          <cell r="I48">
            <v>7.566371681415931</v>
          </cell>
          <cell r="J48">
            <v>0.18310619469026551</v>
          </cell>
        </row>
        <row r="49">
          <cell r="B49" t="str">
            <v>SLT0010675</v>
          </cell>
          <cell r="C49" t="str">
            <v>左侧护板上固定钢丝一起轻卡减震</v>
          </cell>
          <cell r="D49">
            <v>8467</v>
          </cell>
          <cell r="E49" t="str">
            <v>一厂</v>
          </cell>
          <cell r="F49" t="str">
            <v>Q235</v>
          </cell>
          <cell r="G49">
            <v>9.5299999999999996E-2</v>
          </cell>
          <cell r="I49">
            <v>7.566371681415931</v>
          </cell>
          <cell r="J49">
            <v>0.72107522123893819</v>
          </cell>
        </row>
        <row r="50">
          <cell r="B50" t="str">
            <v>SLT0010678</v>
          </cell>
          <cell r="C50" t="str">
            <v>左侧护板下固定钢丝一汽轻卡减震</v>
          </cell>
          <cell r="D50">
            <v>2993</v>
          </cell>
          <cell r="E50" t="str">
            <v>一厂</v>
          </cell>
          <cell r="F50" t="str">
            <v>Q235</v>
          </cell>
          <cell r="G50">
            <v>6.7000000000000004E-2</v>
          </cell>
          <cell r="I50">
            <v>7.566371681415931</v>
          </cell>
          <cell r="J50">
            <v>0.50694690265486742</v>
          </cell>
        </row>
        <row r="51">
          <cell r="B51" t="str">
            <v>SLT0011628</v>
          </cell>
          <cell r="C51" t="str">
            <v>坐垫钢丝焊接总成铁马</v>
          </cell>
          <cell r="D51">
            <v>83</v>
          </cell>
          <cell r="E51" t="str">
            <v>一厂</v>
          </cell>
          <cell r="F51" t="e">
            <v>#N/A</v>
          </cell>
          <cell r="G51" t="e">
            <v>#N/A</v>
          </cell>
          <cell r="J51">
            <v>17.195426628318586</v>
          </cell>
        </row>
        <row r="52">
          <cell r="B52" t="str">
            <v>SLT0011319</v>
          </cell>
          <cell r="C52" t="str">
            <v>座垫面套卡接钢丝欧马可</v>
          </cell>
          <cell r="D52">
            <v>16900</v>
          </cell>
          <cell r="E52" t="str">
            <v>一厂</v>
          </cell>
          <cell r="F52" t="str">
            <v>Q235/φ5</v>
          </cell>
          <cell r="G52">
            <v>4.5999999999999999E-2</v>
          </cell>
          <cell r="I52">
            <v>7.566371681415931</v>
          </cell>
          <cell r="J52">
            <v>0.34805309734513284</v>
          </cell>
        </row>
        <row r="53">
          <cell r="B53" t="str">
            <v>SHT0016644</v>
          </cell>
          <cell r="C53" t="str">
            <v>侧翼支撑上安装钢丝J6P经典版</v>
          </cell>
          <cell r="D53">
            <v>11810</v>
          </cell>
          <cell r="E53" t="str">
            <v>一厂</v>
          </cell>
          <cell r="F53" t="str">
            <v>Q235</v>
          </cell>
          <cell r="G53">
            <v>5.8099999999999999E-2</v>
          </cell>
          <cell r="I53">
            <v>7.566371681415931</v>
          </cell>
          <cell r="J53">
            <v>0.43960619469026557</v>
          </cell>
        </row>
        <row r="54">
          <cell r="B54" t="str">
            <v>BSP0000073</v>
          </cell>
          <cell r="C54" t="str">
            <v>B40弹簧（L)</v>
          </cell>
          <cell r="D54">
            <v>2165</v>
          </cell>
          <cell r="E54" t="str">
            <v>一厂</v>
          </cell>
          <cell r="F54" t="e">
            <v>#N/A</v>
          </cell>
          <cell r="G54" t="e">
            <v>#N/A</v>
          </cell>
        </row>
        <row r="55">
          <cell r="B55" t="str">
            <v>BFA0000746</v>
          </cell>
          <cell r="C55" t="str">
            <v>BWL7500转轴</v>
          </cell>
          <cell r="D55">
            <v>842</v>
          </cell>
          <cell r="E55" t="str">
            <v>一厂</v>
          </cell>
          <cell r="F55" t="e">
            <v>#N/A</v>
          </cell>
          <cell r="G55" t="e">
            <v>#N/A</v>
          </cell>
        </row>
        <row r="56">
          <cell r="B56" t="str">
            <v>SHT0011054</v>
          </cell>
          <cell r="C56" t="str">
            <v>D03靠背骨架下支撑钢丝</v>
          </cell>
          <cell r="D56">
            <v>3170</v>
          </cell>
          <cell r="E56" t="str">
            <v>一厂</v>
          </cell>
          <cell r="F56" t="str">
            <v>Q235</v>
          </cell>
          <cell r="G56">
            <v>0.24</v>
          </cell>
          <cell r="I56">
            <v>7.566371681415931</v>
          </cell>
          <cell r="J56">
            <v>1.8159292035398233</v>
          </cell>
        </row>
        <row r="57">
          <cell r="B57" t="str">
            <v>SHT0001935</v>
          </cell>
          <cell r="C57" t="str">
            <v>侧翼支撑上安装钢丝F3000</v>
          </cell>
          <cell r="D57">
            <v>-9</v>
          </cell>
          <cell r="E57" t="str">
            <v>一厂</v>
          </cell>
          <cell r="F57" t="e">
            <v>#N/A</v>
          </cell>
          <cell r="G57" t="e">
            <v>#N/A</v>
          </cell>
          <cell r="J57">
            <v>0.81242999999999999</v>
          </cell>
        </row>
        <row r="58">
          <cell r="B58" t="str">
            <v>SHT0015886</v>
          </cell>
          <cell r="C58" t="str">
            <v>侧翼支撑上安装钢丝H4-2.2</v>
          </cell>
          <cell r="D58">
            <v>2000</v>
          </cell>
          <cell r="E58" t="str">
            <v>一厂</v>
          </cell>
          <cell r="F58" t="str">
            <v>Q235</v>
          </cell>
          <cell r="G58">
            <v>6.3299999999999995E-2</v>
          </cell>
          <cell r="I58">
            <v>7.566371681415931</v>
          </cell>
          <cell r="J58">
            <v>0.47895132743362839</v>
          </cell>
        </row>
        <row r="59">
          <cell r="B59" t="str">
            <v>SCS0010765</v>
          </cell>
          <cell r="C59" t="str">
            <v>靠背侧翼支撑钢丝-左</v>
          </cell>
          <cell r="D59">
            <v>280</v>
          </cell>
          <cell r="E59" t="str">
            <v>一厂</v>
          </cell>
          <cell r="F59" t="str">
            <v>Q235</v>
          </cell>
          <cell r="G59">
            <v>5.1200000000000002E-2</v>
          </cell>
          <cell r="I59">
            <v>7.566371681415931</v>
          </cell>
          <cell r="J59">
            <v>0.38739823008849567</v>
          </cell>
        </row>
        <row r="60">
          <cell r="B60" t="str">
            <v>SLT0002546</v>
          </cell>
          <cell r="C60" t="str">
            <v>靠背调角器涡簧J7F/虎V靠背骨架</v>
          </cell>
          <cell r="D60">
            <v>515</v>
          </cell>
          <cell r="E60" t="str">
            <v>一厂</v>
          </cell>
          <cell r="F60" t="e">
            <v>#N/A</v>
          </cell>
          <cell r="G60" t="e">
            <v>#N/A</v>
          </cell>
          <cell r="J60">
            <v>1.96</v>
          </cell>
        </row>
        <row r="61">
          <cell r="B61" t="str">
            <v>SCS0011681</v>
          </cell>
          <cell r="C61" t="str">
            <v>靠背复位卷簧6801506X0001A</v>
          </cell>
          <cell r="D61">
            <v>1000</v>
          </cell>
          <cell r="E61" t="str">
            <v>一厂</v>
          </cell>
          <cell r="F61" t="str">
            <v>SWRH72B</v>
          </cell>
          <cell r="G61">
            <v>0.1431</v>
          </cell>
          <cell r="J61">
            <v>2.7683040000000005</v>
          </cell>
        </row>
        <row r="62">
          <cell r="B62" t="str">
            <v>SCS0010584</v>
          </cell>
          <cell r="C62" t="str">
            <v>靠背面套固定钢丝-左</v>
          </cell>
          <cell r="D62">
            <v>280</v>
          </cell>
          <cell r="E62" t="str">
            <v>一厂</v>
          </cell>
          <cell r="F62" t="str">
            <v>Q235</v>
          </cell>
          <cell r="G62">
            <v>6.4199999999999993E-2</v>
          </cell>
          <cell r="I62">
            <v>7.566371681415931</v>
          </cell>
          <cell r="J62">
            <v>0.48576106194690272</v>
          </cell>
        </row>
        <row r="63">
          <cell r="B63" t="str">
            <v>SCS0007588</v>
          </cell>
          <cell r="C63" t="str">
            <v>快拆涡状扭簧</v>
          </cell>
          <cell r="D63">
            <v>509</v>
          </cell>
          <cell r="E63" t="str">
            <v>一厂</v>
          </cell>
          <cell r="F63" t="str">
            <v>60Mn</v>
          </cell>
          <cell r="G63">
            <v>1.8800000000000001E-2</v>
          </cell>
          <cell r="J63">
            <v>1.8253760000000001</v>
          </cell>
        </row>
        <row r="64">
          <cell r="B64" t="str">
            <v>SHT0000800</v>
          </cell>
          <cell r="C64" t="str">
            <v>H4司机安全带外罩壳固定片</v>
          </cell>
          <cell r="D64">
            <v>538</v>
          </cell>
          <cell r="E64" t="str">
            <v>一厂</v>
          </cell>
          <cell r="F64" t="e">
            <v>#N/A</v>
          </cell>
          <cell r="G64" t="e">
            <v>#N/A</v>
          </cell>
          <cell r="J64">
            <v>1.2245625</v>
          </cell>
        </row>
        <row r="65">
          <cell r="B65" t="str">
            <v>SHT0000801</v>
          </cell>
          <cell r="C65" t="str">
            <v>H4副司安全带外罩壳固定片</v>
          </cell>
          <cell r="D65">
            <v>192</v>
          </cell>
          <cell r="E65" t="str">
            <v>一厂</v>
          </cell>
          <cell r="F65" t="e">
            <v>#N/A</v>
          </cell>
          <cell r="G65" t="e">
            <v>#N/A</v>
          </cell>
          <cell r="J65">
            <v>1.2245625</v>
          </cell>
        </row>
        <row r="66">
          <cell r="B66" t="str">
            <v>SLT0000740</v>
          </cell>
          <cell r="C66" t="str">
            <v>钢丝2.5*160</v>
          </cell>
          <cell r="D66">
            <v>3000</v>
          </cell>
          <cell r="E66" t="str">
            <v>一厂</v>
          </cell>
          <cell r="F66" t="e">
            <v>#N/A</v>
          </cell>
          <cell r="G66">
            <v>6.1700000000000001E-3</v>
          </cell>
          <cell r="I66">
            <v>7.566371681415931</v>
          </cell>
          <cell r="J66">
            <v>4.6684513274336294E-2</v>
          </cell>
        </row>
        <row r="67">
          <cell r="B67" t="str">
            <v>SLT0001093</v>
          </cell>
          <cell r="C67" t="str">
            <v>钢丝2.5*270</v>
          </cell>
          <cell r="D67">
            <v>3000</v>
          </cell>
          <cell r="E67" t="str">
            <v>一厂</v>
          </cell>
          <cell r="F67" t="e">
            <v>#N/A</v>
          </cell>
          <cell r="G67">
            <v>1.0411875000000001E-2</v>
          </cell>
          <cell r="I67">
            <v>7.566371681415931</v>
          </cell>
          <cell r="J67">
            <v>7.8780116150442503E-2</v>
          </cell>
        </row>
        <row r="68">
          <cell r="B68" t="str">
            <v>SLT0001126</v>
          </cell>
          <cell r="C68" t="str">
            <v>钢丝2.5*400</v>
          </cell>
          <cell r="D68">
            <v>4800</v>
          </cell>
          <cell r="E68" t="str">
            <v>一厂</v>
          </cell>
          <cell r="F68" t="e">
            <v>#N/A</v>
          </cell>
          <cell r="G68">
            <v>1.5425000000000001E-2</v>
          </cell>
          <cell r="I68">
            <v>7.566371681415931</v>
          </cell>
          <cell r="J68">
            <v>0.11671128318584074</v>
          </cell>
        </row>
        <row r="69">
          <cell r="B69" t="str">
            <v>SHT0013421</v>
          </cell>
          <cell r="C69" t="str">
            <v>升降主边锁止轴（钢丝8*90）</v>
          </cell>
          <cell r="E69" t="str">
            <v>一厂</v>
          </cell>
          <cell r="F69" t="str">
            <v>Q235</v>
          </cell>
          <cell r="G69">
            <v>3.5999999999999997E-2</v>
          </cell>
          <cell r="I69">
            <v>7.566371681415931</v>
          </cell>
          <cell r="J69">
            <v>0.33905604719764015</v>
          </cell>
        </row>
        <row r="70">
          <cell r="B70" t="str">
            <v>SHT0013422</v>
          </cell>
          <cell r="C70" t="str">
            <v>升降副边锁止轴（钢丝8*95）</v>
          </cell>
          <cell r="E70" t="str">
            <v>一厂</v>
          </cell>
          <cell r="F70" t="str">
            <v>Q235</v>
          </cell>
          <cell r="G70">
            <v>3.6999999999999998E-2</v>
          </cell>
          <cell r="I70">
            <v>7.566371681415931</v>
          </cell>
          <cell r="J70">
            <v>0.4577335299901672</v>
          </cell>
        </row>
        <row r="71">
          <cell r="B71" t="str">
            <v>SLT001224</v>
          </cell>
          <cell r="C71" t="str">
            <v>安全带锁扣限位柱(Q235 8*20)</v>
          </cell>
          <cell r="E71" t="str">
            <v>一厂</v>
          </cell>
          <cell r="F71" t="str">
            <v>Q235</v>
          </cell>
          <cell r="G71">
            <v>8.0000000000000002E-3</v>
          </cell>
          <cell r="I71">
            <v>7.566371681415931</v>
          </cell>
          <cell r="J71">
            <v>0.10940999999999999</v>
          </cell>
        </row>
        <row r="72">
          <cell r="B72" t="str">
            <v>SHT0012063</v>
          </cell>
          <cell r="C72" t="str">
            <v>主边锁止钣金回位簧</v>
          </cell>
          <cell r="E72" t="str">
            <v>一厂</v>
          </cell>
          <cell r="F72" t="str">
            <v>65Mn</v>
          </cell>
          <cell r="G72">
            <v>5.7000000000000002E-3</v>
          </cell>
          <cell r="J72">
            <v>9.8374609686609701E-2</v>
          </cell>
        </row>
        <row r="73">
          <cell r="B73" t="str">
            <v>SHT0012064</v>
          </cell>
          <cell r="C73" t="str">
            <v>副边锁止钣金回位簧</v>
          </cell>
          <cell r="E73" t="str">
            <v>一厂</v>
          </cell>
          <cell r="F73" t="str">
            <v>65Mn</v>
          </cell>
          <cell r="G73">
            <v>5.7000000000000002E-3</v>
          </cell>
          <cell r="J73">
            <v>9.8374609686609701E-2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67"/>
  <sheetViews>
    <sheetView tabSelected="1" workbookViewId="0">
      <pane ySplit="1" topLeftCell="A2" activePane="bottomLeft" state="frozen"/>
      <selection pane="bottomLeft" activeCell="J2" sqref="J2:J67"/>
    </sheetView>
  </sheetViews>
  <sheetFormatPr defaultColWidth="9" defaultRowHeight="14.4" x14ac:dyDescent="0.25"/>
  <cols>
    <col min="1" max="1" width="5.109375" style="88" customWidth="1"/>
    <col min="2" max="2" width="11.44140625" style="88" customWidth="1"/>
    <col min="3" max="3" width="20.33203125" style="88" customWidth="1"/>
    <col min="4" max="4" width="7.33203125" style="88" customWidth="1"/>
    <col min="5" max="5" width="5.109375" style="88" customWidth="1"/>
    <col min="6" max="6" width="7.77734375" style="88" customWidth="1"/>
    <col min="7" max="7" width="7.33203125" style="88" customWidth="1"/>
    <col min="8" max="8" width="14.109375" style="88" customWidth="1"/>
    <col min="9" max="9" width="10.6640625" style="88" customWidth="1"/>
    <col min="10" max="10" width="11.77734375" style="88" customWidth="1"/>
    <col min="11" max="11" width="8.33203125" style="88" hidden="1" customWidth="1"/>
    <col min="12" max="12" width="10" style="108" hidden="1" customWidth="1"/>
    <col min="13" max="13" width="10" style="108" customWidth="1"/>
    <col min="14" max="14" width="18.109375" style="155" customWidth="1"/>
    <col min="15" max="15" width="29.33203125" style="88" customWidth="1"/>
    <col min="16" max="16" width="35.77734375" style="88" customWidth="1"/>
    <col min="17" max="17" width="12.6640625" style="88"/>
    <col min="18" max="16384" width="9" style="88"/>
  </cols>
  <sheetData>
    <row r="1" spans="1:16" ht="37.049999999999997" customHeight="1" x14ac:dyDescent="0.25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130" t="s">
        <v>389</v>
      </c>
      <c r="K1" s="41" t="s">
        <v>9</v>
      </c>
      <c r="L1" s="143" t="s">
        <v>383</v>
      </c>
      <c r="M1" s="133" t="s">
        <v>384</v>
      </c>
      <c r="N1" s="133" t="s">
        <v>402</v>
      </c>
      <c r="O1" s="132" t="s">
        <v>396</v>
      </c>
      <c r="P1" s="130" t="s">
        <v>386</v>
      </c>
    </row>
    <row r="2" spans="1:16" ht="45.6" customHeight="1" x14ac:dyDescent="0.25">
      <c r="A2" s="41">
        <v>1</v>
      </c>
      <c r="B2" s="109" t="s">
        <v>11</v>
      </c>
      <c r="C2" s="110" t="s">
        <v>12</v>
      </c>
      <c r="D2" s="109">
        <v>8910</v>
      </c>
      <c r="E2" s="109" t="s">
        <v>13</v>
      </c>
      <c r="F2" s="41" t="str">
        <f>VLOOKUP(B2,[1]Sheet1!$B$3:$E$27,4,0)</f>
        <v>65Mn</v>
      </c>
      <c r="G2" s="41">
        <f>VLOOKUP(B2,[1]Sheet1!$B$3:$F$27,5,0)</f>
        <v>9.4E-2</v>
      </c>
      <c r="H2" s="109"/>
      <c r="I2" s="109"/>
      <c r="J2" s="109">
        <f>VLOOKUP(B:B,'[2]1明细'!D:G,4,0)</f>
        <v>1.6956</v>
      </c>
      <c r="K2" s="116">
        <v>1.6956</v>
      </c>
      <c r="L2" s="117">
        <f t="shared" ref="L2:L7" si="0">J2-K2</f>
        <v>0</v>
      </c>
      <c r="M2" s="134">
        <f>VLOOKUP(B2,[3]未定价!$B$2:$J$73,9,0)</f>
        <v>1.6956</v>
      </c>
      <c r="N2" s="147">
        <v>1.6956</v>
      </c>
      <c r="O2" s="146" t="s">
        <v>387</v>
      </c>
      <c r="P2" s="109"/>
    </row>
    <row r="3" spans="1:16" ht="45.6" customHeight="1" x14ac:dyDescent="0.25">
      <c r="A3" s="41">
        <v>2</v>
      </c>
      <c r="B3" s="109" t="s">
        <v>14</v>
      </c>
      <c r="C3" s="110" t="s">
        <v>15</v>
      </c>
      <c r="D3" s="109">
        <v>8910</v>
      </c>
      <c r="E3" s="109" t="s">
        <v>13</v>
      </c>
      <c r="F3" s="41" t="str">
        <f>VLOOKUP(B3,[1]Sheet1!$B$3:$E$27,4,0)</f>
        <v>65Mn</v>
      </c>
      <c r="G3" s="41">
        <f>VLOOKUP(B3,[1]Sheet1!$B$3:$F$27,5,0)</f>
        <v>6.8000000000000005E-2</v>
      </c>
      <c r="H3" s="109"/>
      <c r="I3" s="109"/>
      <c r="J3" s="109">
        <f>VLOOKUP(B:B,'[2]1明细'!D:G,4,0)</f>
        <v>1.2276</v>
      </c>
      <c r="K3" s="116">
        <v>1.2276</v>
      </c>
      <c r="L3" s="117">
        <f t="shared" si="0"/>
        <v>0</v>
      </c>
      <c r="M3" s="134">
        <f>VLOOKUP(B3,[3]未定价!$B$2:$J$73,9,0)</f>
        <v>1.2276</v>
      </c>
      <c r="N3" s="147">
        <v>1.2276</v>
      </c>
      <c r="O3" s="146" t="s">
        <v>388</v>
      </c>
      <c r="P3" s="109"/>
    </row>
    <row r="4" spans="1:16" ht="45.6" customHeight="1" x14ac:dyDescent="0.25">
      <c r="A4" s="41">
        <v>3</v>
      </c>
      <c r="B4" s="109" t="s">
        <v>16</v>
      </c>
      <c r="C4" s="109" t="s">
        <v>17</v>
      </c>
      <c r="D4" s="109">
        <v>8700</v>
      </c>
      <c r="E4" s="109" t="s">
        <v>13</v>
      </c>
      <c r="F4" s="41" t="str">
        <f>VLOOKUP(B4,[1]Sheet1!$B$3:$E$27,4,0)</f>
        <v>Q235</v>
      </c>
      <c r="G4" s="41">
        <f>VLOOKUP(B4,[1]Sheet1!$B$3:$F$27,5,0)</f>
        <v>2.01E-2</v>
      </c>
      <c r="H4" s="109"/>
      <c r="I4" s="116">
        <f>8.55/1.13</f>
        <v>7.566371681415931</v>
      </c>
      <c r="J4" s="131">
        <f>VLOOKUP(B:B,'[2]1明细'!D:G,4,0)</f>
        <v>0.16</v>
      </c>
      <c r="K4" s="116">
        <f>I4*G4</f>
        <v>0.15208407079646022</v>
      </c>
      <c r="L4" s="117">
        <f t="shared" si="0"/>
        <v>7.9159292035397844E-3</v>
      </c>
      <c r="M4" s="134">
        <f>VLOOKUP(B4,[3]未定价!$B$2:$J$73,9,0)</f>
        <v>0.15208407079646022</v>
      </c>
      <c r="N4" s="147">
        <v>0.15208407079646022</v>
      </c>
      <c r="O4" s="118"/>
      <c r="P4" s="109"/>
    </row>
    <row r="5" spans="1:16" ht="45.6" customHeight="1" x14ac:dyDescent="0.25">
      <c r="A5" s="41">
        <v>4</v>
      </c>
      <c r="B5" s="109" t="s">
        <v>18</v>
      </c>
      <c r="C5" s="109" t="s">
        <v>19</v>
      </c>
      <c r="D5" s="109">
        <v>3600</v>
      </c>
      <c r="E5" s="109" t="s">
        <v>13</v>
      </c>
      <c r="F5" s="41" t="str">
        <f>VLOOKUP(B5,[1]Sheet1!$B$3:$E$27,4,0)</f>
        <v>Q235</v>
      </c>
      <c r="G5" s="41">
        <f>VLOOKUP(B5,[1]Sheet1!$B$3:$F$27,5,0)</f>
        <v>7.5899999999999995E-2</v>
      </c>
      <c r="H5" s="109"/>
      <c r="I5" s="116">
        <f>8.55/1.13</f>
        <v>7.566371681415931</v>
      </c>
      <c r="J5" s="109">
        <f>VLOOKUP(B:B,'[2]1明细'!D:G,4,0)</f>
        <v>0.60399999999999998</v>
      </c>
      <c r="K5" s="116">
        <f>I5*G5</f>
        <v>0.57428761061946909</v>
      </c>
      <c r="L5" s="117">
        <f t="shared" si="0"/>
        <v>2.971238938053089E-2</v>
      </c>
      <c r="M5" s="134">
        <f>VLOOKUP(B5,[3]未定价!$B$2:$J$73,9,0)</f>
        <v>0.57428761061946909</v>
      </c>
      <c r="N5" s="147">
        <v>0.57428761061946909</v>
      </c>
      <c r="O5" s="118"/>
      <c r="P5" s="109"/>
    </row>
    <row r="6" spans="1:16" ht="45.6" customHeight="1" x14ac:dyDescent="0.25">
      <c r="A6" s="41">
        <v>5</v>
      </c>
      <c r="B6" s="109" t="s">
        <v>20</v>
      </c>
      <c r="C6" s="109" t="s">
        <v>21</v>
      </c>
      <c r="D6" s="109">
        <v>44225</v>
      </c>
      <c r="E6" s="109" t="s">
        <v>13</v>
      </c>
      <c r="F6" s="41" t="str">
        <f>VLOOKUP(B6,[1]Sheet1!$B$3:$E$27,4,0)</f>
        <v>Q235</v>
      </c>
      <c r="G6" s="41">
        <f>VLOOKUP(B6,[1]Sheet1!$B$3:$F$27,5,0)</f>
        <v>5.3999999999999999E-2</v>
      </c>
      <c r="H6" s="109"/>
      <c r="I6" s="116">
        <f t="shared" ref="I6:I7" si="1">8.55/1.13</f>
        <v>7.566371681415931</v>
      </c>
      <c r="J6" s="109">
        <f>VLOOKUP(B:B,'[2]1明细'!D:G,4,0)</f>
        <v>0.43</v>
      </c>
      <c r="K6" s="116">
        <f t="shared" ref="K6:K7" si="2">I6*G6</f>
        <v>0.40858407079646025</v>
      </c>
      <c r="L6" s="117">
        <f t="shared" si="0"/>
        <v>2.1415929203539741E-2</v>
      </c>
      <c r="M6" s="134">
        <f>VLOOKUP(B6,[3]未定价!$B$2:$J$73,9,0)</f>
        <v>0.40858407079646025</v>
      </c>
      <c r="N6" s="148">
        <v>0.40858407079646025</v>
      </c>
      <c r="O6" s="118"/>
      <c r="P6" s="109"/>
    </row>
    <row r="7" spans="1:16" ht="45.6" customHeight="1" x14ac:dyDescent="0.25">
      <c r="A7" s="41">
        <v>6</v>
      </c>
      <c r="B7" s="109" t="s">
        <v>22</v>
      </c>
      <c r="C7" s="109" t="s">
        <v>23</v>
      </c>
      <c r="D7" s="109">
        <v>43725</v>
      </c>
      <c r="E7" s="109" t="s">
        <v>13</v>
      </c>
      <c r="F7" s="41" t="str">
        <f>VLOOKUP(B7,[1]Sheet1!$B$3:$E$27,4,0)</f>
        <v>Q235</v>
      </c>
      <c r="G7" s="41">
        <f>VLOOKUP(B7,[1]Sheet1!$B$3:$F$27,5,0)</f>
        <v>5.3999999999999999E-2</v>
      </c>
      <c r="H7" s="109"/>
      <c r="I7" s="116">
        <f t="shared" si="1"/>
        <v>7.566371681415931</v>
      </c>
      <c r="J7" s="109">
        <f>VLOOKUP(B:B,'[2]1明细'!D:G,4,0)</f>
        <v>0.43</v>
      </c>
      <c r="K7" s="116">
        <f t="shared" si="2"/>
        <v>0.40858407079646025</v>
      </c>
      <c r="L7" s="117">
        <f t="shared" si="0"/>
        <v>2.1415929203539741E-2</v>
      </c>
      <c r="M7" s="134">
        <f>VLOOKUP(B7,[3]未定价!$B$2:$J$73,9,0)</f>
        <v>0.40858407079646025</v>
      </c>
      <c r="N7" s="147">
        <v>0.4085840707964602</v>
      </c>
      <c r="O7" s="118"/>
      <c r="P7" s="109"/>
    </row>
    <row r="8" spans="1:16" ht="45.6" customHeight="1" x14ac:dyDescent="0.25">
      <c r="A8" s="41">
        <v>8</v>
      </c>
      <c r="B8" s="135" t="s">
        <v>373</v>
      </c>
      <c r="C8" s="109" t="s">
        <v>24</v>
      </c>
      <c r="D8" s="109">
        <v>3972</v>
      </c>
      <c r="E8" s="109" t="s">
        <v>13</v>
      </c>
      <c r="F8" s="41" t="str">
        <f>VLOOKUP(B8,[1]Sheet1!$B$3:$E$27,4,0)</f>
        <v>Q235</v>
      </c>
      <c r="G8" s="111" t="e">
        <f>VLOOKUP(B8,[1]Sheet1!$B$3:$F$27,5,0)</f>
        <v>#REF!</v>
      </c>
      <c r="H8" s="109"/>
      <c r="I8" s="109"/>
      <c r="J8" s="109">
        <f>VLOOKUP(B:B,'[2]1明细'!D:G,4,0)</f>
        <v>1.42</v>
      </c>
      <c r="K8" s="116">
        <f>1.42*0.95</f>
        <v>1.349</v>
      </c>
      <c r="L8" s="117">
        <f t="shared" ref="L8:L30" si="3">J8-K8</f>
        <v>7.0999999999999952E-2</v>
      </c>
      <c r="M8" s="134">
        <f>VLOOKUP(B8,[3]未定价!$B$2:$J$73,9,0)</f>
        <v>1.349</v>
      </c>
      <c r="N8" s="147">
        <v>1.349</v>
      </c>
      <c r="O8" s="118" t="s">
        <v>25</v>
      </c>
      <c r="P8" s="109"/>
    </row>
    <row r="9" spans="1:16" ht="45.6" customHeight="1" x14ac:dyDescent="0.25">
      <c r="A9" s="41">
        <v>9</v>
      </c>
      <c r="B9" s="135" t="s">
        <v>374</v>
      </c>
      <c r="C9" s="109" t="str">
        <f>VLOOKUP(B:B,'[2]1明细'!$D:$E,2,0)</f>
        <v>电加热线束固定支架1</v>
      </c>
      <c r="D9" s="109">
        <v>2530</v>
      </c>
      <c r="E9" s="109" t="s">
        <v>13</v>
      </c>
      <c r="F9" s="41" t="s">
        <v>27</v>
      </c>
      <c r="G9" s="41">
        <v>1.7000000000000001E-2</v>
      </c>
      <c r="H9" s="109"/>
      <c r="I9" s="109"/>
      <c r="J9" s="109">
        <f>VLOOKUP(B:B,'[2]1明细'!D:G,4,0)</f>
        <v>0.74</v>
      </c>
      <c r="K9" s="116">
        <v>0.74</v>
      </c>
      <c r="L9" s="117">
        <f t="shared" si="3"/>
        <v>0</v>
      </c>
      <c r="M9" s="134">
        <f>VLOOKUP(B9,[3]未定价!$B$2:$J$73,9,0)</f>
        <v>0.74</v>
      </c>
      <c r="N9" s="147">
        <v>0.74</v>
      </c>
      <c r="O9" s="118" t="s">
        <v>28</v>
      </c>
      <c r="P9" s="109"/>
    </row>
    <row r="10" spans="1:16" ht="45.6" customHeight="1" x14ac:dyDescent="0.25">
      <c r="A10" s="41">
        <v>11</v>
      </c>
      <c r="B10" s="109" t="s">
        <v>29</v>
      </c>
      <c r="C10" s="109" t="s">
        <v>30</v>
      </c>
      <c r="D10" s="109">
        <v>10990</v>
      </c>
      <c r="E10" s="109" t="s">
        <v>13</v>
      </c>
      <c r="F10" s="41" t="str">
        <f>VLOOKUP(B10,[1]Sheet1!$B$3:$E$27,4,0)</f>
        <v>Q235</v>
      </c>
      <c r="G10" s="41">
        <f>VLOOKUP(B10,[1]Sheet1!$B$3:$F$27,5,0)</f>
        <v>4.2999999999999997E-2</v>
      </c>
      <c r="H10" s="109"/>
      <c r="I10" s="116">
        <f t="shared" ref="I10" si="4">8.55/1.13</f>
        <v>7.566371681415931</v>
      </c>
      <c r="J10" s="109">
        <f>VLOOKUP(B:B,'[2]1明细'!D:G,4,0)</f>
        <v>0.34200000000000003</v>
      </c>
      <c r="K10" s="116">
        <f t="shared" ref="K10" si="5">I10*G10</f>
        <v>0.32535398230088503</v>
      </c>
      <c r="L10" s="117">
        <f t="shared" si="3"/>
        <v>1.6646017699115001E-2</v>
      </c>
      <c r="M10" s="134">
        <f>VLOOKUP(B10,[3]未定价!$B$2:$J$73,9,0)</f>
        <v>0.32535398230088503</v>
      </c>
      <c r="N10" s="147">
        <v>0.32535398230088503</v>
      </c>
      <c r="O10" s="118"/>
      <c r="P10" s="109"/>
    </row>
    <row r="11" spans="1:16" ht="45.6" customHeight="1" x14ac:dyDescent="0.25">
      <c r="A11" s="41">
        <v>12</v>
      </c>
      <c r="B11" s="109" t="s">
        <v>31</v>
      </c>
      <c r="C11" s="109" t="str">
        <f>VLOOKUP(B:B,'[2]1明细'!$D:$E,2,0)</f>
        <v>防护弹簧150mm长</v>
      </c>
      <c r="D11" s="109">
        <v>5500</v>
      </c>
      <c r="E11" s="109" t="s">
        <v>13</v>
      </c>
      <c r="F11" s="41" t="e">
        <f>VLOOKUP(B11,[1]Sheet1!$B$3:$E$27,4,0)</f>
        <v>#N/A</v>
      </c>
      <c r="G11" s="41" t="e">
        <f>VLOOKUP(B11,[1]Sheet1!$B$3:$F$27,5,0)</f>
        <v>#N/A</v>
      </c>
      <c r="H11" s="109"/>
      <c r="I11" s="109"/>
      <c r="J11" s="109">
        <v>0.3135</v>
      </c>
      <c r="K11" s="119">
        <f>0.33*0.95</f>
        <v>0.3135</v>
      </c>
      <c r="L11" s="117">
        <f t="shared" si="3"/>
        <v>0</v>
      </c>
      <c r="M11" s="134">
        <f>VLOOKUP(B11,[3]未定价!$B$2:$J$73,9,0)</f>
        <v>0.3135</v>
      </c>
      <c r="N11" s="147">
        <v>0.3135</v>
      </c>
      <c r="O11" s="118" t="s">
        <v>32</v>
      </c>
      <c r="P11" s="109"/>
    </row>
    <row r="12" spans="1:16" s="107" customFormat="1" ht="75" customHeight="1" x14ac:dyDescent="0.25">
      <c r="A12" s="41">
        <v>13</v>
      </c>
      <c r="B12" s="137" t="s">
        <v>375</v>
      </c>
      <c r="C12" s="112" t="s">
        <v>33</v>
      </c>
      <c r="D12" s="112">
        <v>20633</v>
      </c>
      <c r="E12" s="112" t="s">
        <v>13</v>
      </c>
      <c r="F12" s="113" t="s">
        <v>27</v>
      </c>
      <c r="G12" s="113">
        <v>0.15959999999999999</v>
      </c>
      <c r="H12" s="112"/>
      <c r="I12" s="120">
        <f>8.55/1.13</f>
        <v>7.566371681415931</v>
      </c>
      <c r="J12" s="112">
        <v>2.1059999999999999</v>
      </c>
      <c r="K12" s="120">
        <v>2.14</v>
      </c>
      <c r="L12" s="121">
        <f t="shared" si="3"/>
        <v>-3.4000000000000252E-2</v>
      </c>
      <c r="M12" s="134">
        <f>VLOOKUP(B12,[3]未定价!$B$2:$J$73,9,0)</f>
        <v>1.6351637168141595</v>
      </c>
      <c r="N12" s="149">
        <f>最新核价!T23</f>
        <v>1.9643929203539801</v>
      </c>
      <c r="O12" s="138" t="s">
        <v>377</v>
      </c>
      <c r="P12" s="112" t="s">
        <v>34</v>
      </c>
    </row>
    <row r="13" spans="1:16" ht="45.6" customHeight="1" x14ac:dyDescent="0.25">
      <c r="A13" s="41">
        <v>14</v>
      </c>
      <c r="B13" s="109" t="s">
        <v>35</v>
      </c>
      <c r="C13" s="109" t="s">
        <v>36</v>
      </c>
      <c r="D13" s="109">
        <v>11675</v>
      </c>
      <c r="E13" s="109" t="s">
        <v>13</v>
      </c>
      <c r="F13" s="41" t="str">
        <f>VLOOKUP(B13,[1]Sheet1!$B$3:$E$27,4,0)</f>
        <v>Q235</v>
      </c>
      <c r="G13" s="41">
        <f>VLOOKUP(B13,[1]Sheet1!$B$3:$F$27,5,0)</f>
        <v>7.6799999999999993E-2</v>
      </c>
      <c r="H13" s="109"/>
      <c r="I13" s="116">
        <f t="shared" ref="I13:I16" si="6">8.55/1.13</f>
        <v>7.566371681415931</v>
      </c>
      <c r="J13" s="109">
        <f>VLOOKUP(B:B,'[2]1明细'!D:G,4,0)</f>
        <v>0.61199999999999999</v>
      </c>
      <c r="K13" s="116">
        <f t="shared" ref="K13" si="7">I13*G13</f>
        <v>0.58109734513274347</v>
      </c>
      <c r="L13" s="117">
        <f t="shared" si="3"/>
        <v>3.0902654867256518E-2</v>
      </c>
      <c r="M13" s="134">
        <f>VLOOKUP(B13,[3]未定价!$B$2:$J$73,9,0)</f>
        <v>0.58109734513274347</v>
      </c>
      <c r="N13" s="147">
        <v>0.58109734513274347</v>
      </c>
      <c r="O13" s="118"/>
      <c r="P13" s="109"/>
    </row>
    <row r="14" spans="1:16" ht="45.6" customHeight="1" x14ac:dyDescent="0.25">
      <c r="A14" s="41">
        <v>15</v>
      </c>
      <c r="B14" s="109" t="s">
        <v>37</v>
      </c>
      <c r="C14" s="109" t="s">
        <v>38</v>
      </c>
      <c r="D14" s="109">
        <v>5730</v>
      </c>
      <c r="E14" s="109" t="s">
        <v>13</v>
      </c>
      <c r="F14" s="41" t="str">
        <f>VLOOKUP(B14,[1]Sheet1!$B$3:$E$27,4,0)</f>
        <v>Q235</v>
      </c>
      <c r="G14" s="41">
        <f>VLOOKUP(B14,[1]Sheet1!$B$3:$F$27,5,0)</f>
        <v>7.9500000000000001E-2</v>
      </c>
      <c r="H14" s="109"/>
      <c r="I14" s="116">
        <f t="shared" si="6"/>
        <v>7.566371681415931</v>
      </c>
      <c r="J14" s="109">
        <f>VLOOKUP(B:B,'[2]1明细'!D:G,4,0)</f>
        <v>0.63300000000000001</v>
      </c>
      <c r="K14" s="116">
        <f t="shared" ref="K14" si="8">I14*G14</f>
        <v>0.6015265486725665</v>
      </c>
      <c r="L14" s="117">
        <f t="shared" si="3"/>
        <v>3.147345132743351E-2</v>
      </c>
      <c r="M14" s="134">
        <f>VLOOKUP(B14,[3]未定价!$B$2:$J$73,9,0)</f>
        <v>0.6015265486725665</v>
      </c>
      <c r="N14" s="147">
        <v>0.6015265486725665</v>
      </c>
      <c r="O14" s="118"/>
      <c r="P14" s="109"/>
    </row>
    <row r="15" spans="1:16" ht="45.6" customHeight="1" x14ac:dyDescent="0.25">
      <c r="A15" s="41">
        <v>16</v>
      </c>
      <c r="B15" s="109" t="s">
        <v>39</v>
      </c>
      <c r="C15" s="109" t="s">
        <v>40</v>
      </c>
      <c r="D15" s="109">
        <v>5950</v>
      </c>
      <c r="E15" s="109" t="s">
        <v>13</v>
      </c>
      <c r="F15" s="41" t="str">
        <f>VLOOKUP(B15,[1]Sheet1!$B$3:$E$27,4,0)</f>
        <v>Q235</v>
      </c>
      <c r="G15" s="41">
        <f>VLOOKUP(B15,[1]Sheet1!$B$3:$F$27,5,0)</f>
        <v>0.1666</v>
      </c>
      <c r="H15" s="109"/>
      <c r="I15" s="116">
        <f t="shared" si="6"/>
        <v>7.566371681415931</v>
      </c>
      <c r="J15" s="109">
        <f>VLOOKUP(B:B,'[2]1明细'!D:G,4,0)</f>
        <v>1.327</v>
      </c>
      <c r="K15" s="116">
        <f t="shared" ref="K15" si="9">I15*G15</f>
        <v>1.260557522123894</v>
      </c>
      <c r="L15" s="117">
        <f t="shared" si="3"/>
        <v>6.644247787610591E-2</v>
      </c>
      <c r="M15" s="134">
        <f>VLOOKUP(B15,[3]未定价!$B$2:$J$73,9,0)</f>
        <v>1.260557522123894</v>
      </c>
      <c r="N15" s="147">
        <v>1.260557522123894</v>
      </c>
      <c r="O15" s="118"/>
      <c r="P15" s="109"/>
    </row>
    <row r="16" spans="1:16" s="107" customFormat="1" ht="45.6" customHeight="1" x14ac:dyDescent="0.25">
      <c r="A16" s="41">
        <v>17</v>
      </c>
      <c r="B16" s="112" t="s">
        <v>41</v>
      </c>
      <c r="C16" s="112" t="s">
        <v>42</v>
      </c>
      <c r="D16" s="112">
        <v>15112</v>
      </c>
      <c r="E16" s="112" t="s">
        <v>13</v>
      </c>
      <c r="F16" s="113" t="s">
        <v>27</v>
      </c>
      <c r="G16" s="113">
        <v>0.16109999999999999</v>
      </c>
      <c r="H16" s="112"/>
      <c r="I16" s="120">
        <f t="shared" si="6"/>
        <v>7.566371681415931</v>
      </c>
      <c r="J16" s="112">
        <f>VLOOKUP(B:B,'[2]1明细'!D:G,4,0)</f>
        <v>2.1219999999999999</v>
      </c>
      <c r="K16" s="120">
        <v>2.15</v>
      </c>
      <c r="L16" s="121">
        <f t="shared" si="3"/>
        <v>-2.8000000000000025E-2</v>
      </c>
      <c r="M16" s="134">
        <f>VLOOKUP(B16,[3]未定价!$B$2:$J$73,9,0)</f>
        <v>1.4436991150442482</v>
      </c>
      <c r="N16" s="147">
        <f>最新核价!T39</f>
        <v>1.9757424778761101</v>
      </c>
      <c r="O16" s="141" t="s">
        <v>376</v>
      </c>
      <c r="P16" s="112" t="s">
        <v>43</v>
      </c>
    </row>
    <row r="17" spans="1:16" s="107" customFormat="1" ht="70.95" customHeight="1" x14ac:dyDescent="0.25">
      <c r="A17" s="41">
        <v>18</v>
      </c>
      <c r="B17" s="112" t="s">
        <v>44</v>
      </c>
      <c r="C17" s="112" t="s">
        <v>42</v>
      </c>
      <c r="D17" s="112">
        <v>6408</v>
      </c>
      <c r="E17" s="112" t="s">
        <v>13</v>
      </c>
      <c r="F17" s="113" t="s">
        <v>27</v>
      </c>
      <c r="G17" s="113">
        <v>0.15179999999999999</v>
      </c>
      <c r="H17" s="112"/>
      <c r="I17" s="120">
        <v>7.5663716814159301</v>
      </c>
      <c r="J17" s="112">
        <f>VLOOKUP(B:B,'[2]1明细'!D:G,4,0)</f>
        <v>2.0510000000000002</v>
      </c>
      <c r="K17" s="120">
        <v>2.08</v>
      </c>
      <c r="L17" s="121">
        <f t="shared" si="3"/>
        <v>-2.8999999999999915E-2</v>
      </c>
      <c r="M17" s="134">
        <f>VLOOKUP(B17,[3]未定价!$B$2:$J$73,9,0)</f>
        <v>0.79828761061946918</v>
      </c>
      <c r="N17" s="149">
        <f>最新核价!T43</f>
        <v>1.9053752212389401</v>
      </c>
      <c r="O17" s="138" t="s">
        <v>376</v>
      </c>
      <c r="P17" s="112" t="s">
        <v>45</v>
      </c>
    </row>
    <row r="18" spans="1:16" ht="45.6" customHeight="1" x14ac:dyDescent="0.25">
      <c r="A18" s="41">
        <v>19</v>
      </c>
      <c r="B18" s="109" t="s">
        <v>46</v>
      </c>
      <c r="C18" s="109" t="s">
        <v>47</v>
      </c>
      <c r="D18" s="109">
        <v>115</v>
      </c>
      <c r="E18" s="110" t="s">
        <v>48</v>
      </c>
      <c r="F18" s="41" t="e">
        <f>VLOOKUP(B18,[1]Sheet1!$B$3:$E$27,4,0)</f>
        <v>#N/A</v>
      </c>
      <c r="G18" s="41" t="e">
        <f>VLOOKUP(B18,[1]Sheet1!$B$3:$F$27,5,0)</f>
        <v>#N/A</v>
      </c>
      <c r="H18" s="109"/>
      <c r="I18" s="109"/>
      <c r="J18" s="109"/>
      <c r="K18" s="116">
        <f>V71骨架!R40</f>
        <v>18.314680491799372</v>
      </c>
      <c r="L18" s="117">
        <f t="shared" si="3"/>
        <v>-18.314680491799372</v>
      </c>
      <c r="M18" s="134">
        <f>VLOOKUP(B18,[3]未定价!$B$2:$J$73,9,0)</f>
        <v>18.218236047354964</v>
      </c>
      <c r="N18" s="147">
        <v>21.51</v>
      </c>
      <c r="O18" s="146" t="s">
        <v>401</v>
      </c>
      <c r="P18" s="109"/>
    </row>
    <row r="19" spans="1:16" ht="45.6" customHeight="1" x14ac:dyDescent="0.25">
      <c r="A19" s="41">
        <v>20</v>
      </c>
      <c r="B19" s="109" t="s">
        <v>49</v>
      </c>
      <c r="C19" s="109" t="s">
        <v>50</v>
      </c>
      <c r="D19" s="109">
        <v>12570</v>
      </c>
      <c r="E19" s="109" t="s">
        <v>13</v>
      </c>
      <c r="F19" s="41" t="str">
        <f>VLOOKUP(B19,[1]Sheet1!$B$3:$E$27,4,0)</f>
        <v>Q235</v>
      </c>
      <c r="G19" s="41">
        <f>VLOOKUP(B19,[1]Sheet1!$B$3:$F$27,5,0)</f>
        <v>7.0999999999999994E-2</v>
      </c>
      <c r="H19" s="109"/>
      <c r="I19" s="116">
        <f t="shared" ref="I19:I25" si="10">8.55/1.13</f>
        <v>7.566371681415931</v>
      </c>
      <c r="J19" s="109">
        <f>VLOOKUP(B:B,'[2]1明细'!D:G,4,0)</f>
        <v>0.56499999999999995</v>
      </c>
      <c r="K19" s="116">
        <f t="shared" ref="K19" si="11">I19*G19</f>
        <v>0.53721238938053106</v>
      </c>
      <c r="L19" s="117">
        <f t="shared" si="3"/>
        <v>2.7787610619468883E-2</v>
      </c>
      <c r="M19" s="134">
        <f>VLOOKUP(B19,[3]未定价!$B$2:$J$73,9,0)</f>
        <v>0.53721238938053106</v>
      </c>
      <c r="N19" s="147">
        <v>0.53721238938053106</v>
      </c>
      <c r="O19" s="118"/>
      <c r="P19" s="109"/>
    </row>
    <row r="20" spans="1:16" s="107" customFormat="1" ht="45.6" hidden="1" customHeight="1" x14ac:dyDescent="0.25">
      <c r="A20" s="41">
        <v>21</v>
      </c>
      <c r="B20" s="112" t="s">
        <v>51</v>
      </c>
      <c r="C20" s="112" t="s">
        <v>52</v>
      </c>
      <c r="D20" s="112">
        <v>510</v>
      </c>
      <c r="E20" s="112" t="s">
        <v>13</v>
      </c>
      <c r="F20" s="113" t="str">
        <f>VLOOKUP(B20,[1]Sheet1!$B$3:$E$27,4,0)</f>
        <v>65Mn</v>
      </c>
      <c r="G20" s="113">
        <f>VLOOKUP(B20,[1]Sheet1!$B$3:$F$27,5,0)</f>
        <v>0.35599999999999998</v>
      </c>
      <c r="H20" s="112"/>
      <c r="I20" s="112">
        <v>8.5</v>
      </c>
      <c r="J20" s="112">
        <f>VLOOKUP(B:B,'[2]1明细'!D:G,4,0)</f>
        <v>6.2729999999999997</v>
      </c>
      <c r="K20" s="123">
        <v>5.04</v>
      </c>
      <c r="L20" s="121">
        <f t="shared" si="3"/>
        <v>1.2329999999999997</v>
      </c>
      <c r="M20" s="134">
        <f>VLOOKUP(B20,[3]未定价!$B$2:$J$73,9,0)</f>
        <v>5.04</v>
      </c>
      <c r="N20" s="150" t="s">
        <v>379</v>
      </c>
      <c r="O20" s="122"/>
      <c r="P20" s="112" t="s">
        <v>53</v>
      </c>
    </row>
    <row r="21" spans="1:16" ht="45.6" customHeight="1" x14ac:dyDescent="0.25">
      <c r="A21" s="41">
        <v>22</v>
      </c>
      <c r="B21" s="88" t="s">
        <v>54</v>
      </c>
      <c r="C21" s="109" t="s">
        <v>55</v>
      </c>
      <c r="D21" s="109">
        <v>280</v>
      </c>
      <c r="E21" s="109" t="s">
        <v>13</v>
      </c>
      <c r="F21" s="41" t="s">
        <v>56</v>
      </c>
      <c r="G21" s="41">
        <v>6.4000000000000001E-2</v>
      </c>
      <c r="H21" s="109"/>
      <c r="I21" s="116">
        <f t="shared" si="10"/>
        <v>7.566371681415931</v>
      </c>
      <c r="J21" s="109">
        <v>0</v>
      </c>
      <c r="K21" s="116">
        <f t="shared" ref="K21" si="12">I21*G21</f>
        <v>0.4842477876106196</v>
      </c>
      <c r="L21" s="117">
        <f t="shared" si="3"/>
        <v>-0.4842477876106196</v>
      </c>
      <c r="M21" s="134">
        <f>VLOOKUP(B21,[3]未定价!$B$2:$J$73,9,0)</f>
        <v>0.4842477876106196</v>
      </c>
      <c r="N21" s="151">
        <v>0.4842477876106196</v>
      </c>
      <c r="O21" s="88" t="s">
        <v>54</v>
      </c>
      <c r="P21" s="109"/>
    </row>
    <row r="22" spans="1:16" ht="45.6" customHeight="1" x14ac:dyDescent="0.25">
      <c r="A22" s="41">
        <v>23</v>
      </c>
      <c r="B22" s="109" t="s">
        <v>57</v>
      </c>
      <c r="C22" s="109" t="s">
        <v>58</v>
      </c>
      <c r="D22" s="109">
        <v>15500</v>
      </c>
      <c r="E22" s="109" t="s">
        <v>13</v>
      </c>
      <c r="F22" s="41" t="s">
        <v>27</v>
      </c>
      <c r="G22" s="41">
        <v>2.1100000000000001E-2</v>
      </c>
      <c r="H22" s="109"/>
      <c r="I22" s="116">
        <f t="shared" si="10"/>
        <v>7.566371681415931</v>
      </c>
      <c r="J22" s="109">
        <f>VLOOKUP(B:B,'[2]1明细'!D:G,4,0)</f>
        <v>0.16800000000000001</v>
      </c>
      <c r="K22" s="116">
        <f t="shared" ref="K22" si="13">I22*G22</f>
        <v>0.15965044247787616</v>
      </c>
      <c r="L22" s="117">
        <f t="shared" si="3"/>
        <v>8.3495575221238516E-3</v>
      </c>
      <c r="M22" s="134">
        <f>VLOOKUP(B22,[3]未定价!$B$2:$J$73,9,0)</f>
        <v>0.15965044247787616</v>
      </c>
      <c r="N22" s="147">
        <v>0.15965044247787616</v>
      </c>
      <c r="O22" s="118"/>
      <c r="P22" s="109"/>
    </row>
    <row r="23" spans="1:16" s="107" customFormat="1" ht="45.6" customHeight="1" x14ac:dyDescent="0.25">
      <c r="A23" s="41">
        <v>24</v>
      </c>
      <c r="B23" s="112" t="s">
        <v>59</v>
      </c>
      <c r="C23" s="112" t="s">
        <v>60</v>
      </c>
      <c r="D23" s="112">
        <v>30</v>
      </c>
      <c r="E23" s="112" t="s">
        <v>13</v>
      </c>
      <c r="F23" s="113" t="s">
        <v>61</v>
      </c>
      <c r="G23" s="113">
        <v>2.9000000000000001E-2</v>
      </c>
      <c r="H23" s="112"/>
      <c r="I23" s="124">
        <v>7</v>
      </c>
      <c r="J23" s="112">
        <f>VLOOKUP(B:B,'[2]1明细'!D:G,4,0)</f>
        <v>0.67</v>
      </c>
      <c r="K23" s="120">
        <f>[2]自行核价!S3</f>
        <v>0.31908991452991498</v>
      </c>
      <c r="L23" s="121">
        <f t="shared" si="3"/>
        <v>0.35091008547008506</v>
      </c>
      <c r="M23" s="134">
        <f>VLOOKUP(B23,[3]未定价!$B$2:$J$73,9,0)</f>
        <v>0.31908991452991453</v>
      </c>
      <c r="N23" s="147">
        <v>0.53</v>
      </c>
      <c r="O23" s="122"/>
      <c r="P23" s="112" t="s">
        <v>62</v>
      </c>
    </row>
    <row r="24" spans="1:16" ht="45.6" customHeight="1" x14ac:dyDescent="0.25">
      <c r="A24" s="41">
        <v>25</v>
      </c>
      <c r="B24" s="109" t="s">
        <v>63</v>
      </c>
      <c r="C24" s="109" t="s">
        <v>64</v>
      </c>
      <c r="D24" s="109">
        <v>18600</v>
      </c>
      <c r="E24" s="109" t="s">
        <v>13</v>
      </c>
      <c r="F24" s="41" t="str">
        <f>VLOOKUP(B24,[1]Sheet1!$B$3:$E$27,4,0)</f>
        <v>Q235</v>
      </c>
      <c r="G24" s="41">
        <f>VLOOKUP(B24,[1]Sheet1!$B$3:$F$27,5,0)</f>
        <v>7.0000000000000001E-3</v>
      </c>
      <c r="H24" s="109"/>
      <c r="I24" s="116">
        <f t="shared" si="10"/>
        <v>7.566371681415931</v>
      </c>
      <c r="J24" s="109">
        <f>VLOOKUP(B:B,'[2]1明细'!D:G,4,0)</f>
        <v>0.09</v>
      </c>
      <c r="K24" s="116">
        <f t="shared" ref="K24" si="14">I24*G24</f>
        <v>5.2964601769911517E-2</v>
      </c>
      <c r="L24" s="117">
        <f t="shared" si="3"/>
        <v>3.703539823008848E-2</v>
      </c>
      <c r="M24" s="134">
        <f>VLOOKUP(B24,[3]未定价!$B$2:$J$73,9,0)</f>
        <v>5.2964601769911517E-2</v>
      </c>
      <c r="N24" s="147">
        <v>5.2964601769911517E-2</v>
      </c>
      <c r="O24" s="118"/>
      <c r="P24" s="109"/>
    </row>
    <row r="25" spans="1:16" s="107" customFormat="1" ht="45.6" customHeight="1" x14ac:dyDescent="0.25">
      <c r="A25" s="41">
        <v>26</v>
      </c>
      <c r="B25" s="112" t="s">
        <v>65</v>
      </c>
      <c r="C25" s="112" t="s">
        <v>66</v>
      </c>
      <c r="D25" s="112">
        <v>1230</v>
      </c>
      <c r="E25" s="112" t="s">
        <v>13</v>
      </c>
      <c r="F25" s="113" t="s">
        <v>27</v>
      </c>
      <c r="G25" s="113">
        <f>2*0.09+0.056+0.116+0.129+0.064</f>
        <v>0.54499999999999993</v>
      </c>
      <c r="H25" s="112"/>
      <c r="I25" s="120">
        <f t="shared" si="10"/>
        <v>7.566371681415931</v>
      </c>
      <c r="J25" s="112">
        <f>VLOOKUP(B:B,'[2]1明细'!D:G,4,0)</f>
        <v>9.7988</v>
      </c>
      <c r="K25" s="120">
        <v>7.54</v>
      </c>
      <c r="L25" s="121">
        <f t="shared" si="3"/>
        <v>2.2587999999999999</v>
      </c>
      <c r="M25" s="134">
        <f>VLOOKUP(B25,[3]未定价!$B$2:$J$73,9,0)</f>
        <v>5.3519216443716822</v>
      </c>
      <c r="N25" s="152">
        <v>7.54</v>
      </c>
      <c r="O25" s="141" t="s">
        <v>392</v>
      </c>
      <c r="P25" s="112" t="s">
        <v>67</v>
      </c>
    </row>
    <row r="26" spans="1:16" s="107" customFormat="1" ht="45.6" hidden="1" customHeight="1" x14ac:dyDescent="0.25">
      <c r="A26" s="41">
        <v>27</v>
      </c>
      <c r="B26" s="112" t="s">
        <v>68</v>
      </c>
      <c r="C26" s="112" t="s">
        <v>69</v>
      </c>
      <c r="D26" s="112">
        <v>212</v>
      </c>
      <c r="E26" s="112" t="s">
        <v>13</v>
      </c>
      <c r="F26" s="113" t="s">
        <v>61</v>
      </c>
      <c r="G26" s="113">
        <v>1.8800000000000001E-2</v>
      </c>
      <c r="H26" s="112"/>
      <c r="I26" s="125">
        <v>7</v>
      </c>
      <c r="J26" s="112"/>
      <c r="K26" s="120">
        <v>0.35</v>
      </c>
      <c r="L26" s="121">
        <f t="shared" si="3"/>
        <v>-0.35</v>
      </c>
      <c r="M26" s="134">
        <f>VLOOKUP(B26,[3]未定价!$B$2:$J$73,9,0)</f>
        <v>6.7798609686609695E-2</v>
      </c>
      <c r="N26" s="150" t="s">
        <v>379</v>
      </c>
      <c r="O26" s="122"/>
      <c r="P26" s="112" t="s">
        <v>70</v>
      </c>
    </row>
    <row r="27" spans="1:16" s="107" customFormat="1" ht="45.6" hidden="1" customHeight="1" x14ac:dyDescent="0.25">
      <c r="A27" s="41">
        <v>28</v>
      </c>
      <c r="B27" s="112" t="s">
        <v>71</v>
      </c>
      <c r="C27" s="112" t="s">
        <v>72</v>
      </c>
      <c r="D27" s="112">
        <v>218</v>
      </c>
      <c r="E27" s="112" t="s">
        <v>13</v>
      </c>
      <c r="F27" s="113" t="e">
        <f>VLOOKUP(B27,[1]Sheet1!$B$3:$E$27,4,0)</f>
        <v>#N/A</v>
      </c>
      <c r="G27" s="113" t="e">
        <f>VLOOKUP(B27,[1]Sheet1!$B$3:$F$27,5,0)</f>
        <v>#N/A</v>
      </c>
      <c r="H27" s="112"/>
      <c r="I27" s="125">
        <v>7</v>
      </c>
      <c r="J27" s="112"/>
      <c r="K27" s="120">
        <v>0.35</v>
      </c>
      <c r="L27" s="121">
        <f t="shared" si="3"/>
        <v>-0.35</v>
      </c>
      <c r="M27" s="134">
        <f>VLOOKUP(B27,[3]未定价!$B$2:$J$73,9,0)</f>
        <v>6.7798609686609695E-2</v>
      </c>
      <c r="N27" s="150" t="s">
        <v>379</v>
      </c>
      <c r="O27" s="122"/>
      <c r="P27" s="112" t="s">
        <v>70</v>
      </c>
    </row>
    <row r="28" spans="1:16" ht="45.6" customHeight="1" x14ac:dyDescent="0.25">
      <c r="A28" s="41">
        <v>29</v>
      </c>
      <c r="B28" s="109" t="s">
        <v>73</v>
      </c>
      <c r="C28" s="109" t="s">
        <v>74</v>
      </c>
      <c r="D28" s="109">
        <v>2400</v>
      </c>
      <c r="E28" s="109" t="s">
        <v>13</v>
      </c>
      <c r="F28" s="41" t="e">
        <f>VLOOKUP(B28,[1]Sheet1!$B$3:$E$27,4,0)</f>
        <v>#N/A</v>
      </c>
      <c r="G28" s="41" t="e">
        <f>VLOOKUP(B28,[1]Sheet1!$B$3:$F$27,5,0)</f>
        <v>#N/A</v>
      </c>
      <c r="H28" s="109"/>
      <c r="I28" s="109"/>
      <c r="J28" s="109"/>
      <c r="K28" s="116">
        <v>0.15</v>
      </c>
      <c r="L28" s="117">
        <f t="shared" si="3"/>
        <v>-0.15</v>
      </c>
      <c r="M28" s="134">
        <f>VLOOKUP(B28,[3]未定价!$B$2:$J$73,9,0)</f>
        <v>0.15</v>
      </c>
      <c r="N28" s="147">
        <v>0.15</v>
      </c>
      <c r="O28" s="118"/>
      <c r="P28" s="109"/>
    </row>
    <row r="29" spans="1:16" s="107" customFormat="1" ht="45.6" hidden="1" customHeight="1" x14ac:dyDescent="0.25">
      <c r="A29" s="41">
        <v>30</v>
      </c>
      <c r="B29" s="112" t="s">
        <v>75</v>
      </c>
      <c r="C29" s="112" t="s">
        <v>76</v>
      </c>
      <c r="D29" s="112">
        <v>4551</v>
      </c>
      <c r="E29" s="112" t="s">
        <v>13</v>
      </c>
      <c r="F29" s="113" t="e">
        <f>VLOOKUP(B29,[1]Sheet1!$B$3:$E$27,4,0)</f>
        <v>#N/A</v>
      </c>
      <c r="G29" s="113" t="e">
        <f>VLOOKUP(B29,[1]Sheet1!$B$3:$F$27,5,0)</f>
        <v>#N/A</v>
      </c>
      <c r="H29" s="112"/>
      <c r="I29" s="112"/>
      <c r="J29" s="112"/>
      <c r="K29" s="120">
        <v>3.61</v>
      </c>
      <c r="L29" s="121">
        <f t="shared" si="3"/>
        <v>-3.61</v>
      </c>
      <c r="M29" s="134">
        <f>VLOOKUP(B29,[3]未定价!$B$2:$J$73,9,0)</f>
        <v>2.23</v>
      </c>
      <c r="N29" s="150" t="s">
        <v>379</v>
      </c>
      <c r="O29" s="122" t="s">
        <v>77</v>
      </c>
      <c r="P29" s="112" t="s">
        <v>78</v>
      </c>
    </row>
    <row r="30" spans="1:16" s="107" customFormat="1" ht="45.6" customHeight="1" x14ac:dyDescent="0.25">
      <c r="A30" s="41">
        <v>31</v>
      </c>
      <c r="B30" s="112" t="s">
        <v>79</v>
      </c>
      <c r="C30" s="112" t="s">
        <v>80</v>
      </c>
      <c r="D30" s="112">
        <v>401</v>
      </c>
      <c r="E30" s="112" t="s">
        <v>13</v>
      </c>
      <c r="F30" s="113" t="s">
        <v>27</v>
      </c>
      <c r="G30" s="113">
        <f>0.207+0.054</f>
        <v>0.26100000000000001</v>
      </c>
      <c r="H30" s="112"/>
      <c r="I30" s="120">
        <f t="shared" ref="I30:I32" si="15">8.55/1.13</f>
        <v>7.566371681415931</v>
      </c>
      <c r="J30" s="112"/>
      <c r="K30" s="120">
        <v>2.46</v>
      </c>
      <c r="L30" s="121">
        <f t="shared" si="3"/>
        <v>-2.46</v>
      </c>
      <c r="M30" s="134">
        <f>VLOOKUP(B30,[3]未定价!$B$2:$J$73,9,0)</f>
        <v>2.0868230088495578</v>
      </c>
      <c r="N30" s="152">
        <f>最新核价!T87</f>
        <v>2.3732230088495601</v>
      </c>
      <c r="O30" s="141" t="s">
        <v>391</v>
      </c>
      <c r="P30" s="112" t="s">
        <v>81</v>
      </c>
    </row>
    <row r="31" spans="1:16" s="107" customFormat="1" ht="45.6" hidden="1" customHeight="1" x14ac:dyDescent="0.25">
      <c r="A31" s="41">
        <v>32</v>
      </c>
      <c r="B31" s="112" t="s">
        <v>82</v>
      </c>
      <c r="C31" s="112" t="s">
        <v>83</v>
      </c>
      <c r="D31" s="112">
        <v>5200</v>
      </c>
      <c r="E31" s="112" t="s">
        <v>13</v>
      </c>
      <c r="F31" s="113" t="str">
        <f>VLOOKUP(B31,[1]Sheet1!$B$3:$E$27,4,0)</f>
        <v>20#</v>
      </c>
      <c r="G31" s="113">
        <f>VLOOKUP(B31,[1]Sheet1!$B$3:$F$27,5,0)</f>
        <v>1.14E-2</v>
      </c>
      <c r="H31" s="112"/>
      <c r="I31" s="120">
        <f t="shared" si="15"/>
        <v>7.566371681415931</v>
      </c>
      <c r="J31" s="112"/>
      <c r="K31" s="120">
        <v>0.35</v>
      </c>
      <c r="L31" s="121">
        <f t="shared" ref="L31:L67" si="16">J31-K31</f>
        <v>-0.35</v>
      </c>
      <c r="M31" s="134">
        <f>VLOOKUP(B31,[3]未定价!$B$2:$J$73,9,0)</f>
        <v>8.6256637168141623E-2</v>
      </c>
      <c r="N31" s="150" t="s">
        <v>379</v>
      </c>
      <c r="O31" s="122"/>
      <c r="P31" s="112" t="s">
        <v>70</v>
      </c>
    </row>
    <row r="32" spans="1:16" ht="45.6" customHeight="1" x14ac:dyDescent="0.25">
      <c r="A32" s="41">
        <v>33</v>
      </c>
      <c r="B32" s="109" t="s">
        <v>84</v>
      </c>
      <c r="C32" s="109" t="s">
        <v>85</v>
      </c>
      <c r="D32" s="109">
        <v>140300</v>
      </c>
      <c r="E32" s="109" t="s">
        <v>13</v>
      </c>
      <c r="F32" s="41" t="str">
        <f>VLOOKUP(B32,[1]Sheet1!$B$3:$E$27,4,0)</f>
        <v>Q235</v>
      </c>
      <c r="G32" s="41">
        <f>VLOOKUP(B32,[1]Sheet1!$B$3:$F$27,5,0)</f>
        <v>2.4E-2</v>
      </c>
      <c r="H32" s="109"/>
      <c r="I32" s="116">
        <f t="shared" si="15"/>
        <v>7.566371681415931</v>
      </c>
      <c r="J32" s="109"/>
      <c r="K32" s="116">
        <f>I32*G32</f>
        <v>0.18159292035398233</v>
      </c>
      <c r="L32" s="117">
        <f t="shared" si="16"/>
        <v>-0.18159292035398233</v>
      </c>
      <c r="M32" s="134">
        <f>VLOOKUP(B32,[3]未定价!$B$2:$J$73,9,0)</f>
        <v>0.18159292035398233</v>
      </c>
      <c r="N32" s="147">
        <v>0.18159292035398233</v>
      </c>
      <c r="O32" s="118"/>
      <c r="P32" s="109"/>
    </row>
    <row r="33" spans="1:18" ht="45.6" customHeight="1" x14ac:dyDescent="0.25">
      <c r="A33" s="41">
        <v>34</v>
      </c>
      <c r="B33" s="109" t="s">
        <v>86</v>
      </c>
      <c r="C33" s="109" t="s">
        <v>87</v>
      </c>
      <c r="D33" s="109">
        <v>9980</v>
      </c>
      <c r="E33" s="109" t="s">
        <v>13</v>
      </c>
      <c r="F33" s="41" t="str">
        <f>VLOOKUP(B33,[1]Sheet1!$B$3:$E$27,4,0)</f>
        <v>65Mn</v>
      </c>
      <c r="G33" s="41">
        <f>VLOOKUP(B33,[1]Sheet1!$B$3:$F$27,5,0)</f>
        <v>2E-3</v>
      </c>
      <c r="H33" s="109"/>
      <c r="I33" s="109"/>
      <c r="J33" s="109"/>
      <c r="K33" s="116">
        <v>0.3</v>
      </c>
      <c r="L33" s="117">
        <f t="shared" si="16"/>
        <v>-0.3</v>
      </c>
      <c r="M33" s="134">
        <f>VLOOKUP(B33,[3]未定价!$B$2:$J$73,9,0)</f>
        <v>0.26</v>
      </c>
      <c r="N33" s="147">
        <v>0.26</v>
      </c>
      <c r="O33" s="118" t="s">
        <v>88</v>
      </c>
      <c r="P33" s="109"/>
      <c r="R33" s="126"/>
    </row>
    <row r="34" spans="1:18" s="107" customFormat="1" ht="45.6" customHeight="1" x14ac:dyDescent="0.25">
      <c r="A34" s="41">
        <v>35</v>
      </c>
      <c r="B34" s="112" t="s">
        <v>89</v>
      </c>
      <c r="C34" s="112" t="s">
        <v>90</v>
      </c>
      <c r="D34" s="112">
        <v>1240</v>
      </c>
      <c r="E34" s="112" t="s">
        <v>13</v>
      </c>
      <c r="F34" s="113" t="e">
        <f>VLOOKUP(B34,[1]Sheet1!$B$3:$E$27,4,0)</f>
        <v>#N/A</v>
      </c>
      <c r="G34" s="113" t="e">
        <f>VLOOKUP(B34,[1]Sheet1!$B$3:$F$27,5,0)</f>
        <v>#N/A</v>
      </c>
      <c r="H34" s="112"/>
      <c r="I34" s="112"/>
      <c r="J34" s="112"/>
      <c r="K34" s="120">
        <v>5.78</v>
      </c>
      <c r="L34" s="121">
        <f t="shared" si="16"/>
        <v>-5.78</v>
      </c>
      <c r="M34" s="134">
        <f>VLOOKUP(B34,[3]未定价!$B$2:$J$73,9,0)</f>
        <v>3.8476959806548678</v>
      </c>
      <c r="N34" s="152">
        <v>5.78</v>
      </c>
      <c r="O34" s="141" t="s">
        <v>392</v>
      </c>
      <c r="P34" s="112" t="s">
        <v>91</v>
      </c>
    </row>
    <row r="35" spans="1:18" s="107" customFormat="1" ht="45.6" hidden="1" customHeight="1" x14ac:dyDescent="0.25">
      <c r="A35" s="41">
        <v>36</v>
      </c>
      <c r="B35" s="112" t="s">
        <v>92</v>
      </c>
      <c r="C35" s="112" t="s">
        <v>93</v>
      </c>
      <c r="D35" s="112">
        <v>14230</v>
      </c>
      <c r="E35" s="112" t="s">
        <v>13</v>
      </c>
      <c r="F35" s="113" t="e">
        <f>VLOOKUP(B35,[1]Sheet1!$B$3:$E$27,4,0)</f>
        <v>#N/A</v>
      </c>
      <c r="G35" s="113" t="e">
        <f>VLOOKUP(B35,[1]Sheet1!$B$3:$F$27,5,0)</f>
        <v>#N/A</v>
      </c>
      <c r="H35" s="112"/>
      <c r="I35" s="112"/>
      <c r="J35" s="112"/>
      <c r="K35" s="120">
        <v>2.4300000000000002</v>
      </c>
      <c r="L35" s="121">
        <f t="shared" si="16"/>
        <v>-2.4300000000000002</v>
      </c>
      <c r="M35" s="134">
        <f>VLOOKUP(B35,[3]未定价!$B$2:$J$73,9,0)</f>
        <v>2.4300000000000002</v>
      </c>
      <c r="N35" s="150" t="s">
        <v>379</v>
      </c>
      <c r="O35" s="122" t="s">
        <v>94</v>
      </c>
      <c r="P35" s="112" t="s">
        <v>95</v>
      </c>
    </row>
    <row r="36" spans="1:18" ht="45.6" customHeight="1" x14ac:dyDescent="0.25">
      <c r="A36" s="41">
        <v>37</v>
      </c>
      <c r="B36" s="109" t="s">
        <v>96</v>
      </c>
      <c r="C36" s="109" t="s">
        <v>97</v>
      </c>
      <c r="D36" s="109">
        <v>-1000</v>
      </c>
      <c r="E36" s="109" t="s">
        <v>13</v>
      </c>
      <c r="F36" s="41" t="s">
        <v>27</v>
      </c>
      <c r="G36" s="41">
        <v>6.0499999999999998E-2</v>
      </c>
      <c r="H36" s="109"/>
      <c r="I36" s="116">
        <f t="shared" ref="I36:I46" si="17">8.55/1.13</f>
        <v>7.566371681415931</v>
      </c>
      <c r="J36" s="109"/>
      <c r="K36" s="116">
        <f>I36*G36</f>
        <v>0.45776548672566381</v>
      </c>
      <c r="L36" s="117">
        <f t="shared" si="16"/>
        <v>-0.45776548672566381</v>
      </c>
      <c r="M36" s="134">
        <f>VLOOKUP(B36,[3]未定价!$B$2:$J$73,9,0)</f>
        <v>0.45776548672566381</v>
      </c>
      <c r="N36" s="147">
        <v>0.45776548672566381</v>
      </c>
      <c r="O36" s="118"/>
      <c r="P36" s="109"/>
    </row>
    <row r="37" spans="1:18" s="107" customFormat="1" ht="45.6" hidden="1" customHeight="1" x14ac:dyDescent="0.25">
      <c r="A37" s="41">
        <v>38</v>
      </c>
      <c r="B37" s="112" t="s">
        <v>98</v>
      </c>
      <c r="C37" s="112" t="s">
        <v>99</v>
      </c>
      <c r="D37" s="112">
        <v>159060</v>
      </c>
      <c r="E37" s="112" t="s">
        <v>13</v>
      </c>
      <c r="F37" s="113" t="str">
        <f>VLOOKUP(B37,[1]Sheet1!$B$3:$E$27,4,0)</f>
        <v>65Mn</v>
      </c>
      <c r="G37" s="113">
        <f>VLOOKUP(B37,[1]Sheet1!$B$3:$F$27,5,0)</f>
        <v>1.8E-3</v>
      </c>
      <c r="H37" s="112"/>
      <c r="I37" s="112"/>
      <c r="J37" s="112">
        <v>0.188</v>
      </c>
      <c r="K37" s="120">
        <v>0.18</v>
      </c>
      <c r="L37" s="121">
        <f t="shared" si="16"/>
        <v>8.0000000000000071E-3</v>
      </c>
      <c r="M37" s="134">
        <f>VLOOKUP(B37,[3]未定价!$B$2:$J$73,9,0)</f>
        <v>7.8998609686609683E-2</v>
      </c>
      <c r="N37" s="150" t="s">
        <v>379</v>
      </c>
      <c r="O37" s="122"/>
      <c r="P37" s="112" t="s">
        <v>100</v>
      </c>
    </row>
    <row r="38" spans="1:18" ht="45.6" customHeight="1" x14ac:dyDescent="0.25">
      <c r="A38" s="41">
        <v>39</v>
      </c>
      <c r="B38" s="109" t="s">
        <v>101</v>
      </c>
      <c r="C38" s="109" t="s">
        <v>102</v>
      </c>
      <c r="D38" s="109">
        <v>-40</v>
      </c>
      <c r="E38" s="109" t="s">
        <v>13</v>
      </c>
      <c r="F38" s="41" t="s">
        <v>27</v>
      </c>
      <c r="G38" s="41">
        <v>6.3E-2</v>
      </c>
      <c r="H38" s="109"/>
      <c r="I38" s="116">
        <f t="shared" si="17"/>
        <v>7.566371681415931</v>
      </c>
      <c r="J38" s="109"/>
      <c r="K38" s="116">
        <f>I38*G38</f>
        <v>0.47668141592920366</v>
      </c>
      <c r="L38" s="117">
        <f t="shared" si="16"/>
        <v>-0.47668141592920366</v>
      </c>
      <c r="M38" s="134">
        <f>VLOOKUP(B38,[3]未定价!$B$2:$J$73,9,0)</f>
        <v>0.47668141592920366</v>
      </c>
      <c r="N38" s="147">
        <v>0.47668141592920366</v>
      </c>
      <c r="O38" s="118"/>
      <c r="P38" s="109"/>
    </row>
    <row r="39" spans="1:18" s="107" customFormat="1" ht="45.6" customHeight="1" x14ac:dyDescent="0.25">
      <c r="A39" s="41">
        <v>40</v>
      </c>
      <c r="B39" s="112" t="s">
        <v>103</v>
      </c>
      <c r="C39" s="112" t="s">
        <v>104</v>
      </c>
      <c r="D39" s="112">
        <v>16394</v>
      </c>
      <c r="E39" s="112" t="s">
        <v>13</v>
      </c>
      <c r="F39" s="113" t="s">
        <v>27</v>
      </c>
      <c r="G39" s="113">
        <v>0.3085</v>
      </c>
      <c r="H39" s="112"/>
      <c r="I39" s="112"/>
      <c r="J39" s="112"/>
      <c r="K39" s="120">
        <v>3.73</v>
      </c>
      <c r="L39" s="121">
        <f t="shared" si="16"/>
        <v>-3.73</v>
      </c>
      <c r="M39" s="134">
        <f>VLOOKUP(B39,[3]未定价!$B$2:$J$73,9,0)</f>
        <v>2.1973274336283191</v>
      </c>
      <c r="N39" s="147">
        <f>最新核价!T119</f>
        <v>3.4589964601769898</v>
      </c>
      <c r="O39" s="141" t="s">
        <v>394</v>
      </c>
      <c r="P39" s="112" t="s">
        <v>105</v>
      </c>
    </row>
    <row r="40" spans="1:18" ht="45.6" customHeight="1" x14ac:dyDescent="0.25">
      <c r="A40" s="41">
        <v>41</v>
      </c>
      <c r="B40" s="109" t="s">
        <v>106</v>
      </c>
      <c r="C40" s="109" t="s">
        <v>107</v>
      </c>
      <c r="D40" s="109">
        <v>35790</v>
      </c>
      <c r="E40" s="109" t="s">
        <v>13</v>
      </c>
      <c r="F40" s="41" t="s">
        <v>108</v>
      </c>
      <c r="G40" s="41">
        <v>2.7E-2</v>
      </c>
      <c r="H40" s="109"/>
      <c r="I40" s="116">
        <f t="shared" si="17"/>
        <v>7.566371681415931</v>
      </c>
      <c r="J40" s="109"/>
      <c r="K40" s="116">
        <f t="shared" ref="K40:K46" si="18">I40*G40</f>
        <v>0.20429203539823013</v>
      </c>
      <c r="L40" s="117">
        <f t="shared" si="16"/>
        <v>-0.20429203539823013</v>
      </c>
      <c r="M40" s="134">
        <f>VLOOKUP(B40,[3]未定价!$B$2:$J$73,9,0)</f>
        <v>0.20429203539823013</v>
      </c>
      <c r="N40" s="147">
        <v>0.20429203539823013</v>
      </c>
      <c r="O40" s="118"/>
      <c r="P40" s="109"/>
    </row>
    <row r="41" spans="1:18" ht="45.6" customHeight="1" x14ac:dyDescent="0.25">
      <c r="A41" s="41">
        <v>42</v>
      </c>
      <c r="B41" s="109" t="s">
        <v>109</v>
      </c>
      <c r="C41" s="109" t="s">
        <v>110</v>
      </c>
      <c r="D41" s="109">
        <v>17820</v>
      </c>
      <c r="E41" s="109" t="s">
        <v>13</v>
      </c>
      <c r="F41" s="41" t="s">
        <v>108</v>
      </c>
      <c r="G41" s="41">
        <v>9.1999999999999998E-2</v>
      </c>
      <c r="H41" s="109"/>
      <c r="I41" s="116">
        <f t="shared" si="17"/>
        <v>7.566371681415931</v>
      </c>
      <c r="J41" s="109"/>
      <c r="K41" s="116">
        <f t="shared" si="18"/>
        <v>0.69610619469026569</v>
      </c>
      <c r="L41" s="117">
        <f t="shared" si="16"/>
        <v>-0.69610619469026569</v>
      </c>
      <c r="M41" s="134">
        <f>VLOOKUP(B41,[3]未定价!$B$2:$J$73,9,0)</f>
        <v>0.69610619469026569</v>
      </c>
      <c r="N41" s="147">
        <v>0.69610619469026569</v>
      </c>
      <c r="O41" s="118"/>
      <c r="P41" s="109"/>
    </row>
    <row r="42" spans="1:18" ht="45.6" customHeight="1" x14ac:dyDescent="0.25">
      <c r="A42" s="41">
        <v>43</v>
      </c>
      <c r="B42" s="109" t="s">
        <v>111</v>
      </c>
      <c r="C42" s="109" t="s">
        <v>112</v>
      </c>
      <c r="D42" s="109">
        <v>18999</v>
      </c>
      <c r="E42" s="109" t="s">
        <v>13</v>
      </c>
      <c r="F42" s="41" t="s">
        <v>108</v>
      </c>
      <c r="G42" s="41">
        <v>7.3999999999999996E-2</v>
      </c>
      <c r="H42" s="109"/>
      <c r="I42" s="116">
        <f t="shared" si="17"/>
        <v>7.566371681415931</v>
      </c>
      <c r="J42" s="109"/>
      <c r="K42" s="116">
        <f t="shared" si="18"/>
        <v>0.55991150442477888</v>
      </c>
      <c r="L42" s="117">
        <f t="shared" si="16"/>
        <v>-0.55991150442477888</v>
      </c>
      <c r="M42" s="134">
        <f>VLOOKUP(B42,[3]未定价!$B$2:$J$73,9,0)</f>
        <v>0.55991150442477888</v>
      </c>
      <c r="N42" s="147">
        <v>0.55991150442477888</v>
      </c>
      <c r="O42" s="118"/>
      <c r="P42" s="109"/>
    </row>
    <row r="43" spans="1:18" ht="45.6" customHeight="1" x14ac:dyDescent="0.25">
      <c r="A43" s="41">
        <v>44</v>
      </c>
      <c r="B43" s="109" t="s">
        <v>113</v>
      </c>
      <c r="C43" s="109" t="s">
        <v>114</v>
      </c>
      <c r="D43" s="109">
        <v>9000</v>
      </c>
      <c r="E43" s="109" t="s">
        <v>13</v>
      </c>
      <c r="F43" s="41" t="s">
        <v>27</v>
      </c>
      <c r="G43" s="41">
        <v>1.54E-2</v>
      </c>
      <c r="H43" s="109"/>
      <c r="I43" s="116">
        <f t="shared" si="17"/>
        <v>7.566371681415931</v>
      </c>
      <c r="J43" s="109"/>
      <c r="K43" s="116">
        <f t="shared" si="18"/>
        <v>0.11652212389380534</v>
      </c>
      <c r="L43" s="117">
        <f t="shared" si="16"/>
        <v>-0.11652212389380534</v>
      </c>
      <c r="M43" s="134">
        <f>VLOOKUP(B43,[3]未定价!$B$2:$J$73,9,0)</f>
        <v>0.11652212389380534</v>
      </c>
      <c r="N43" s="147">
        <v>0.11652212389380534</v>
      </c>
      <c r="O43" s="118"/>
      <c r="P43" s="109"/>
    </row>
    <row r="44" spans="1:18" ht="45.6" customHeight="1" x14ac:dyDescent="0.25">
      <c r="A44" s="41">
        <v>45</v>
      </c>
      <c r="B44" s="109" t="s">
        <v>115</v>
      </c>
      <c r="C44" s="109" t="s">
        <v>116</v>
      </c>
      <c r="D44" s="109">
        <v>9000</v>
      </c>
      <c r="E44" s="109" t="s">
        <v>13</v>
      </c>
      <c r="F44" s="41" t="s">
        <v>27</v>
      </c>
      <c r="G44" s="41">
        <v>2.4199999999999999E-2</v>
      </c>
      <c r="H44" s="109"/>
      <c r="I44" s="116">
        <f t="shared" si="17"/>
        <v>7.566371681415931</v>
      </c>
      <c r="J44" s="109"/>
      <c r="K44" s="116">
        <f t="shared" si="18"/>
        <v>0.18310619469026551</v>
      </c>
      <c r="L44" s="117">
        <f t="shared" si="16"/>
        <v>-0.18310619469026551</v>
      </c>
      <c r="M44" s="134">
        <f>VLOOKUP(B44,[3]未定价!$B$2:$J$73,9,0)</f>
        <v>0.18310619469026551</v>
      </c>
      <c r="N44" s="147">
        <v>0.18310619469026551</v>
      </c>
      <c r="O44" s="118"/>
      <c r="P44" s="109"/>
    </row>
    <row r="45" spans="1:18" ht="45.6" customHeight="1" x14ac:dyDescent="0.25">
      <c r="A45" s="41">
        <v>46</v>
      </c>
      <c r="B45" s="109" t="s">
        <v>117</v>
      </c>
      <c r="C45" s="109" t="s">
        <v>118</v>
      </c>
      <c r="D45" s="109">
        <v>8467</v>
      </c>
      <c r="E45" s="109" t="s">
        <v>13</v>
      </c>
      <c r="F45" s="41" t="s">
        <v>27</v>
      </c>
      <c r="G45" s="41">
        <v>9.5299999999999996E-2</v>
      </c>
      <c r="H45" s="109"/>
      <c r="I45" s="116">
        <f t="shared" si="17"/>
        <v>7.566371681415931</v>
      </c>
      <c r="J45" s="109"/>
      <c r="K45" s="116">
        <f t="shared" si="18"/>
        <v>0.72107522123893819</v>
      </c>
      <c r="L45" s="117">
        <f t="shared" si="16"/>
        <v>-0.72107522123893819</v>
      </c>
      <c r="M45" s="134">
        <f>VLOOKUP(B45,[3]未定价!$B$2:$J$73,9,0)</f>
        <v>0.72107522123893819</v>
      </c>
      <c r="N45" s="147">
        <v>0.72107522123893819</v>
      </c>
      <c r="O45" s="118"/>
      <c r="P45" s="109"/>
    </row>
    <row r="46" spans="1:18" ht="45.6" customHeight="1" x14ac:dyDescent="0.25">
      <c r="A46" s="41">
        <v>47</v>
      </c>
      <c r="B46" s="109" t="s">
        <v>119</v>
      </c>
      <c r="C46" s="109" t="s">
        <v>120</v>
      </c>
      <c r="D46" s="109">
        <v>2993</v>
      </c>
      <c r="E46" s="109" t="s">
        <v>13</v>
      </c>
      <c r="F46" s="41" t="s">
        <v>27</v>
      </c>
      <c r="G46" s="41">
        <v>6.7000000000000004E-2</v>
      </c>
      <c r="H46" s="109"/>
      <c r="I46" s="116">
        <f t="shared" si="17"/>
        <v>7.566371681415931</v>
      </c>
      <c r="J46" s="109"/>
      <c r="K46" s="116">
        <f t="shared" si="18"/>
        <v>0.50694690265486742</v>
      </c>
      <c r="L46" s="117">
        <f t="shared" si="16"/>
        <v>-0.50694690265486742</v>
      </c>
      <c r="M46" s="134">
        <f>VLOOKUP(B46,[3]未定价!$B$2:$J$73,9,0)</f>
        <v>0.50694690265486742</v>
      </c>
      <c r="N46" s="147">
        <v>0.50694690265486742</v>
      </c>
      <c r="O46" s="118"/>
      <c r="P46" s="109"/>
    </row>
    <row r="47" spans="1:18" s="107" customFormat="1" ht="45.6" customHeight="1" x14ac:dyDescent="0.25">
      <c r="A47" s="41">
        <v>48</v>
      </c>
      <c r="B47" s="112" t="s">
        <v>121</v>
      </c>
      <c r="C47" s="112" t="s">
        <v>122</v>
      </c>
      <c r="D47" s="112">
        <v>83</v>
      </c>
      <c r="E47" s="112" t="s">
        <v>13</v>
      </c>
      <c r="F47" s="113" t="e">
        <f>VLOOKUP(B47,[1]Sheet1!$B$3:$E$27,4,0)</f>
        <v>#N/A</v>
      </c>
      <c r="G47" s="113" t="e">
        <f>VLOOKUP(B47,[1]Sheet1!$B$3:$F$27,5,0)</f>
        <v>#N/A</v>
      </c>
      <c r="H47" s="112"/>
      <c r="I47" s="112"/>
      <c r="J47" s="112"/>
      <c r="K47" s="120">
        <f>铁马骨架核算!T15</f>
        <v>18.505826628318601</v>
      </c>
      <c r="L47" s="121">
        <f t="shared" si="16"/>
        <v>-18.505826628318601</v>
      </c>
      <c r="M47" s="134">
        <f>VLOOKUP(B47,[3]未定价!$B$2:$J$73,9,0)</f>
        <v>17.195426628318586</v>
      </c>
      <c r="N47" s="147">
        <v>20.010000000000002</v>
      </c>
      <c r="O47" s="141" t="s">
        <v>395</v>
      </c>
      <c r="P47" s="112" t="s">
        <v>123</v>
      </c>
    </row>
    <row r="48" spans="1:18" ht="45.6" customHeight="1" x14ac:dyDescent="0.25">
      <c r="A48" s="41">
        <v>49</v>
      </c>
      <c r="B48" s="109" t="s">
        <v>124</v>
      </c>
      <c r="C48" s="109" t="s">
        <v>125</v>
      </c>
      <c r="D48" s="109">
        <v>16900</v>
      </c>
      <c r="E48" s="109" t="s">
        <v>13</v>
      </c>
      <c r="F48" s="41" t="s">
        <v>126</v>
      </c>
      <c r="G48" s="41">
        <v>4.5999999999999999E-2</v>
      </c>
      <c r="H48" s="109"/>
      <c r="I48" s="116">
        <f t="shared" ref="I48:I49" si="19">8.55/1.13</f>
        <v>7.566371681415931</v>
      </c>
      <c r="J48" s="109"/>
      <c r="K48" s="116">
        <f>I48*G48</f>
        <v>0.34805309734513284</v>
      </c>
      <c r="L48" s="117">
        <f t="shared" si="16"/>
        <v>-0.34805309734513284</v>
      </c>
      <c r="M48" s="134">
        <f>VLOOKUP(B48,[3]未定价!$B$2:$J$73,9,0)</f>
        <v>0.34805309734513284</v>
      </c>
      <c r="N48" s="147">
        <v>0.34805309734513284</v>
      </c>
      <c r="O48" s="118"/>
      <c r="P48" s="109"/>
    </row>
    <row r="49" spans="1:16" ht="45.6" customHeight="1" x14ac:dyDescent="0.25">
      <c r="A49" s="41">
        <v>50</v>
      </c>
      <c r="B49" s="109" t="s">
        <v>127</v>
      </c>
      <c r="C49" s="109" t="s">
        <v>128</v>
      </c>
      <c r="D49" s="109">
        <v>11810</v>
      </c>
      <c r="E49" s="109" t="s">
        <v>13</v>
      </c>
      <c r="F49" s="41" t="s">
        <v>27</v>
      </c>
      <c r="G49" s="41">
        <v>5.8099999999999999E-2</v>
      </c>
      <c r="H49" s="109"/>
      <c r="I49" s="116">
        <f t="shared" si="19"/>
        <v>7.566371681415931</v>
      </c>
      <c r="J49" s="109"/>
      <c r="K49" s="116">
        <f>I49*G49</f>
        <v>0.43960619469026557</v>
      </c>
      <c r="L49" s="117">
        <f t="shared" si="16"/>
        <v>-0.43960619469026557</v>
      </c>
      <c r="M49" s="134">
        <f>VLOOKUP(B49,[3]未定价!$B$2:$J$73,9,0)</f>
        <v>0.43960619469026557</v>
      </c>
      <c r="N49" s="147">
        <v>0.43960619469026557</v>
      </c>
      <c r="O49" s="118"/>
      <c r="P49" s="109"/>
    </row>
    <row r="50" spans="1:16" ht="45.6" customHeight="1" x14ac:dyDescent="0.25">
      <c r="A50" s="41">
        <v>51</v>
      </c>
      <c r="B50" s="109" t="s">
        <v>129</v>
      </c>
      <c r="C50" s="109" t="s">
        <v>130</v>
      </c>
      <c r="D50" s="109">
        <v>3170</v>
      </c>
      <c r="E50" s="109" t="s">
        <v>13</v>
      </c>
      <c r="F50" s="41" t="str">
        <f>VLOOKUP(B50,[1]Sheet1!$B$3:$E$27,4,0)</f>
        <v>Q235</v>
      </c>
      <c r="G50" s="41">
        <f>VLOOKUP(B50,[1]Sheet1!$B$3:$F$27,5,0)</f>
        <v>0.24</v>
      </c>
      <c r="H50" s="109"/>
      <c r="I50" s="116">
        <f t="shared" ref="I50:I53" si="20">8.55/1.13</f>
        <v>7.566371681415931</v>
      </c>
      <c r="J50" s="109"/>
      <c r="K50" s="116">
        <f t="shared" ref="K50" si="21">I50*G50</f>
        <v>1.8159292035398233</v>
      </c>
      <c r="L50" s="117">
        <f t="shared" si="16"/>
        <v>-1.8159292035398233</v>
      </c>
      <c r="M50" s="134">
        <f>VLOOKUP(B50,[3]未定价!$B$2:$J$73,9,0)</f>
        <v>1.8159292035398233</v>
      </c>
      <c r="N50" s="147">
        <v>1.8159292035398233</v>
      </c>
      <c r="O50" s="118"/>
      <c r="P50" s="109"/>
    </row>
    <row r="51" spans="1:16" ht="45.6" customHeight="1" x14ac:dyDescent="0.25">
      <c r="A51" s="41">
        <v>52</v>
      </c>
      <c r="B51" s="109" t="s">
        <v>131</v>
      </c>
      <c r="C51" s="109" t="s">
        <v>132</v>
      </c>
      <c r="D51" s="109">
        <v>-9</v>
      </c>
      <c r="E51" s="109" t="s">
        <v>13</v>
      </c>
      <c r="F51" s="41" t="e">
        <f>VLOOKUP(B51,[1]Sheet1!$B$3:$E$27,4,0)</f>
        <v>#N/A</v>
      </c>
      <c r="G51" s="41" t="e">
        <f>VLOOKUP(B51,[1]Sheet1!$B$3:$F$27,5,0)</f>
        <v>#N/A</v>
      </c>
      <c r="H51" s="109"/>
      <c r="I51" s="109"/>
      <c r="J51" s="109"/>
      <c r="K51" s="127">
        <v>0.81242999999999999</v>
      </c>
      <c r="L51" s="117">
        <f t="shared" si="16"/>
        <v>-0.81242999999999999</v>
      </c>
      <c r="M51" s="134">
        <f>VLOOKUP(B51,[3]未定价!$B$2:$J$73,9,0)</f>
        <v>0.81242999999999999</v>
      </c>
      <c r="N51" s="147">
        <v>0.81242999999999999</v>
      </c>
      <c r="O51" s="118"/>
      <c r="P51" s="109"/>
    </row>
    <row r="52" spans="1:16" ht="45.6" customHeight="1" x14ac:dyDescent="0.25">
      <c r="A52" s="41">
        <v>53</v>
      </c>
      <c r="B52" s="109" t="s">
        <v>133</v>
      </c>
      <c r="C52" s="109" t="s">
        <v>134</v>
      </c>
      <c r="D52" s="109">
        <v>2000</v>
      </c>
      <c r="E52" s="109" t="s">
        <v>13</v>
      </c>
      <c r="F52" s="41" t="s">
        <v>27</v>
      </c>
      <c r="G52" s="41">
        <v>6.3299999999999995E-2</v>
      </c>
      <c r="H52" s="109"/>
      <c r="I52" s="116">
        <f t="shared" si="20"/>
        <v>7.566371681415931</v>
      </c>
      <c r="J52" s="109"/>
      <c r="K52" s="116">
        <f t="shared" ref="K52:K53" si="22">I52*G52</f>
        <v>0.47895132743362839</v>
      </c>
      <c r="L52" s="117">
        <f t="shared" si="16"/>
        <v>-0.47895132743362839</v>
      </c>
      <c r="M52" s="134">
        <f>VLOOKUP(B52,[3]未定价!$B$2:$J$73,9,0)</f>
        <v>0.47895132743362839</v>
      </c>
      <c r="N52" s="147">
        <v>0.47895132743362839</v>
      </c>
      <c r="O52" s="118"/>
      <c r="P52" s="109"/>
    </row>
    <row r="53" spans="1:16" ht="45.6" customHeight="1" x14ac:dyDescent="0.25">
      <c r="A53" s="41">
        <v>54</v>
      </c>
      <c r="B53" s="109" t="s">
        <v>135</v>
      </c>
      <c r="C53" s="109" t="s">
        <v>136</v>
      </c>
      <c r="D53" s="109">
        <v>280</v>
      </c>
      <c r="E53" s="109" t="s">
        <v>13</v>
      </c>
      <c r="F53" s="41" t="s">
        <v>27</v>
      </c>
      <c r="G53" s="41">
        <v>5.1200000000000002E-2</v>
      </c>
      <c r="H53" s="109"/>
      <c r="I53" s="116">
        <f t="shared" si="20"/>
        <v>7.566371681415931</v>
      </c>
      <c r="J53" s="109"/>
      <c r="K53" s="116">
        <f t="shared" si="22"/>
        <v>0.38739823008849567</v>
      </c>
      <c r="L53" s="117">
        <f t="shared" si="16"/>
        <v>-0.38739823008849567</v>
      </c>
      <c r="M53" s="134">
        <f>VLOOKUP(B53,[3]未定价!$B$2:$J$73,9,0)</f>
        <v>0.38739823008849567</v>
      </c>
      <c r="N53" s="153">
        <v>0.38739823008849567</v>
      </c>
      <c r="O53" s="128"/>
      <c r="P53" s="109"/>
    </row>
    <row r="54" spans="1:16" ht="45.6" customHeight="1" x14ac:dyDescent="0.25">
      <c r="A54" s="41">
        <v>55</v>
      </c>
      <c r="B54" s="109" t="s">
        <v>137</v>
      </c>
      <c r="C54" s="109" t="s">
        <v>138</v>
      </c>
      <c r="D54" s="109">
        <v>515</v>
      </c>
      <c r="E54" s="109" t="s">
        <v>13</v>
      </c>
      <c r="F54" s="41" t="e">
        <f>VLOOKUP(B54,[1]Sheet1!$B$3:$E$27,4,0)</f>
        <v>#N/A</v>
      </c>
      <c r="G54" s="41" t="e">
        <f>VLOOKUP(B54,[1]Sheet1!$B$3:$F$27,5,0)</f>
        <v>#N/A</v>
      </c>
      <c r="H54" s="109"/>
      <c r="I54" s="109"/>
      <c r="J54" s="109"/>
      <c r="K54" s="116">
        <v>1.96</v>
      </c>
      <c r="L54" s="117">
        <f t="shared" si="16"/>
        <v>-1.96</v>
      </c>
      <c r="M54" s="134">
        <f>VLOOKUP(B54,[3]未定价!$B$2:$J$73,9,0)</f>
        <v>1.96</v>
      </c>
      <c r="N54" s="147">
        <v>1.96</v>
      </c>
      <c r="O54" s="118" t="s">
        <v>139</v>
      </c>
      <c r="P54" s="109"/>
    </row>
    <row r="55" spans="1:16" ht="45.6" customHeight="1" x14ac:dyDescent="0.25">
      <c r="A55" s="41">
        <v>56</v>
      </c>
      <c r="B55" s="109" t="s">
        <v>140</v>
      </c>
      <c r="C55" s="109" t="s">
        <v>141</v>
      </c>
      <c r="D55" s="109">
        <v>1000</v>
      </c>
      <c r="E55" s="109" t="s">
        <v>13</v>
      </c>
      <c r="F55" s="41" t="s">
        <v>142</v>
      </c>
      <c r="G55" s="41">
        <v>0.1431</v>
      </c>
      <c r="H55" s="109"/>
      <c r="I55" s="109"/>
      <c r="J55" s="109"/>
      <c r="K55" s="116">
        <v>1.7319</v>
      </c>
      <c r="L55" s="117">
        <f t="shared" si="16"/>
        <v>-1.7319</v>
      </c>
      <c r="M55" s="134">
        <f>VLOOKUP(B55,[3]未定价!$B$2:$J$73,9,0)</f>
        <v>2.7683040000000005</v>
      </c>
      <c r="N55" s="147">
        <v>2.7683040000000005</v>
      </c>
      <c r="O55" s="118"/>
      <c r="P55" s="109"/>
    </row>
    <row r="56" spans="1:16" ht="45.6" customHeight="1" x14ac:dyDescent="0.25">
      <c r="A56" s="41">
        <v>57</v>
      </c>
      <c r="B56" s="109" t="s">
        <v>143</v>
      </c>
      <c r="C56" s="109" t="s">
        <v>144</v>
      </c>
      <c r="D56" s="109">
        <v>280</v>
      </c>
      <c r="E56" s="109" t="s">
        <v>13</v>
      </c>
      <c r="F56" s="41" t="s">
        <v>27</v>
      </c>
      <c r="G56" s="41">
        <v>6.4199999999999993E-2</v>
      </c>
      <c r="H56" s="109"/>
      <c r="I56" s="116">
        <f t="shared" ref="I56" si="23">8.55/1.13</f>
        <v>7.566371681415931</v>
      </c>
      <c r="J56" s="109">
        <v>0</v>
      </c>
      <c r="K56" s="116">
        <f>I56*G56</f>
        <v>0.48576106194690272</v>
      </c>
      <c r="L56" s="117">
        <f t="shared" si="16"/>
        <v>-0.48576106194690272</v>
      </c>
      <c r="M56" s="136">
        <f>VLOOKUP(B56,[3]未定价!$B$2:$J$73,9,0)</f>
        <v>0.48576106194690272</v>
      </c>
      <c r="N56" s="149">
        <v>0.48576106194690272</v>
      </c>
      <c r="P56" s="109"/>
    </row>
    <row r="57" spans="1:16" ht="45.6" customHeight="1" x14ac:dyDescent="0.25">
      <c r="A57" s="41">
        <v>58</v>
      </c>
      <c r="B57" s="109" t="s">
        <v>145</v>
      </c>
      <c r="C57" s="109" t="s">
        <v>146</v>
      </c>
      <c r="D57" s="109">
        <v>509</v>
      </c>
      <c r="E57" s="109" t="s">
        <v>13</v>
      </c>
      <c r="F57" s="41" t="s">
        <v>147</v>
      </c>
      <c r="G57" s="41">
        <v>1.8800000000000001E-2</v>
      </c>
      <c r="H57" s="109"/>
      <c r="I57" s="109"/>
      <c r="J57" s="109"/>
      <c r="K57" s="116">
        <v>2.1594000000000002</v>
      </c>
      <c r="L57" s="117">
        <f t="shared" si="16"/>
        <v>-2.1594000000000002</v>
      </c>
      <c r="M57" s="134">
        <f>VLOOKUP(B57,[3]未定价!$B$2:$J$73,9,0)</f>
        <v>1.8253760000000001</v>
      </c>
      <c r="N57" s="147">
        <v>1.8253760000000001</v>
      </c>
      <c r="O57" s="118"/>
      <c r="P57" s="109"/>
    </row>
    <row r="58" spans="1:16" ht="45.6" customHeight="1" x14ac:dyDescent="0.25">
      <c r="A58" s="41">
        <v>59</v>
      </c>
      <c r="B58" s="135" t="s">
        <v>397</v>
      </c>
      <c r="C58" s="109" t="s">
        <v>148</v>
      </c>
      <c r="D58" s="109">
        <v>538</v>
      </c>
      <c r="E58" s="109" t="s">
        <v>13</v>
      </c>
      <c r="F58" s="41" t="e">
        <f>VLOOKUP(B58,[1]Sheet1!$B$3:$E$27,4,0)</f>
        <v>#N/A</v>
      </c>
      <c r="G58" s="41" t="e">
        <f>VLOOKUP(B58,[1]Sheet1!$B$3:$F$27,5,0)</f>
        <v>#N/A</v>
      </c>
      <c r="H58" s="109"/>
      <c r="I58" s="109"/>
      <c r="J58" s="109"/>
      <c r="K58" s="129">
        <v>1.2245625</v>
      </c>
      <c r="L58" s="117">
        <f t="shared" si="16"/>
        <v>-1.2245625</v>
      </c>
      <c r="M58" s="134">
        <f>VLOOKUP(B58,[3]未定价!$B$2:$J$73,9,0)</f>
        <v>1.2245625</v>
      </c>
      <c r="N58" s="147">
        <v>1.2245625</v>
      </c>
      <c r="O58" s="146" t="s">
        <v>399</v>
      </c>
      <c r="P58" s="135" t="s">
        <v>398</v>
      </c>
    </row>
    <row r="59" spans="1:16" ht="45.6" customHeight="1" x14ac:dyDescent="0.25">
      <c r="A59" s="41">
        <v>60</v>
      </c>
      <c r="B59" s="109" t="s">
        <v>150</v>
      </c>
      <c r="C59" s="109" t="s">
        <v>151</v>
      </c>
      <c r="D59" s="109">
        <v>192</v>
      </c>
      <c r="E59" s="109" t="s">
        <v>13</v>
      </c>
      <c r="F59" s="41" t="e">
        <f>VLOOKUP(B59,[1]Sheet1!$B$3:$E$27,4,0)</f>
        <v>#N/A</v>
      </c>
      <c r="G59" s="41" t="e">
        <f>VLOOKUP(B59,[1]Sheet1!$B$3:$F$27,5,0)</f>
        <v>#N/A</v>
      </c>
      <c r="H59" s="109"/>
      <c r="I59" s="109"/>
      <c r="J59" s="109"/>
      <c r="K59" s="129">
        <v>1.2245625</v>
      </c>
      <c r="L59" s="117">
        <f t="shared" si="16"/>
        <v>-1.2245625</v>
      </c>
      <c r="M59" s="134">
        <f>VLOOKUP(B59,[3]未定价!$B$2:$J$73,9,0)</f>
        <v>1.2245625</v>
      </c>
      <c r="N59" s="147">
        <v>1.2245625</v>
      </c>
      <c r="O59" s="146" t="s">
        <v>399</v>
      </c>
      <c r="P59" s="109" t="s">
        <v>149</v>
      </c>
    </row>
    <row r="60" spans="1:16" s="107" customFormat="1" ht="45.6" customHeight="1" x14ac:dyDescent="0.25">
      <c r="A60" s="41">
        <v>61</v>
      </c>
      <c r="B60" s="112" t="s">
        <v>152</v>
      </c>
      <c r="C60" s="112" t="s">
        <v>153</v>
      </c>
      <c r="D60" s="112">
        <v>3000</v>
      </c>
      <c r="E60" s="112" t="s">
        <v>13</v>
      </c>
      <c r="F60" s="144" t="s">
        <v>385</v>
      </c>
      <c r="G60" s="114">
        <f>0.00617*2.5*2.5*0.16</f>
        <v>6.1700000000000001E-3</v>
      </c>
      <c r="H60" s="112"/>
      <c r="I60" s="120">
        <f t="shared" ref="I60:I65" si="24">8.55/1.13</f>
        <v>7.566371681415931</v>
      </c>
      <c r="J60" s="112"/>
      <c r="K60" s="120">
        <v>6.7900000000000002E-2</v>
      </c>
      <c r="L60" s="121">
        <f t="shared" si="16"/>
        <v>-6.7900000000000002E-2</v>
      </c>
      <c r="M60" s="134">
        <f>VLOOKUP(B60,[3]未定价!$B$2:$J$73,9,0)</f>
        <v>4.6684513274336294E-2</v>
      </c>
      <c r="N60" s="147">
        <f>(8+2.5)*G60</f>
        <v>6.4784999999999995E-2</v>
      </c>
      <c r="O60" s="122"/>
      <c r="P60" s="112" t="s">
        <v>154</v>
      </c>
    </row>
    <row r="61" spans="1:16" s="107" customFormat="1" ht="45.6" customHeight="1" x14ac:dyDescent="0.25">
      <c r="A61" s="41">
        <v>62</v>
      </c>
      <c r="B61" s="112" t="s">
        <v>155</v>
      </c>
      <c r="C61" s="112" t="s">
        <v>156</v>
      </c>
      <c r="D61" s="112">
        <v>3000</v>
      </c>
      <c r="E61" s="112" t="s">
        <v>13</v>
      </c>
      <c r="F61" s="144" t="s">
        <v>385</v>
      </c>
      <c r="G61" s="115">
        <f>0.00617*2.5*2.5*0.27</f>
        <v>1.0411875000000001E-2</v>
      </c>
      <c r="H61" s="112"/>
      <c r="I61" s="120">
        <f t="shared" si="24"/>
        <v>7.566371681415931</v>
      </c>
      <c r="J61" s="112"/>
      <c r="K61" s="120">
        <v>0.1145</v>
      </c>
      <c r="L61" s="121">
        <f t="shared" si="16"/>
        <v>-0.1145</v>
      </c>
      <c r="M61" s="134">
        <f>VLOOKUP(B61,[3]未定价!$B$2:$J$73,9,0)</f>
        <v>7.8780116150442503E-2</v>
      </c>
      <c r="N61" s="147">
        <f t="shared" ref="N61:N62" si="25">(8+2.5)*G61</f>
        <v>0.10932468750000002</v>
      </c>
      <c r="O61" s="122"/>
      <c r="P61" s="112" t="s">
        <v>157</v>
      </c>
    </row>
    <row r="62" spans="1:16" s="107" customFormat="1" ht="45.6" customHeight="1" x14ac:dyDescent="0.25">
      <c r="A62" s="41">
        <v>63</v>
      </c>
      <c r="B62" s="112" t="s">
        <v>158</v>
      </c>
      <c r="C62" s="112" t="s">
        <v>159</v>
      </c>
      <c r="D62" s="112">
        <v>4800</v>
      </c>
      <c r="E62" s="112" t="s">
        <v>13</v>
      </c>
      <c r="F62" s="144" t="s">
        <v>385</v>
      </c>
      <c r="G62" s="114">
        <f>0.00617*2.5*2.5*0.4</f>
        <v>1.5425000000000001E-2</v>
      </c>
      <c r="H62" s="112"/>
      <c r="I62" s="120">
        <f t="shared" si="24"/>
        <v>7.566371681415931</v>
      </c>
      <c r="J62" s="112"/>
      <c r="K62" s="120">
        <v>0.16969999999999999</v>
      </c>
      <c r="L62" s="121">
        <f t="shared" si="16"/>
        <v>-0.16969999999999999</v>
      </c>
      <c r="M62" s="134">
        <f>VLOOKUP(B62,[3]未定价!$B$2:$J$73,9,0)</f>
        <v>0.11671128318584074</v>
      </c>
      <c r="N62" s="147">
        <f t="shared" si="25"/>
        <v>0.16196250000000001</v>
      </c>
      <c r="O62" s="122"/>
      <c r="P62" s="112" t="s">
        <v>160</v>
      </c>
    </row>
    <row r="63" spans="1:16" s="107" customFormat="1" ht="39" hidden="1" customHeight="1" x14ac:dyDescent="0.25">
      <c r="A63" s="41">
        <v>64</v>
      </c>
      <c r="B63" s="112" t="s">
        <v>161</v>
      </c>
      <c r="C63" s="112" t="s">
        <v>162</v>
      </c>
      <c r="D63" s="112"/>
      <c r="E63" s="112" t="s">
        <v>13</v>
      </c>
      <c r="F63" s="113" t="s">
        <v>27</v>
      </c>
      <c r="G63" s="114">
        <v>3.5999999999999997E-2</v>
      </c>
      <c r="H63" s="112"/>
      <c r="I63" s="120">
        <f t="shared" si="24"/>
        <v>7.566371681415931</v>
      </c>
      <c r="J63" s="112">
        <v>0</v>
      </c>
      <c r="K63" s="120">
        <v>0.41</v>
      </c>
      <c r="L63" s="121">
        <f t="shared" si="16"/>
        <v>-0.41</v>
      </c>
      <c r="M63" s="134">
        <f>VLOOKUP(B63,[3]未定价!$B$2:$J$73,9,0)</f>
        <v>0.33905604719764015</v>
      </c>
      <c r="N63" s="150" t="s">
        <v>379</v>
      </c>
      <c r="O63" s="122" t="s">
        <v>163</v>
      </c>
      <c r="P63" s="112" t="s">
        <v>164</v>
      </c>
    </row>
    <row r="64" spans="1:16" s="107" customFormat="1" ht="39" hidden="1" customHeight="1" x14ac:dyDescent="0.25">
      <c r="A64" s="41">
        <v>65</v>
      </c>
      <c r="B64" s="112" t="s">
        <v>165</v>
      </c>
      <c r="C64" s="112" t="s">
        <v>166</v>
      </c>
      <c r="D64" s="112"/>
      <c r="E64" s="112" t="s">
        <v>13</v>
      </c>
      <c r="F64" s="113" t="s">
        <v>27</v>
      </c>
      <c r="G64" s="114">
        <v>3.6999999999999998E-2</v>
      </c>
      <c r="H64" s="112"/>
      <c r="I64" s="120">
        <f t="shared" si="24"/>
        <v>7.566371681415931</v>
      </c>
      <c r="J64" s="112">
        <v>0</v>
      </c>
      <c r="K64" s="120">
        <v>1</v>
      </c>
      <c r="L64" s="121">
        <f t="shared" si="16"/>
        <v>-1</v>
      </c>
      <c r="M64" s="134">
        <f>VLOOKUP(B64,[3]未定价!$B$2:$J$73,9,0)</f>
        <v>0.4577335299901672</v>
      </c>
      <c r="N64" s="154" t="s">
        <v>378</v>
      </c>
      <c r="O64" s="122" t="s">
        <v>167</v>
      </c>
      <c r="P64" s="112" t="s">
        <v>168</v>
      </c>
    </row>
    <row r="65" spans="1:16" ht="39" customHeight="1" x14ac:dyDescent="0.25">
      <c r="A65" s="41">
        <v>66</v>
      </c>
      <c r="B65" s="110" t="s">
        <v>169</v>
      </c>
      <c r="C65" s="110" t="s">
        <v>170</v>
      </c>
      <c r="D65" s="109"/>
      <c r="E65" s="109" t="s">
        <v>13</v>
      </c>
      <c r="F65" s="41" t="s">
        <v>27</v>
      </c>
      <c r="G65" s="111">
        <v>8.0000000000000002E-3</v>
      </c>
      <c r="H65" s="109"/>
      <c r="I65" s="116">
        <f t="shared" si="24"/>
        <v>7.566371681415931</v>
      </c>
      <c r="J65" s="109">
        <v>0</v>
      </c>
      <c r="K65" s="116">
        <v>0.1389</v>
      </c>
      <c r="L65" s="117">
        <f t="shared" si="16"/>
        <v>-0.1389</v>
      </c>
      <c r="M65" s="134">
        <f>VLOOKUP(B65,[3]未定价!$B$2:$J$73,9,0)</f>
        <v>0.10940999999999999</v>
      </c>
      <c r="N65" s="147">
        <v>0.10940999999999999</v>
      </c>
      <c r="O65" s="118" t="s">
        <v>163</v>
      </c>
      <c r="P65" s="109"/>
    </row>
    <row r="66" spans="1:16" s="107" customFormat="1" ht="39" customHeight="1" x14ac:dyDescent="0.25">
      <c r="A66" s="41">
        <v>67</v>
      </c>
      <c r="B66" s="112" t="s">
        <v>171</v>
      </c>
      <c r="C66" s="112" t="s">
        <v>172</v>
      </c>
      <c r="D66" s="112"/>
      <c r="E66" s="112" t="s">
        <v>13</v>
      </c>
      <c r="F66" s="113" t="s">
        <v>61</v>
      </c>
      <c r="G66" s="113">
        <v>5.7000000000000002E-3</v>
      </c>
      <c r="H66" s="112"/>
      <c r="I66" s="112"/>
      <c r="J66" s="145">
        <v>0</v>
      </c>
      <c r="K66" s="120">
        <v>0.24</v>
      </c>
      <c r="L66" s="121">
        <f t="shared" si="16"/>
        <v>-0.24</v>
      </c>
      <c r="M66" s="134">
        <f>VLOOKUP(B66,[3]未定价!$B$2:$J$73,9,0)</f>
        <v>9.8374609686609701E-2</v>
      </c>
      <c r="N66" s="149">
        <v>0.24</v>
      </c>
      <c r="O66" s="112" t="s">
        <v>173</v>
      </c>
      <c r="P66" s="112" t="s">
        <v>174</v>
      </c>
    </row>
    <row r="67" spans="1:16" s="107" customFormat="1" ht="39" customHeight="1" x14ac:dyDescent="0.25">
      <c r="A67" s="41">
        <v>68</v>
      </c>
      <c r="B67" s="112" t="s">
        <v>175</v>
      </c>
      <c r="C67" s="112" t="s">
        <v>176</v>
      </c>
      <c r="D67" s="112"/>
      <c r="E67" s="112" t="s">
        <v>13</v>
      </c>
      <c r="F67" s="113" t="s">
        <v>61</v>
      </c>
      <c r="G67" s="113">
        <v>5.7000000000000002E-3</v>
      </c>
      <c r="H67" s="112"/>
      <c r="I67" s="112"/>
      <c r="J67" s="112">
        <v>0</v>
      </c>
      <c r="K67" s="120">
        <v>0.24</v>
      </c>
      <c r="L67" s="121">
        <f t="shared" si="16"/>
        <v>-0.24</v>
      </c>
      <c r="M67" s="134">
        <f>VLOOKUP(B67,[3]未定价!$B$2:$J$73,9,0)</f>
        <v>9.8374609686609701E-2</v>
      </c>
      <c r="N67" s="149">
        <v>0.24</v>
      </c>
      <c r="O67" s="112" t="s">
        <v>173</v>
      </c>
      <c r="P67" s="112" t="s">
        <v>174</v>
      </c>
    </row>
  </sheetData>
  <autoFilter ref="A1:Q67" xr:uid="{00000000-0009-0000-0000-000000000000}">
    <filterColumn colId="13">
      <colorFilter dxfId="0"/>
    </filterColumn>
  </autoFilter>
  <phoneticPr fontId="26" type="noConversion"/>
  <conditionalFormatting sqref="B22:B1048576 B1:B20">
    <cfRule type="duplicateValues" dxfId="51" priority="1"/>
  </conditionalFormatting>
  <pageMargins left="0.27500000000000002" right="0.156944444444444" top="0.23611111111111099" bottom="0" header="0.31458333333333299" footer="0.196527777777778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2"/>
  <sheetViews>
    <sheetView topLeftCell="B1" workbookViewId="0">
      <pane ySplit="2" topLeftCell="A111" activePane="bottomLeft" state="frozen"/>
      <selection pane="bottomLeft" activeCell="B123" sqref="B123:B126"/>
    </sheetView>
  </sheetViews>
  <sheetFormatPr defaultColWidth="9" defaultRowHeight="14.4" x14ac:dyDescent="0.25"/>
  <cols>
    <col min="1" max="1" width="9" style="88"/>
    <col min="2" max="2" width="13" style="88" customWidth="1"/>
    <col min="3" max="3" width="9" style="88"/>
    <col min="4" max="4" width="19.6640625" style="88" customWidth="1"/>
    <col min="5" max="6" width="9" style="88"/>
    <col min="7" max="7" width="5.44140625" style="88" customWidth="1"/>
    <col min="8" max="8" width="9" style="88"/>
    <col min="9" max="9" width="11.109375" style="88"/>
    <col min="10" max="10" width="9" style="88"/>
    <col min="11" max="11" width="12.6640625" style="88"/>
    <col min="12" max="17" width="9" style="88"/>
    <col min="18" max="18" width="16" style="88" customWidth="1"/>
    <col min="19" max="16384" width="9" style="88"/>
  </cols>
  <sheetData>
    <row r="1" spans="1:21" s="86" customFormat="1" ht="12" customHeight="1" x14ac:dyDescent="0.25">
      <c r="A1" s="159" t="s">
        <v>0</v>
      </c>
      <c r="B1" s="166" t="s">
        <v>177</v>
      </c>
      <c r="C1" s="173" t="s">
        <v>2</v>
      </c>
      <c r="D1" s="174" t="s">
        <v>178</v>
      </c>
      <c r="E1" s="173" t="s">
        <v>179</v>
      </c>
      <c r="F1" s="174" t="s">
        <v>5</v>
      </c>
      <c r="G1" s="166" t="s">
        <v>180</v>
      </c>
      <c r="H1" s="175" t="s">
        <v>181</v>
      </c>
      <c r="I1" s="177" t="s">
        <v>9</v>
      </c>
      <c r="J1" s="177"/>
      <c r="K1" s="180" t="s">
        <v>182</v>
      </c>
      <c r="L1" s="180"/>
      <c r="M1" s="180"/>
      <c r="N1" s="177" t="s">
        <v>183</v>
      </c>
      <c r="O1" s="174" t="s">
        <v>184</v>
      </c>
      <c r="P1" s="174"/>
      <c r="Q1" s="174"/>
      <c r="R1" s="174"/>
      <c r="S1" s="174"/>
      <c r="T1" s="178" t="s">
        <v>9</v>
      </c>
      <c r="U1" s="178" t="s">
        <v>10</v>
      </c>
    </row>
    <row r="2" spans="1:21" s="86" customFormat="1" ht="12" x14ac:dyDescent="0.25">
      <c r="A2" s="159"/>
      <c r="B2" s="167"/>
      <c r="C2" s="173"/>
      <c r="D2" s="174"/>
      <c r="E2" s="173"/>
      <c r="F2" s="174"/>
      <c r="G2" s="167"/>
      <c r="H2" s="176"/>
      <c r="I2" s="91" t="s">
        <v>185</v>
      </c>
      <c r="J2" s="91" t="s">
        <v>186</v>
      </c>
      <c r="K2" s="92" t="s">
        <v>187</v>
      </c>
      <c r="L2" s="93" t="s">
        <v>188</v>
      </c>
      <c r="M2" s="92" t="s">
        <v>186</v>
      </c>
      <c r="N2" s="177"/>
      <c r="O2" s="94" t="s">
        <v>189</v>
      </c>
      <c r="P2" s="94" t="s">
        <v>190</v>
      </c>
      <c r="Q2" s="94" t="s">
        <v>191</v>
      </c>
      <c r="R2" s="104" t="s">
        <v>192</v>
      </c>
      <c r="S2" s="104" t="s">
        <v>193</v>
      </c>
      <c r="T2" s="178"/>
      <c r="U2" s="178"/>
    </row>
    <row r="3" spans="1:21" s="87" customFormat="1" ht="22.5" customHeight="1" x14ac:dyDescent="0.25">
      <c r="A3" s="160">
        <v>3</v>
      </c>
      <c r="B3" s="168" t="s">
        <v>16</v>
      </c>
      <c r="C3" s="168" t="s">
        <v>17</v>
      </c>
      <c r="D3" s="160"/>
      <c r="E3" s="89">
        <v>1</v>
      </c>
      <c r="F3" s="89" t="s">
        <v>27</v>
      </c>
      <c r="G3" s="89"/>
      <c r="H3" s="89"/>
      <c r="I3" s="90">
        <f>8.55/1.13</f>
        <v>7.5663716814159301</v>
      </c>
      <c r="J3" s="89"/>
      <c r="K3" s="41">
        <v>2.01E-2</v>
      </c>
      <c r="L3" s="90">
        <v>2.01E-2</v>
      </c>
      <c r="M3" s="90">
        <v>0</v>
      </c>
      <c r="N3" s="95">
        <f>(I3*K3-J3*M3)*E3</f>
        <v>0.15208407079646</v>
      </c>
      <c r="O3" s="90" t="s">
        <v>194</v>
      </c>
      <c r="P3" s="90"/>
      <c r="Q3" s="90"/>
      <c r="R3" s="105"/>
      <c r="S3" s="105"/>
      <c r="T3" s="179">
        <f>N3</f>
        <v>0.15208407079646</v>
      </c>
      <c r="U3" s="178"/>
    </row>
    <row r="4" spans="1:21" s="87" customFormat="1" ht="22.5" customHeight="1" x14ac:dyDescent="0.25">
      <c r="A4" s="161"/>
      <c r="B4" s="169"/>
      <c r="C4" s="169"/>
      <c r="D4" s="161"/>
      <c r="E4" s="89"/>
      <c r="F4" s="89"/>
      <c r="G4" s="89"/>
      <c r="H4" s="89"/>
      <c r="I4" s="89"/>
      <c r="J4" s="89"/>
      <c r="K4" s="89"/>
      <c r="L4" s="89"/>
      <c r="M4" s="89"/>
      <c r="N4" s="95"/>
      <c r="O4" s="96"/>
      <c r="P4" s="96"/>
      <c r="Q4" s="96"/>
      <c r="R4" s="96"/>
      <c r="S4" s="96"/>
      <c r="T4" s="179"/>
      <c r="U4" s="178"/>
    </row>
    <row r="5" spans="1:21" s="87" customFormat="1" ht="22.5" customHeight="1" x14ac:dyDescent="0.25">
      <c r="A5" s="161"/>
      <c r="B5" s="169"/>
      <c r="C5" s="169"/>
      <c r="D5" s="161"/>
      <c r="E5" s="90"/>
      <c r="F5" s="90"/>
      <c r="G5" s="90"/>
      <c r="H5" s="90"/>
      <c r="I5" s="90"/>
      <c r="J5" s="90"/>
      <c r="K5" s="90"/>
      <c r="L5" s="90"/>
      <c r="M5" s="90"/>
      <c r="N5" s="97"/>
      <c r="O5" s="98"/>
      <c r="P5" s="99"/>
      <c r="Q5" s="90"/>
      <c r="R5" s="105"/>
      <c r="S5" s="105"/>
      <c r="T5" s="179"/>
      <c r="U5" s="178"/>
    </row>
    <row r="6" spans="1:21" s="87" customFormat="1" ht="22.5" customHeight="1" x14ac:dyDescent="0.25">
      <c r="A6" s="162"/>
      <c r="B6" s="170"/>
      <c r="C6" s="170"/>
      <c r="D6" s="162"/>
      <c r="E6" s="90"/>
      <c r="F6" s="90"/>
      <c r="G6" s="90"/>
      <c r="H6" s="90"/>
      <c r="I6" s="90"/>
      <c r="J6" s="90"/>
      <c r="K6" s="90"/>
      <c r="L6" s="90"/>
      <c r="M6" s="90"/>
      <c r="N6" s="97"/>
      <c r="O6" s="98"/>
      <c r="P6" s="99"/>
      <c r="Q6" s="90"/>
      <c r="R6" s="105"/>
      <c r="S6" s="105"/>
      <c r="T6" s="179"/>
      <c r="U6" s="178"/>
    </row>
    <row r="7" spans="1:21" s="87" customFormat="1" ht="22.5" customHeight="1" x14ac:dyDescent="0.25">
      <c r="A7" s="160">
        <v>4</v>
      </c>
      <c r="B7" s="168" t="str">
        <f>未定价清单!B5</f>
        <v>SHT0012110</v>
      </c>
      <c r="C7" s="168" t="str">
        <f>未定价清单!C5</f>
        <v>M4主边罩壳固定钢丝</v>
      </c>
      <c r="D7" s="160"/>
      <c r="E7" s="89">
        <v>1</v>
      </c>
      <c r="F7" s="89" t="s">
        <v>27</v>
      </c>
      <c r="G7" s="89"/>
      <c r="H7" s="89"/>
      <c r="I7" s="90">
        <f>8.55/1.13</f>
        <v>7.5663716814159301</v>
      </c>
      <c r="J7" s="89"/>
      <c r="K7" s="41">
        <f>未定价清单!G5</f>
        <v>7.5899999999999995E-2</v>
      </c>
      <c r="L7" s="90">
        <f>K7</f>
        <v>7.5899999999999995E-2</v>
      </c>
      <c r="M7" s="90">
        <v>0</v>
      </c>
      <c r="N7" s="95">
        <f>(I7*K7-J7*M7)*E7</f>
        <v>0.57428761061946909</v>
      </c>
      <c r="O7" s="90" t="s">
        <v>194</v>
      </c>
      <c r="P7" s="90"/>
      <c r="Q7" s="90"/>
      <c r="R7" s="105"/>
      <c r="S7" s="105"/>
      <c r="T7" s="179">
        <f>N7</f>
        <v>0.57428761061946909</v>
      </c>
      <c r="U7" s="178"/>
    </row>
    <row r="8" spans="1:21" s="87" customFormat="1" ht="22.5" customHeight="1" x14ac:dyDescent="0.25">
      <c r="A8" s="161"/>
      <c r="B8" s="169"/>
      <c r="C8" s="169"/>
      <c r="D8" s="161"/>
      <c r="E8" s="89"/>
      <c r="F8" s="89"/>
      <c r="G8" s="89"/>
      <c r="H8" s="89"/>
      <c r="I8" s="89"/>
      <c r="J8" s="89"/>
      <c r="K8" s="89"/>
      <c r="L8" s="89"/>
      <c r="M8" s="89"/>
      <c r="N8" s="95"/>
      <c r="O8" s="96"/>
      <c r="P8" s="96"/>
      <c r="Q8" s="96"/>
      <c r="R8" s="96"/>
      <c r="S8" s="96"/>
      <c r="T8" s="179"/>
      <c r="U8" s="178"/>
    </row>
    <row r="9" spans="1:21" s="87" customFormat="1" ht="22.5" customHeight="1" x14ac:dyDescent="0.25">
      <c r="A9" s="161"/>
      <c r="B9" s="169"/>
      <c r="C9" s="169"/>
      <c r="D9" s="161"/>
      <c r="E9" s="90"/>
      <c r="F9" s="90"/>
      <c r="G9" s="90"/>
      <c r="H9" s="90"/>
      <c r="I9" s="90"/>
      <c r="J9" s="90"/>
      <c r="K9" s="90"/>
      <c r="L9" s="90"/>
      <c r="M9" s="90"/>
      <c r="N9" s="97"/>
      <c r="O9" s="98"/>
      <c r="P9" s="99"/>
      <c r="Q9" s="90"/>
      <c r="R9" s="105"/>
      <c r="S9" s="105"/>
      <c r="T9" s="179"/>
      <c r="U9" s="178"/>
    </row>
    <row r="10" spans="1:21" s="87" customFormat="1" ht="22.5" customHeight="1" x14ac:dyDescent="0.25">
      <c r="A10" s="162"/>
      <c r="B10" s="170"/>
      <c r="C10" s="170"/>
      <c r="D10" s="162"/>
      <c r="E10" s="90"/>
      <c r="F10" s="90"/>
      <c r="G10" s="90"/>
      <c r="H10" s="90"/>
      <c r="I10" s="90"/>
      <c r="J10" s="90"/>
      <c r="K10" s="90"/>
      <c r="L10" s="90"/>
      <c r="M10" s="90"/>
      <c r="N10" s="97"/>
      <c r="O10" s="98"/>
      <c r="P10" s="99"/>
      <c r="Q10" s="90"/>
      <c r="R10" s="105"/>
      <c r="S10" s="105"/>
      <c r="T10" s="179"/>
      <c r="U10" s="178"/>
    </row>
    <row r="11" spans="1:21" s="87" customFormat="1" ht="22.5" customHeight="1" x14ac:dyDescent="0.25">
      <c r="A11" s="160">
        <v>5</v>
      </c>
      <c r="B11" s="168" t="str">
        <f>未定价清单!B6</f>
        <v>SCS0006416</v>
      </c>
      <c r="C11" s="168" t="str">
        <f>未定价清单!C6</f>
        <v>P203靠背右侧面套固定钢丝</v>
      </c>
      <c r="D11" s="160"/>
      <c r="E11" s="89">
        <v>1</v>
      </c>
      <c r="F11" s="89" t="s">
        <v>27</v>
      </c>
      <c r="G11" s="89"/>
      <c r="H11" s="89"/>
      <c r="I11" s="90">
        <f>8.55/1.13</f>
        <v>7.5663716814159301</v>
      </c>
      <c r="J11" s="89"/>
      <c r="K11" s="41">
        <f>未定价清单!G6</f>
        <v>5.3999999999999999E-2</v>
      </c>
      <c r="L11" s="90">
        <f>K11</f>
        <v>5.3999999999999999E-2</v>
      </c>
      <c r="M11" s="90">
        <v>0</v>
      </c>
      <c r="N11" s="95">
        <f>(I11*K11-J11*M11)*E11</f>
        <v>0.4085840707964602</v>
      </c>
      <c r="O11" s="90" t="s">
        <v>194</v>
      </c>
      <c r="P11" s="90"/>
      <c r="Q11" s="90"/>
      <c r="R11" s="105"/>
      <c r="S11" s="105"/>
      <c r="T11" s="179">
        <f>N11</f>
        <v>0.4085840707964602</v>
      </c>
      <c r="U11" s="178"/>
    </row>
    <row r="12" spans="1:21" s="87" customFormat="1" ht="22.5" customHeight="1" x14ac:dyDescent="0.25">
      <c r="A12" s="161"/>
      <c r="B12" s="169"/>
      <c r="C12" s="169"/>
      <c r="D12" s="161"/>
      <c r="E12" s="89"/>
      <c r="F12" s="89"/>
      <c r="G12" s="89"/>
      <c r="H12" s="89"/>
      <c r="I12" s="89"/>
      <c r="J12" s="89"/>
      <c r="K12" s="89"/>
      <c r="L12" s="89"/>
      <c r="M12" s="89"/>
      <c r="N12" s="95"/>
      <c r="O12" s="96"/>
      <c r="P12" s="96"/>
      <c r="Q12" s="96"/>
      <c r="R12" s="96"/>
      <c r="S12" s="96"/>
      <c r="T12" s="179"/>
      <c r="U12" s="178"/>
    </row>
    <row r="13" spans="1:21" s="87" customFormat="1" ht="22.5" customHeight="1" x14ac:dyDescent="0.25">
      <c r="A13" s="161"/>
      <c r="B13" s="169"/>
      <c r="C13" s="169"/>
      <c r="D13" s="161"/>
      <c r="E13" s="90"/>
      <c r="F13" s="90"/>
      <c r="G13" s="90"/>
      <c r="H13" s="90"/>
      <c r="I13" s="90"/>
      <c r="J13" s="90"/>
      <c r="K13" s="90"/>
      <c r="L13" s="90"/>
      <c r="M13" s="90"/>
      <c r="N13" s="97"/>
      <c r="O13" s="98"/>
      <c r="P13" s="99"/>
      <c r="Q13" s="90"/>
      <c r="R13" s="105"/>
      <c r="S13" s="105"/>
      <c r="T13" s="179"/>
      <c r="U13" s="178"/>
    </row>
    <row r="14" spans="1:21" s="87" customFormat="1" ht="22.5" customHeight="1" x14ac:dyDescent="0.25">
      <c r="A14" s="162"/>
      <c r="B14" s="170"/>
      <c r="C14" s="170"/>
      <c r="D14" s="162"/>
      <c r="E14" s="90"/>
      <c r="F14" s="90"/>
      <c r="G14" s="90"/>
      <c r="H14" s="90"/>
      <c r="I14" s="90"/>
      <c r="J14" s="90"/>
      <c r="K14" s="90"/>
      <c r="L14" s="90"/>
      <c r="M14" s="90"/>
      <c r="N14" s="97"/>
      <c r="O14" s="98"/>
      <c r="P14" s="99"/>
      <c r="Q14" s="90"/>
      <c r="R14" s="105"/>
      <c r="S14" s="105"/>
      <c r="T14" s="179"/>
      <c r="U14" s="178"/>
    </row>
    <row r="15" spans="1:21" s="87" customFormat="1" ht="22.5" customHeight="1" x14ac:dyDescent="0.25">
      <c r="A15" s="160">
        <v>6</v>
      </c>
      <c r="B15" s="168" t="str">
        <f>未定价清单!B7</f>
        <v>SCS0006414</v>
      </c>
      <c r="C15" s="168" t="str">
        <f>未定价清单!C7</f>
        <v>P203靠背左侧面套固定钢丝</v>
      </c>
      <c r="D15" s="160"/>
      <c r="E15" s="89">
        <v>1</v>
      </c>
      <c r="F15" s="89" t="s">
        <v>27</v>
      </c>
      <c r="G15" s="89"/>
      <c r="H15" s="89"/>
      <c r="I15" s="90">
        <f>8.55/1.13</f>
        <v>7.5663716814159301</v>
      </c>
      <c r="J15" s="89"/>
      <c r="K15" s="41">
        <f>未定价清单!G7</f>
        <v>5.3999999999999999E-2</v>
      </c>
      <c r="L15" s="90">
        <f>K15</f>
        <v>5.3999999999999999E-2</v>
      </c>
      <c r="M15" s="90">
        <v>0</v>
      </c>
      <c r="N15" s="95">
        <f>(I15*K15-J15*M15)*E15</f>
        <v>0.4085840707964602</v>
      </c>
      <c r="O15" s="90" t="s">
        <v>194</v>
      </c>
      <c r="P15" s="90"/>
      <c r="Q15" s="90"/>
      <c r="R15" s="105"/>
      <c r="S15" s="105"/>
      <c r="T15" s="179">
        <f>N15</f>
        <v>0.4085840707964602</v>
      </c>
      <c r="U15" s="178"/>
    </row>
    <row r="16" spans="1:21" s="87" customFormat="1" ht="22.5" customHeight="1" x14ac:dyDescent="0.25">
      <c r="A16" s="161"/>
      <c r="B16" s="169"/>
      <c r="C16" s="169"/>
      <c r="D16" s="161"/>
      <c r="E16" s="89"/>
      <c r="F16" s="89"/>
      <c r="G16" s="89"/>
      <c r="H16" s="89"/>
      <c r="I16" s="89"/>
      <c r="J16" s="89"/>
      <c r="K16" s="89"/>
      <c r="L16" s="89"/>
      <c r="M16" s="89"/>
      <c r="N16" s="95"/>
      <c r="O16" s="96"/>
      <c r="P16" s="96"/>
      <c r="Q16" s="96"/>
      <c r="R16" s="96"/>
      <c r="S16" s="96"/>
      <c r="T16" s="179"/>
      <c r="U16" s="178"/>
    </row>
    <row r="17" spans="1:21" s="87" customFormat="1" ht="22.5" customHeight="1" x14ac:dyDescent="0.25">
      <c r="A17" s="161"/>
      <c r="B17" s="169"/>
      <c r="C17" s="169"/>
      <c r="D17" s="161"/>
      <c r="E17" s="90"/>
      <c r="F17" s="90"/>
      <c r="G17" s="90"/>
      <c r="H17" s="90"/>
      <c r="I17" s="90"/>
      <c r="J17" s="90"/>
      <c r="K17" s="90"/>
      <c r="L17" s="90"/>
      <c r="M17" s="90"/>
      <c r="N17" s="97"/>
      <c r="O17" s="98"/>
      <c r="P17" s="99"/>
      <c r="Q17" s="90"/>
      <c r="R17" s="105"/>
      <c r="S17" s="105"/>
      <c r="T17" s="179"/>
      <c r="U17" s="178"/>
    </row>
    <row r="18" spans="1:21" s="87" customFormat="1" ht="22.5" customHeight="1" x14ac:dyDescent="0.25">
      <c r="A18" s="162"/>
      <c r="B18" s="170"/>
      <c r="C18" s="170"/>
      <c r="D18" s="162"/>
      <c r="E18" s="90"/>
      <c r="F18" s="90"/>
      <c r="G18" s="90"/>
      <c r="H18" s="90"/>
      <c r="I18" s="90"/>
      <c r="J18" s="90"/>
      <c r="K18" s="90"/>
      <c r="L18" s="90"/>
      <c r="M18" s="90"/>
      <c r="N18" s="97"/>
      <c r="O18" s="98"/>
      <c r="P18" s="99"/>
      <c r="Q18" s="90"/>
      <c r="R18" s="105"/>
      <c r="S18" s="105"/>
      <c r="T18" s="179"/>
      <c r="U18" s="178"/>
    </row>
    <row r="19" spans="1:21" s="87" customFormat="1" ht="22.5" customHeight="1" x14ac:dyDescent="0.25">
      <c r="A19" s="160">
        <v>11</v>
      </c>
      <c r="B19" s="168" t="str">
        <f>未定价清单!B10</f>
        <v>SCS0007057</v>
      </c>
      <c r="C19" s="168" t="str">
        <f>未定价清单!C10</f>
        <v>儿童锁挂钩</v>
      </c>
      <c r="D19" s="160"/>
      <c r="E19" s="89">
        <v>1</v>
      </c>
      <c r="F19" s="89" t="s">
        <v>27</v>
      </c>
      <c r="G19" s="89"/>
      <c r="H19" s="89"/>
      <c r="I19" s="90">
        <f>8.55/1.13</f>
        <v>7.5663716814159301</v>
      </c>
      <c r="J19" s="89"/>
      <c r="K19" s="41">
        <f>未定价清单!G10</f>
        <v>4.2999999999999997E-2</v>
      </c>
      <c r="L19" s="90">
        <f>K19</f>
        <v>4.2999999999999997E-2</v>
      </c>
      <c r="M19" s="90">
        <v>0</v>
      </c>
      <c r="N19" s="95">
        <f>(I19*K19-J19*M19)*E19</f>
        <v>0.32535398230088497</v>
      </c>
      <c r="O19" s="90" t="s">
        <v>194</v>
      </c>
      <c r="P19" s="90"/>
      <c r="Q19" s="90"/>
      <c r="R19" s="105"/>
      <c r="S19" s="105"/>
      <c r="T19" s="179">
        <f>N19</f>
        <v>0.32535398230088497</v>
      </c>
      <c r="U19" s="178"/>
    </row>
    <row r="20" spans="1:21" s="87" customFormat="1" ht="22.5" customHeight="1" x14ac:dyDescent="0.25">
      <c r="A20" s="161"/>
      <c r="B20" s="169"/>
      <c r="C20" s="169"/>
      <c r="D20" s="161"/>
      <c r="E20" s="89"/>
      <c r="F20" s="89"/>
      <c r="G20" s="89"/>
      <c r="H20" s="89"/>
      <c r="I20" s="89"/>
      <c r="J20" s="89"/>
      <c r="K20" s="89"/>
      <c r="L20" s="89"/>
      <c r="M20" s="89"/>
      <c r="N20" s="100"/>
      <c r="O20" s="96"/>
      <c r="P20" s="96"/>
      <c r="Q20" s="96"/>
      <c r="R20" s="96"/>
      <c r="S20" s="96"/>
      <c r="T20" s="179"/>
      <c r="U20" s="178"/>
    </row>
    <row r="21" spans="1:21" s="87" customFormat="1" ht="22.5" customHeight="1" x14ac:dyDescent="0.25">
      <c r="A21" s="161"/>
      <c r="B21" s="169"/>
      <c r="C21" s="169"/>
      <c r="D21" s="161"/>
      <c r="E21" s="90"/>
      <c r="F21" s="90"/>
      <c r="G21" s="90"/>
      <c r="H21" s="90"/>
      <c r="I21" s="90"/>
      <c r="J21" s="90"/>
      <c r="K21" s="90"/>
      <c r="L21" s="90"/>
      <c r="M21" s="90"/>
      <c r="N21" s="101"/>
      <c r="O21" s="98"/>
      <c r="P21" s="99"/>
      <c r="Q21" s="90"/>
      <c r="R21" s="105"/>
      <c r="S21" s="105"/>
      <c r="T21" s="179"/>
      <c r="U21" s="178"/>
    </row>
    <row r="22" spans="1:21" s="87" customFormat="1" ht="22.5" customHeight="1" x14ac:dyDescent="0.25">
      <c r="A22" s="162"/>
      <c r="B22" s="170"/>
      <c r="C22" s="170"/>
      <c r="D22" s="162"/>
      <c r="E22" s="90"/>
      <c r="F22" s="90"/>
      <c r="G22" s="90"/>
      <c r="H22" s="90"/>
      <c r="I22" s="90"/>
      <c r="J22" s="90"/>
      <c r="K22" s="90"/>
      <c r="L22" s="90"/>
      <c r="M22" s="90"/>
      <c r="N22" s="101"/>
      <c r="O22" s="98"/>
      <c r="P22" s="99"/>
      <c r="Q22" s="90"/>
      <c r="R22" s="105"/>
      <c r="S22" s="105"/>
      <c r="T22" s="179"/>
      <c r="U22" s="178"/>
    </row>
    <row r="23" spans="1:21" s="87" customFormat="1" ht="22.5" customHeight="1" x14ac:dyDescent="0.25">
      <c r="A23" s="160">
        <v>13</v>
      </c>
      <c r="B23" s="171" t="s">
        <v>375</v>
      </c>
      <c r="C23" s="168" t="s">
        <v>33</v>
      </c>
      <c r="D23" s="160"/>
      <c r="E23" s="89">
        <v>1</v>
      </c>
      <c r="F23" s="89" t="s">
        <v>27</v>
      </c>
      <c r="G23" s="89"/>
      <c r="H23" s="89"/>
      <c r="I23" s="90">
        <f>8.55/1.13</f>
        <v>7.5663716814159301</v>
      </c>
      <c r="J23" s="89"/>
      <c r="K23" s="90">
        <v>0.15959999999999999</v>
      </c>
      <c r="L23" s="90">
        <v>0.15959999999999999</v>
      </c>
      <c r="M23" s="90">
        <f>K23-L23</f>
        <v>0</v>
      </c>
      <c r="N23" s="100">
        <f>(I23*K23-J23*M23)*E23</f>
        <v>1.2075929203539799</v>
      </c>
      <c r="O23" s="90" t="s">
        <v>195</v>
      </c>
      <c r="P23" s="90"/>
      <c r="Q23" s="90">
        <v>8</v>
      </c>
      <c r="R23" s="139">
        <v>0.08</v>
      </c>
      <c r="S23" s="105">
        <f>R23*Q23</f>
        <v>0.64</v>
      </c>
      <c r="T23" s="179">
        <f>SUM(S23:S26)*1.12+N23+0.04</f>
        <v>1.9643929203539801</v>
      </c>
      <c r="U23" s="178" t="s">
        <v>196</v>
      </c>
    </row>
    <row r="24" spans="1:21" s="87" customFormat="1" ht="22.5" customHeight="1" x14ac:dyDescent="0.25">
      <c r="A24" s="161"/>
      <c r="B24" s="169"/>
      <c r="C24" s="169"/>
      <c r="D24" s="161"/>
      <c r="E24" s="89"/>
      <c r="F24" s="89"/>
      <c r="G24" s="89"/>
      <c r="H24" s="89"/>
      <c r="I24" s="89"/>
      <c r="J24" s="89"/>
      <c r="K24" s="89"/>
      <c r="L24" s="89"/>
      <c r="M24" s="89"/>
      <c r="N24" s="100"/>
      <c r="O24" s="156" t="s">
        <v>376</v>
      </c>
      <c r="P24" s="157"/>
      <c r="Q24" s="157"/>
      <c r="R24" s="157"/>
      <c r="S24" s="158"/>
      <c r="T24" s="179"/>
      <c r="U24" s="178"/>
    </row>
    <row r="25" spans="1:21" s="87" customFormat="1" ht="22.5" customHeight="1" x14ac:dyDescent="0.25">
      <c r="A25" s="161"/>
      <c r="B25" s="169"/>
      <c r="C25" s="169"/>
      <c r="D25" s="161"/>
      <c r="E25" s="90"/>
      <c r="F25" s="90"/>
      <c r="G25" s="90"/>
      <c r="H25" s="90"/>
      <c r="I25" s="90"/>
      <c r="J25" s="90"/>
      <c r="K25" s="90"/>
      <c r="L25" s="90"/>
      <c r="M25" s="90"/>
      <c r="N25" s="101"/>
      <c r="O25" s="98"/>
      <c r="P25" s="99"/>
      <c r="Q25" s="90"/>
      <c r="R25" s="105"/>
      <c r="S25" s="105"/>
      <c r="T25" s="179"/>
      <c r="U25" s="178"/>
    </row>
    <row r="26" spans="1:21" s="87" customFormat="1" ht="22.5" customHeight="1" x14ac:dyDescent="0.25">
      <c r="A26" s="162"/>
      <c r="B26" s="170"/>
      <c r="C26" s="170"/>
      <c r="D26" s="162"/>
      <c r="E26" s="90"/>
      <c r="F26" s="90"/>
      <c r="G26" s="90"/>
      <c r="H26" s="90"/>
      <c r="I26" s="90"/>
      <c r="J26" s="90"/>
      <c r="K26" s="90"/>
      <c r="L26" s="90"/>
      <c r="M26" s="90"/>
      <c r="N26" s="101"/>
      <c r="O26" s="98"/>
      <c r="P26" s="99"/>
      <c r="Q26" s="90"/>
      <c r="R26" s="105"/>
      <c r="S26" s="105"/>
      <c r="T26" s="179"/>
      <c r="U26" s="178"/>
    </row>
    <row r="27" spans="1:21" s="87" customFormat="1" ht="22.5" customHeight="1" x14ac:dyDescent="0.25">
      <c r="A27" s="160">
        <v>14</v>
      </c>
      <c r="B27" s="168" t="str">
        <f>未定价清单!B13</f>
        <v>SLT0010355</v>
      </c>
      <c r="C27" s="168" t="str">
        <f>未定价清单!C13</f>
        <v>副驾靠背侧翼支撑钢丝</v>
      </c>
      <c r="D27" s="160"/>
      <c r="E27" s="89">
        <v>1</v>
      </c>
      <c r="F27" s="89" t="s">
        <v>27</v>
      </c>
      <c r="G27" s="89"/>
      <c r="H27" s="89"/>
      <c r="I27" s="90">
        <f>8.55/1.13</f>
        <v>7.5663716814159301</v>
      </c>
      <c r="J27" s="89"/>
      <c r="K27" s="41">
        <f>未定价清单!G13</f>
        <v>7.6799999999999993E-2</v>
      </c>
      <c r="L27" s="90">
        <f>K27</f>
        <v>7.6799999999999993E-2</v>
      </c>
      <c r="M27" s="90">
        <v>0</v>
      </c>
      <c r="N27" s="95">
        <f>(I27*K27-J27*M27)*E27</f>
        <v>0.58109734513274336</v>
      </c>
      <c r="O27" s="90" t="s">
        <v>194</v>
      </c>
      <c r="P27" s="90"/>
      <c r="Q27" s="90"/>
      <c r="R27" s="105"/>
      <c r="S27" s="105"/>
      <c r="T27" s="179">
        <f>N27</f>
        <v>0.58109734513274336</v>
      </c>
      <c r="U27" s="178"/>
    </row>
    <row r="28" spans="1:21" s="87" customFormat="1" ht="22.5" customHeight="1" x14ac:dyDescent="0.25">
      <c r="A28" s="161"/>
      <c r="B28" s="169"/>
      <c r="C28" s="169"/>
      <c r="D28" s="161"/>
      <c r="E28" s="89"/>
      <c r="F28" s="89"/>
      <c r="G28" s="89"/>
      <c r="H28" s="89"/>
      <c r="I28" s="89"/>
      <c r="J28" s="89"/>
      <c r="K28" s="89"/>
      <c r="L28" s="89"/>
      <c r="M28" s="89"/>
      <c r="N28" s="100"/>
      <c r="O28" s="96"/>
      <c r="P28" s="96"/>
      <c r="Q28" s="96"/>
      <c r="R28" s="96"/>
      <c r="S28" s="96"/>
      <c r="T28" s="179"/>
      <c r="U28" s="178"/>
    </row>
    <row r="29" spans="1:21" s="87" customFormat="1" ht="22.5" customHeight="1" x14ac:dyDescent="0.25">
      <c r="A29" s="161"/>
      <c r="B29" s="169"/>
      <c r="C29" s="169"/>
      <c r="D29" s="161"/>
      <c r="E29" s="90"/>
      <c r="F29" s="90"/>
      <c r="G29" s="90"/>
      <c r="H29" s="90"/>
      <c r="I29" s="90"/>
      <c r="J29" s="90"/>
      <c r="K29" s="90"/>
      <c r="L29" s="90"/>
      <c r="M29" s="90"/>
      <c r="N29" s="101"/>
      <c r="O29" s="98"/>
      <c r="P29" s="99"/>
      <c r="Q29" s="90"/>
      <c r="R29" s="105"/>
      <c r="S29" s="105"/>
      <c r="T29" s="179"/>
      <c r="U29" s="178"/>
    </row>
    <row r="30" spans="1:21" s="87" customFormat="1" ht="22.5" customHeight="1" x14ac:dyDescent="0.25">
      <c r="A30" s="162"/>
      <c r="B30" s="170"/>
      <c r="C30" s="170"/>
      <c r="D30" s="162"/>
      <c r="E30" s="90"/>
      <c r="F30" s="90"/>
      <c r="G30" s="90"/>
      <c r="H30" s="90"/>
      <c r="I30" s="90"/>
      <c r="J30" s="90"/>
      <c r="K30" s="90"/>
      <c r="L30" s="90"/>
      <c r="M30" s="90"/>
      <c r="N30" s="101"/>
      <c r="O30" s="98"/>
      <c r="P30" s="99"/>
      <c r="Q30" s="90"/>
      <c r="R30" s="105"/>
      <c r="S30" s="105"/>
      <c r="T30" s="179"/>
      <c r="U30" s="178"/>
    </row>
    <row r="31" spans="1:21" s="87" customFormat="1" ht="22.5" customHeight="1" x14ac:dyDescent="0.25">
      <c r="A31" s="160">
        <v>15</v>
      </c>
      <c r="B31" s="168" t="str">
        <f>未定价清单!B14</f>
        <v>SLT0010438</v>
      </c>
      <c r="C31" s="168" t="str">
        <f>未定价清单!C14</f>
        <v>副驾靠背头枕加强钢丝</v>
      </c>
      <c r="D31" s="160"/>
      <c r="E31" s="89">
        <v>1</v>
      </c>
      <c r="F31" s="89" t="s">
        <v>27</v>
      </c>
      <c r="G31" s="89"/>
      <c r="H31" s="89"/>
      <c r="I31" s="90">
        <f>8.55/1.13</f>
        <v>7.5663716814159301</v>
      </c>
      <c r="J31" s="89"/>
      <c r="K31" s="41">
        <f>未定价清单!G14</f>
        <v>7.9500000000000001E-2</v>
      </c>
      <c r="L31" s="90">
        <f>K31</f>
        <v>7.9500000000000001E-2</v>
      </c>
      <c r="M31" s="90">
        <v>0</v>
      </c>
      <c r="N31" s="95">
        <f>(I31*K31-J31*M31)*E31</f>
        <v>0.6015265486725665</v>
      </c>
      <c r="O31" s="90" t="s">
        <v>194</v>
      </c>
      <c r="P31" s="90"/>
      <c r="Q31" s="90"/>
      <c r="R31" s="105"/>
      <c r="S31" s="105"/>
      <c r="T31" s="179">
        <f>N31</f>
        <v>0.6015265486725665</v>
      </c>
      <c r="U31" s="178"/>
    </row>
    <row r="32" spans="1:21" s="87" customFormat="1" ht="22.5" customHeight="1" x14ac:dyDescent="0.25">
      <c r="A32" s="161"/>
      <c r="B32" s="169"/>
      <c r="C32" s="169"/>
      <c r="D32" s="161"/>
      <c r="E32" s="89"/>
      <c r="F32" s="89"/>
      <c r="G32" s="89"/>
      <c r="H32" s="89"/>
      <c r="I32" s="89"/>
      <c r="J32" s="89"/>
      <c r="K32" s="89"/>
      <c r="L32" s="89"/>
      <c r="M32" s="89"/>
      <c r="N32" s="100"/>
      <c r="O32" s="96"/>
      <c r="P32" s="96"/>
      <c r="Q32" s="96"/>
      <c r="R32" s="96"/>
      <c r="S32" s="96"/>
      <c r="T32" s="179"/>
      <c r="U32" s="178"/>
    </row>
    <row r="33" spans="1:21" s="87" customFormat="1" ht="22.5" customHeight="1" x14ac:dyDescent="0.25">
      <c r="A33" s="161"/>
      <c r="B33" s="169"/>
      <c r="C33" s="169"/>
      <c r="D33" s="161"/>
      <c r="E33" s="90"/>
      <c r="F33" s="90"/>
      <c r="G33" s="90"/>
      <c r="H33" s="90"/>
      <c r="I33" s="90"/>
      <c r="J33" s="90"/>
      <c r="K33" s="90"/>
      <c r="L33" s="90"/>
      <c r="M33" s="90"/>
      <c r="N33" s="101"/>
      <c r="O33" s="98"/>
      <c r="P33" s="99"/>
      <c r="Q33" s="90"/>
      <c r="R33" s="105"/>
      <c r="S33" s="105"/>
      <c r="T33" s="179"/>
      <c r="U33" s="178"/>
    </row>
    <row r="34" spans="1:21" s="87" customFormat="1" ht="22.5" customHeight="1" x14ac:dyDescent="0.25">
      <c r="A34" s="162"/>
      <c r="B34" s="170"/>
      <c r="C34" s="170"/>
      <c r="D34" s="162"/>
      <c r="E34" s="90"/>
      <c r="F34" s="90"/>
      <c r="G34" s="90"/>
      <c r="H34" s="90"/>
      <c r="I34" s="90"/>
      <c r="J34" s="90"/>
      <c r="K34" s="90"/>
      <c r="L34" s="90"/>
      <c r="M34" s="90"/>
      <c r="N34" s="101"/>
      <c r="O34" s="98"/>
      <c r="P34" s="99"/>
      <c r="Q34" s="90"/>
      <c r="R34" s="105"/>
      <c r="S34" s="105"/>
      <c r="T34" s="179"/>
      <c r="U34" s="178"/>
    </row>
    <row r="35" spans="1:21" s="87" customFormat="1" ht="22.5" customHeight="1" x14ac:dyDescent="0.25">
      <c r="A35" s="160">
        <v>16</v>
      </c>
      <c r="B35" s="168" t="str">
        <f>未定价清单!B15</f>
        <v>SLT0010437</v>
      </c>
      <c r="C35" s="168" t="str">
        <f>未定价清单!C15</f>
        <v>副驾靠背头枕支撑杆</v>
      </c>
      <c r="D35" s="160"/>
      <c r="E35" s="89">
        <v>1</v>
      </c>
      <c r="F35" s="89" t="s">
        <v>27</v>
      </c>
      <c r="G35" s="89"/>
      <c r="H35" s="89"/>
      <c r="I35" s="90">
        <f>8.55/1.13</f>
        <v>7.5663716814159301</v>
      </c>
      <c r="J35" s="89"/>
      <c r="K35" s="41">
        <f>未定价清单!G15</f>
        <v>0.1666</v>
      </c>
      <c r="L35" s="90">
        <f>K35</f>
        <v>0.1666</v>
      </c>
      <c r="M35" s="90">
        <v>0</v>
      </c>
      <c r="N35" s="95">
        <f>(I35*K35-J35*M35)*E35</f>
        <v>1.260557522123894</v>
      </c>
      <c r="O35" s="90" t="s">
        <v>194</v>
      </c>
      <c r="P35" s="90"/>
      <c r="Q35" s="90"/>
      <c r="R35" s="105"/>
      <c r="S35" s="105"/>
      <c r="T35" s="179">
        <f>N35</f>
        <v>1.260557522123894</v>
      </c>
      <c r="U35" s="178"/>
    </row>
    <row r="36" spans="1:21" s="87" customFormat="1" ht="22.5" customHeight="1" x14ac:dyDescent="0.25">
      <c r="A36" s="161"/>
      <c r="B36" s="169"/>
      <c r="C36" s="169"/>
      <c r="D36" s="161"/>
      <c r="E36" s="89"/>
      <c r="F36" s="89"/>
      <c r="G36" s="89"/>
      <c r="H36" s="89"/>
      <c r="I36" s="89"/>
      <c r="J36" s="89"/>
      <c r="K36" s="89"/>
      <c r="L36" s="89"/>
      <c r="M36" s="89"/>
      <c r="N36" s="100"/>
      <c r="O36" s="96"/>
      <c r="P36" s="96"/>
      <c r="Q36" s="96"/>
      <c r="R36" s="96"/>
      <c r="S36" s="96"/>
      <c r="T36" s="179"/>
      <c r="U36" s="178"/>
    </row>
    <row r="37" spans="1:21" s="87" customFormat="1" ht="22.5" customHeight="1" x14ac:dyDescent="0.25">
      <c r="A37" s="161"/>
      <c r="B37" s="169"/>
      <c r="C37" s="169"/>
      <c r="D37" s="161"/>
      <c r="E37" s="90"/>
      <c r="F37" s="90"/>
      <c r="G37" s="90"/>
      <c r="H37" s="90"/>
      <c r="I37" s="90"/>
      <c r="J37" s="90"/>
      <c r="K37" s="90"/>
      <c r="L37" s="90"/>
      <c r="M37" s="90"/>
      <c r="N37" s="101"/>
      <c r="O37" s="98"/>
      <c r="P37" s="99"/>
      <c r="Q37" s="90"/>
      <c r="R37" s="105"/>
      <c r="S37" s="105"/>
      <c r="T37" s="179"/>
      <c r="U37" s="178"/>
    </row>
    <row r="38" spans="1:21" s="87" customFormat="1" ht="22.5" customHeight="1" x14ac:dyDescent="0.25">
      <c r="A38" s="162"/>
      <c r="B38" s="170"/>
      <c r="C38" s="170"/>
      <c r="D38" s="162"/>
      <c r="E38" s="90"/>
      <c r="F38" s="90"/>
      <c r="G38" s="90"/>
      <c r="H38" s="90"/>
      <c r="I38" s="90"/>
      <c r="J38" s="90"/>
      <c r="K38" s="90"/>
      <c r="L38" s="90"/>
      <c r="M38" s="90"/>
      <c r="N38" s="101"/>
      <c r="O38" s="98"/>
      <c r="P38" s="99"/>
      <c r="Q38" s="90"/>
      <c r="R38" s="105"/>
      <c r="S38" s="105"/>
      <c r="T38" s="179"/>
      <c r="U38" s="178"/>
    </row>
    <row r="39" spans="1:21" s="86" customFormat="1" ht="22.5" customHeight="1" x14ac:dyDescent="0.25">
      <c r="A39" s="163">
        <v>17</v>
      </c>
      <c r="B39" s="171" t="s">
        <v>390</v>
      </c>
      <c r="C39" s="168" t="e">
        <f>VLOOKUP(B:B,#REF!,2,0)</f>
        <v>#REF!</v>
      </c>
      <c r="D39" s="16"/>
      <c r="E39" s="16">
        <v>1</v>
      </c>
      <c r="F39" s="16" t="s">
        <v>27</v>
      </c>
      <c r="G39" s="16"/>
      <c r="H39" s="16"/>
      <c r="I39" s="13">
        <f>8.55/1.13</f>
        <v>7.5663716814159301</v>
      </c>
      <c r="J39" s="16"/>
      <c r="K39" s="13">
        <v>0.16109999999999999</v>
      </c>
      <c r="L39" s="13">
        <v>0.16109999999999999</v>
      </c>
      <c r="M39" s="13">
        <f>K39-L39</f>
        <v>0</v>
      </c>
      <c r="N39" s="102">
        <f>(I39*K39-J39*M39)*E39</f>
        <v>1.21894247787611</v>
      </c>
      <c r="O39" s="13" t="s">
        <v>195</v>
      </c>
      <c r="P39" s="13"/>
      <c r="Q39" s="13">
        <v>8</v>
      </c>
      <c r="R39" s="140">
        <v>0.08</v>
      </c>
      <c r="S39" s="106">
        <f>R39*Q39</f>
        <v>0.64</v>
      </c>
      <c r="T39" s="181">
        <f>SUM(S39:S42)*1.12+N39+0.04</f>
        <v>1.9757424778761101</v>
      </c>
      <c r="U39" s="178" t="s">
        <v>196</v>
      </c>
    </row>
    <row r="40" spans="1:21" s="86" customFormat="1" ht="22.5" customHeight="1" x14ac:dyDescent="0.25">
      <c r="A40" s="164"/>
      <c r="B40" s="169"/>
      <c r="C40" s="16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2"/>
      <c r="O40" s="156" t="s">
        <v>376</v>
      </c>
      <c r="P40" s="157"/>
      <c r="Q40" s="157"/>
      <c r="R40" s="157"/>
      <c r="S40" s="158"/>
      <c r="T40" s="181"/>
      <c r="U40" s="178"/>
    </row>
    <row r="41" spans="1:21" s="86" customFormat="1" ht="22.5" customHeight="1" x14ac:dyDescent="0.25">
      <c r="A41" s="164"/>
      <c r="B41" s="169"/>
      <c r="C41" s="169"/>
      <c r="D41" s="16"/>
      <c r="E41" s="13"/>
      <c r="F41" s="13"/>
      <c r="G41" s="13"/>
      <c r="H41" s="13"/>
      <c r="I41" s="13"/>
      <c r="J41" s="13"/>
      <c r="K41" s="13"/>
      <c r="L41" s="13"/>
      <c r="M41" s="13"/>
      <c r="N41" s="91"/>
      <c r="O41" s="73"/>
      <c r="P41" s="103"/>
      <c r="Q41" s="13"/>
      <c r="R41" s="106"/>
      <c r="S41" s="106"/>
      <c r="T41" s="181"/>
      <c r="U41" s="178"/>
    </row>
    <row r="42" spans="1:21" s="86" customFormat="1" ht="22.5" customHeight="1" x14ac:dyDescent="0.25">
      <c r="A42" s="165"/>
      <c r="B42" s="170"/>
      <c r="C42" s="170"/>
      <c r="D42" s="16"/>
      <c r="E42" s="13"/>
      <c r="F42" s="13"/>
      <c r="G42" s="13"/>
      <c r="H42" s="13"/>
      <c r="I42" s="13"/>
      <c r="J42" s="13"/>
      <c r="K42" s="13"/>
      <c r="L42" s="13"/>
      <c r="M42" s="13"/>
      <c r="N42" s="91"/>
      <c r="O42" s="73"/>
      <c r="P42" s="103"/>
      <c r="Q42" s="13"/>
      <c r="R42" s="106"/>
      <c r="S42" s="106"/>
      <c r="T42" s="181"/>
      <c r="U42" s="178"/>
    </row>
    <row r="43" spans="1:21" s="87" customFormat="1" ht="22.5" customHeight="1" x14ac:dyDescent="0.25">
      <c r="A43" s="160">
        <v>18</v>
      </c>
      <c r="B43" s="168" t="s">
        <v>44</v>
      </c>
      <c r="C43" s="168" t="e">
        <f>VLOOKUP(B:B,#REF!,2,0)</f>
        <v>#REF!</v>
      </c>
      <c r="D43" s="89"/>
      <c r="E43" s="89">
        <v>1</v>
      </c>
      <c r="F43" s="89" t="s">
        <v>27</v>
      </c>
      <c r="G43" s="89"/>
      <c r="H43" s="89"/>
      <c r="I43" s="90">
        <f>8.55/1.13</f>
        <v>7.5663716814159301</v>
      </c>
      <c r="J43" s="89"/>
      <c r="K43" s="90">
        <v>0.15179999999999999</v>
      </c>
      <c r="L43" s="90">
        <v>0.15179999999999999</v>
      </c>
      <c r="M43" s="90">
        <f>K43-L43</f>
        <v>0</v>
      </c>
      <c r="N43" s="100">
        <f>(I43*K43-J43*M43)*E43</f>
        <v>1.14857522123894</v>
      </c>
      <c r="O43" s="90" t="s">
        <v>195</v>
      </c>
      <c r="P43" s="90"/>
      <c r="Q43" s="90">
        <v>8</v>
      </c>
      <c r="R43" s="139">
        <v>0.08</v>
      </c>
      <c r="S43" s="105">
        <f>R43*Q43</f>
        <v>0.64</v>
      </c>
      <c r="T43" s="178">
        <f>SUM(S43:S46)*1.12+N43+0.04</f>
        <v>1.9053752212389401</v>
      </c>
      <c r="U43" s="178" t="s">
        <v>196</v>
      </c>
    </row>
    <row r="44" spans="1:21" s="87" customFormat="1" ht="22.5" customHeight="1" x14ac:dyDescent="0.25">
      <c r="A44" s="161"/>
      <c r="B44" s="169"/>
      <c r="C44" s="16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00"/>
      <c r="O44" s="156" t="s">
        <v>376</v>
      </c>
      <c r="P44" s="157"/>
      <c r="Q44" s="157"/>
      <c r="R44" s="157"/>
      <c r="S44" s="158"/>
      <c r="T44" s="178"/>
      <c r="U44" s="178"/>
    </row>
    <row r="45" spans="1:21" s="87" customFormat="1" ht="22.5" customHeight="1" x14ac:dyDescent="0.25">
      <c r="A45" s="161"/>
      <c r="B45" s="169"/>
      <c r="C45" s="169"/>
      <c r="D45" s="89"/>
      <c r="E45" s="90"/>
      <c r="F45" s="90"/>
      <c r="G45" s="90"/>
      <c r="H45" s="90"/>
      <c r="I45" s="90"/>
      <c r="J45" s="90"/>
      <c r="K45" s="90"/>
      <c r="L45" s="90"/>
      <c r="M45" s="90"/>
      <c r="N45" s="101"/>
      <c r="O45" s="98"/>
      <c r="P45" s="99"/>
      <c r="Q45" s="90"/>
      <c r="R45" s="105"/>
      <c r="S45" s="105"/>
      <c r="T45" s="178"/>
      <c r="U45" s="178"/>
    </row>
    <row r="46" spans="1:21" s="87" customFormat="1" ht="22.5" customHeight="1" x14ac:dyDescent="0.25">
      <c r="A46" s="162"/>
      <c r="B46" s="170"/>
      <c r="C46" s="170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101"/>
      <c r="O46" s="98"/>
      <c r="P46" s="99"/>
      <c r="Q46" s="90"/>
      <c r="R46" s="105"/>
      <c r="S46" s="105"/>
      <c r="T46" s="178"/>
      <c r="U46" s="178"/>
    </row>
    <row r="47" spans="1:21" s="87" customFormat="1" ht="22.5" customHeight="1" x14ac:dyDescent="0.25">
      <c r="A47" s="160">
        <v>20</v>
      </c>
      <c r="B47" s="168" t="str">
        <f>未定价清单!B19</f>
        <v>SLT0010335</v>
      </c>
      <c r="C47" s="168" t="str">
        <f>未定价清单!C19</f>
        <v>驾驶员侧翼支撑钢丝</v>
      </c>
      <c r="D47" s="160"/>
      <c r="E47" s="89">
        <v>1</v>
      </c>
      <c r="F47" s="89" t="s">
        <v>27</v>
      </c>
      <c r="G47" s="89"/>
      <c r="H47" s="89"/>
      <c r="I47" s="90">
        <f>8.55/1.13</f>
        <v>7.5663716814159301</v>
      </c>
      <c r="J47" s="89"/>
      <c r="K47" s="41">
        <f>未定价清单!G19</f>
        <v>7.0999999999999994E-2</v>
      </c>
      <c r="L47" s="90">
        <f>K47</f>
        <v>7.0999999999999994E-2</v>
      </c>
      <c r="M47" s="90">
        <v>0</v>
      </c>
      <c r="N47" s="95">
        <f>(I47*K47-J47*M47)*E47</f>
        <v>0.53721238938053095</v>
      </c>
      <c r="O47" s="90" t="s">
        <v>194</v>
      </c>
      <c r="P47" s="90"/>
      <c r="Q47" s="90"/>
      <c r="R47" s="105"/>
      <c r="S47" s="105"/>
      <c r="T47" s="179">
        <f>N47</f>
        <v>0.53721238938053095</v>
      </c>
      <c r="U47" s="178"/>
    </row>
    <row r="48" spans="1:21" s="87" customFormat="1" ht="22.5" customHeight="1" x14ac:dyDescent="0.25">
      <c r="A48" s="161"/>
      <c r="B48" s="169"/>
      <c r="C48" s="169"/>
      <c r="D48" s="161"/>
      <c r="E48" s="89"/>
      <c r="F48" s="89"/>
      <c r="G48" s="89"/>
      <c r="H48" s="89"/>
      <c r="I48" s="89"/>
      <c r="J48" s="89"/>
      <c r="K48" s="89"/>
      <c r="L48" s="89"/>
      <c r="M48" s="89"/>
      <c r="N48" s="100"/>
      <c r="O48" s="96"/>
      <c r="P48" s="96"/>
      <c r="Q48" s="96"/>
      <c r="R48" s="96"/>
      <c r="S48" s="96"/>
      <c r="T48" s="179"/>
      <c r="U48" s="178"/>
    </row>
    <row r="49" spans="1:21" s="87" customFormat="1" ht="22.5" customHeight="1" x14ac:dyDescent="0.25">
      <c r="A49" s="161"/>
      <c r="B49" s="169"/>
      <c r="C49" s="169"/>
      <c r="D49" s="161"/>
      <c r="E49" s="90"/>
      <c r="F49" s="90"/>
      <c r="G49" s="90"/>
      <c r="H49" s="90"/>
      <c r="I49" s="90"/>
      <c r="J49" s="90"/>
      <c r="K49" s="90"/>
      <c r="L49" s="90"/>
      <c r="M49" s="90"/>
      <c r="N49" s="101"/>
      <c r="O49" s="98"/>
      <c r="P49" s="99"/>
      <c r="Q49" s="90"/>
      <c r="R49" s="105"/>
      <c r="S49" s="105"/>
      <c r="T49" s="179"/>
      <c r="U49" s="178"/>
    </row>
    <row r="50" spans="1:21" s="87" customFormat="1" ht="22.5" customHeight="1" x14ac:dyDescent="0.25">
      <c r="A50" s="162"/>
      <c r="B50" s="170"/>
      <c r="C50" s="170"/>
      <c r="D50" s="162"/>
      <c r="E50" s="90"/>
      <c r="F50" s="90"/>
      <c r="G50" s="90"/>
      <c r="H50" s="90"/>
      <c r="I50" s="90"/>
      <c r="J50" s="90"/>
      <c r="K50" s="90"/>
      <c r="L50" s="90"/>
      <c r="M50" s="90"/>
      <c r="N50" s="101"/>
      <c r="O50" s="98"/>
      <c r="P50" s="99"/>
      <c r="Q50" s="90"/>
      <c r="R50" s="105"/>
      <c r="S50" s="105"/>
      <c r="T50" s="179"/>
      <c r="U50" s="178"/>
    </row>
    <row r="51" spans="1:21" s="86" customFormat="1" ht="22.5" customHeight="1" x14ac:dyDescent="0.25">
      <c r="A51" s="163">
        <v>21</v>
      </c>
      <c r="B51" s="168" t="s">
        <v>51</v>
      </c>
      <c r="C51" s="168" t="e">
        <f>VLOOKUP(B:B,#REF!,2,0)</f>
        <v>#REF!</v>
      </c>
      <c r="D51" s="16"/>
      <c r="E51" s="16">
        <v>1</v>
      </c>
      <c r="F51" s="16" t="s">
        <v>61</v>
      </c>
      <c r="G51" s="16"/>
      <c r="H51" s="16"/>
      <c r="I51" s="13">
        <v>8.5</v>
      </c>
      <c r="J51" s="13">
        <v>2.5</v>
      </c>
      <c r="K51" s="13">
        <v>0.35599999999999998</v>
      </c>
      <c r="L51" s="13">
        <f>K51</f>
        <v>0.35599999999999998</v>
      </c>
      <c r="M51" s="13">
        <f>K51-L51</f>
        <v>0</v>
      </c>
      <c r="N51" s="102">
        <f>(I51*K51-J51*M51)*E51</f>
        <v>3.0259999999999998</v>
      </c>
      <c r="O51" s="13" t="s">
        <v>197</v>
      </c>
      <c r="P51" s="13"/>
      <c r="Q51" s="13">
        <v>1</v>
      </c>
      <c r="R51" s="106">
        <v>1.8</v>
      </c>
      <c r="S51" s="106">
        <f>R51*Q51</f>
        <v>1.8</v>
      </c>
      <c r="T51" s="182">
        <f>(N51+S51+S52+S53+S54)*1.12</f>
        <v>5.9651199999999998</v>
      </c>
      <c r="U51" s="178" t="s">
        <v>196</v>
      </c>
    </row>
    <row r="52" spans="1:21" s="86" customFormat="1" ht="22.5" customHeight="1" x14ac:dyDescent="0.25">
      <c r="A52" s="164"/>
      <c r="B52" s="169"/>
      <c r="C52" s="16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02"/>
      <c r="O52" s="73" t="s">
        <v>198</v>
      </c>
      <c r="P52" s="103"/>
      <c r="Q52" s="103">
        <v>1</v>
      </c>
      <c r="R52" s="106">
        <v>0.15</v>
      </c>
      <c r="S52" s="106">
        <f>R52*Q52</f>
        <v>0.15</v>
      </c>
      <c r="T52" s="183"/>
      <c r="U52" s="178"/>
    </row>
    <row r="53" spans="1:21" s="86" customFormat="1" ht="22.5" customHeight="1" x14ac:dyDescent="0.25">
      <c r="A53" s="164"/>
      <c r="B53" s="169"/>
      <c r="C53" s="16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02"/>
      <c r="O53" s="73" t="s">
        <v>199</v>
      </c>
      <c r="P53" s="103"/>
      <c r="Q53" s="103">
        <v>1</v>
      </c>
      <c r="R53" s="106">
        <v>0.33</v>
      </c>
      <c r="S53" s="106">
        <f>R53*Q53</f>
        <v>0.33</v>
      </c>
      <c r="T53" s="183"/>
      <c r="U53" s="178"/>
    </row>
    <row r="54" spans="1:21" s="86" customFormat="1" ht="22.5" customHeight="1" x14ac:dyDescent="0.25">
      <c r="A54" s="165"/>
      <c r="B54" s="170"/>
      <c r="C54" s="170"/>
      <c r="D54" s="16"/>
      <c r="E54" s="13"/>
      <c r="F54" s="13"/>
      <c r="G54" s="13"/>
      <c r="H54" s="13"/>
      <c r="I54" s="13"/>
      <c r="J54" s="13"/>
      <c r="K54" s="13"/>
      <c r="L54" s="13"/>
      <c r="M54" s="13"/>
      <c r="N54" s="91"/>
      <c r="O54" s="73" t="s">
        <v>200</v>
      </c>
      <c r="P54" s="103"/>
      <c r="Q54" s="103">
        <v>1</v>
      </c>
      <c r="R54" s="106">
        <v>0.02</v>
      </c>
      <c r="S54" s="106">
        <v>0.02</v>
      </c>
      <c r="T54" s="184"/>
      <c r="U54" s="178"/>
    </row>
    <row r="55" spans="1:21" s="87" customFormat="1" ht="22.5" customHeight="1" x14ac:dyDescent="0.25">
      <c r="A55" s="160">
        <v>22</v>
      </c>
      <c r="B55" s="168" t="str">
        <f>未定价清单!B21</f>
        <v>SCS0010585</v>
      </c>
      <c r="C55" s="168" t="str">
        <f>未定价清单!C21</f>
        <v>靠背面套固定钢丝-右</v>
      </c>
      <c r="D55" s="160"/>
      <c r="E55" s="89">
        <v>1</v>
      </c>
      <c r="F55" s="89" t="s">
        <v>27</v>
      </c>
      <c r="G55" s="89"/>
      <c r="H55" s="89"/>
      <c r="I55" s="90">
        <f>8.55/1.13</f>
        <v>7.5663716814159301</v>
      </c>
      <c r="J55" s="89"/>
      <c r="K55" s="41">
        <f>未定价清单!G21</f>
        <v>6.4000000000000001E-2</v>
      </c>
      <c r="L55" s="90">
        <f>K55</f>
        <v>6.4000000000000001E-2</v>
      </c>
      <c r="M55" s="90">
        <v>0</v>
      </c>
      <c r="N55" s="95">
        <f>(I55*K55-J55*M55)*E55</f>
        <v>0.48424778761061954</v>
      </c>
      <c r="O55" s="90" t="s">
        <v>194</v>
      </c>
      <c r="P55" s="90"/>
      <c r="Q55" s="90"/>
      <c r="R55" s="105"/>
      <c r="S55" s="105"/>
      <c r="T55" s="179">
        <f>N55</f>
        <v>0.48424778761061954</v>
      </c>
      <c r="U55" s="178"/>
    </row>
    <row r="56" spans="1:21" s="87" customFormat="1" ht="22.5" customHeight="1" x14ac:dyDescent="0.25">
      <c r="A56" s="161"/>
      <c r="B56" s="169"/>
      <c r="C56" s="169"/>
      <c r="D56" s="161"/>
      <c r="E56" s="89"/>
      <c r="F56" s="89"/>
      <c r="G56" s="89"/>
      <c r="H56" s="89"/>
      <c r="I56" s="89"/>
      <c r="J56" s="89"/>
      <c r="K56" s="89"/>
      <c r="L56" s="89"/>
      <c r="M56" s="89"/>
      <c r="N56" s="100"/>
      <c r="O56" s="96"/>
      <c r="P56" s="96"/>
      <c r="Q56" s="96"/>
      <c r="R56" s="96"/>
      <c r="S56" s="96"/>
      <c r="T56" s="179"/>
      <c r="U56" s="178"/>
    </row>
    <row r="57" spans="1:21" s="87" customFormat="1" ht="22.5" customHeight="1" x14ac:dyDescent="0.25">
      <c r="A57" s="161"/>
      <c r="B57" s="169"/>
      <c r="C57" s="169"/>
      <c r="D57" s="161"/>
      <c r="E57" s="90"/>
      <c r="F57" s="90"/>
      <c r="G57" s="90"/>
      <c r="H57" s="90"/>
      <c r="I57" s="90"/>
      <c r="J57" s="90"/>
      <c r="K57" s="90"/>
      <c r="L57" s="90"/>
      <c r="M57" s="90"/>
      <c r="N57" s="101"/>
      <c r="O57" s="98"/>
      <c r="P57" s="99"/>
      <c r="Q57" s="90"/>
      <c r="R57" s="105"/>
      <c r="S57" s="105"/>
      <c r="T57" s="179"/>
      <c r="U57" s="178"/>
    </row>
    <row r="58" spans="1:21" s="87" customFormat="1" ht="22.5" customHeight="1" x14ac:dyDescent="0.25">
      <c r="A58" s="162"/>
      <c r="B58" s="170"/>
      <c r="C58" s="170"/>
      <c r="D58" s="162"/>
      <c r="E58" s="90"/>
      <c r="F58" s="90"/>
      <c r="G58" s="90"/>
      <c r="H58" s="90"/>
      <c r="I58" s="90"/>
      <c r="J58" s="90"/>
      <c r="K58" s="90"/>
      <c r="L58" s="90"/>
      <c r="M58" s="90"/>
      <c r="N58" s="101"/>
      <c r="O58" s="98"/>
      <c r="P58" s="99"/>
      <c r="Q58" s="90"/>
      <c r="R58" s="105"/>
      <c r="S58" s="105"/>
      <c r="T58" s="179"/>
      <c r="U58" s="178"/>
    </row>
    <row r="59" spans="1:21" s="87" customFormat="1" ht="22.5" customHeight="1" x14ac:dyDescent="0.25">
      <c r="A59" s="160">
        <v>23</v>
      </c>
      <c r="B59" s="168" t="str">
        <f>未定价清单!B22</f>
        <v>SCS0007568</v>
      </c>
      <c r="C59" s="168" t="str">
        <f>未定价清单!C22</f>
        <v>扣手底座固定钢丝</v>
      </c>
      <c r="D59" s="160"/>
      <c r="E59" s="89">
        <v>1</v>
      </c>
      <c r="F59" s="89" t="s">
        <v>27</v>
      </c>
      <c r="G59" s="89"/>
      <c r="H59" s="89"/>
      <c r="I59" s="90">
        <f>8.55/1.13</f>
        <v>7.5663716814159301</v>
      </c>
      <c r="J59" s="89"/>
      <c r="K59" s="41">
        <f>未定价清单!G22</f>
        <v>2.1100000000000001E-2</v>
      </c>
      <c r="L59" s="90">
        <f>K59</f>
        <v>2.1100000000000001E-2</v>
      </c>
      <c r="M59" s="90">
        <v>0</v>
      </c>
      <c r="N59" s="95">
        <f>(I59*K59-J59*M59)*E59</f>
        <v>0.15965044247787613</v>
      </c>
      <c r="O59" s="90" t="s">
        <v>194</v>
      </c>
      <c r="P59" s="90"/>
      <c r="Q59" s="90"/>
      <c r="R59" s="105"/>
      <c r="S59" s="105"/>
      <c r="T59" s="179">
        <f>N59</f>
        <v>0.15965044247787613</v>
      </c>
      <c r="U59" s="178"/>
    </row>
    <row r="60" spans="1:21" s="87" customFormat="1" ht="22.5" customHeight="1" x14ac:dyDescent="0.25">
      <c r="A60" s="161"/>
      <c r="B60" s="169"/>
      <c r="C60" s="169"/>
      <c r="D60" s="161"/>
      <c r="E60" s="89"/>
      <c r="F60" s="89"/>
      <c r="G60" s="89"/>
      <c r="H60" s="89"/>
      <c r="I60" s="89"/>
      <c r="J60" s="89"/>
      <c r="K60" s="89"/>
      <c r="L60" s="89"/>
      <c r="M60" s="89"/>
      <c r="N60" s="100"/>
      <c r="O60" s="96"/>
      <c r="P60" s="96"/>
      <c r="Q60" s="96"/>
      <c r="R60" s="96"/>
      <c r="S60" s="96"/>
      <c r="T60" s="179"/>
      <c r="U60" s="178"/>
    </row>
    <row r="61" spans="1:21" s="87" customFormat="1" ht="22.5" customHeight="1" x14ac:dyDescent="0.25">
      <c r="A61" s="161"/>
      <c r="B61" s="169"/>
      <c r="C61" s="169"/>
      <c r="D61" s="161"/>
      <c r="E61" s="90"/>
      <c r="F61" s="90"/>
      <c r="G61" s="90"/>
      <c r="H61" s="90"/>
      <c r="I61" s="90"/>
      <c r="J61" s="90"/>
      <c r="K61" s="90"/>
      <c r="L61" s="90"/>
      <c r="M61" s="90"/>
      <c r="N61" s="101"/>
      <c r="O61" s="98"/>
      <c r="P61" s="99"/>
      <c r="Q61" s="90"/>
      <c r="R61" s="105"/>
      <c r="S61" s="105"/>
      <c r="T61" s="179"/>
      <c r="U61" s="178"/>
    </row>
    <row r="62" spans="1:21" s="87" customFormat="1" ht="22.5" customHeight="1" x14ac:dyDescent="0.25">
      <c r="A62" s="162"/>
      <c r="B62" s="170"/>
      <c r="C62" s="170"/>
      <c r="D62" s="162"/>
      <c r="E62" s="90"/>
      <c r="F62" s="90"/>
      <c r="G62" s="90"/>
      <c r="H62" s="90"/>
      <c r="I62" s="90"/>
      <c r="J62" s="90"/>
      <c r="K62" s="90"/>
      <c r="L62" s="90"/>
      <c r="M62" s="90"/>
      <c r="N62" s="101"/>
      <c r="O62" s="98"/>
      <c r="P62" s="99"/>
      <c r="Q62" s="90"/>
      <c r="R62" s="105"/>
      <c r="S62" s="105"/>
      <c r="T62" s="179"/>
      <c r="U62" s="178"/>
    </row>
    <row r="63" spans="1:21" s="87" customFormat="1" ht="22.5" customHeight="1" x14ac:dyDescent="0.25">
      <c r="A63" s="160">
        <v>24</v>
      </c>
      <c r="B63" s="172" t="s">
        <v>59</v>
      </c>
      <c r="C63" s="168" t="s">
        <v>60</v>
      </c>
      <c r="D63" s="172"/>
      <c r="E63" s="89">
        <v>1</v>
      </c>
      <c r="F63" s="89" t="s">
        <v>61</v>
      </c>
      <c r="G63" s="89">
        <v>2.5</v>
      </c>
      <c r="H63" s="89"/>
      <c r="I63" s="90">
        <v>8.1</v>
      </c>
      <c r="J63" s="89"/>
      <c r="K63" s="90">
        <v>2.9000000000000001E-2</v>
      </c>
      <c r="L63" s="90">
        <v>2.9000000000000001E-2</v>
      </c>
      <c r="M63" s="90">
        <f>K63-L63</f>
        <v>0</v>
      </c>
      <c r="N63" s="100">
        <f>(I63*K63-J63*M63)*E63</f>
        <v>0.2349</v>
      </c>
      <c r="O63" s="90" t="s">
        <v>201</v>
      </c>
      <c r="P63" s="90"/>
      <c r="Q63" s="90">
        <v>1</v>
      </c>
      <c r="R63" s="105">
        <v>0.18</v>
      </c>
      <c r="S63" s="105">
        <f>R63*Q63</f>
        <v>0.18</v>
      </c>
      <c r="T63" s="178">
        <f>(SUM(S63:S66)+N63)*1.12</f>
        <v>0.53435295726495702</v>
      </c>
      <c r="U63" s="178" t="s">
        <v>196</v>
      </c>
    </row>
    <row r="64" spans="1:21" s="87" customFormat="1" ht="22.5" customHeight="1" x14ac:dyDescent="0.25">
      <c r="A64" s="161"/>
      <c r="B64" s="172"/>
      <c r="C64" s="169"/>
      <c r="D64" s="172"/>
      <c r="E64" s="89"/>
      <c r="F64" s="89"/>
      <c r="G64" s="89"/>
      <c r="H64" s="89"/>
      <c r="I64" s="89"/>
      <c r="J64" s="89"/>
      <c r="K64" s="89"/>
      <c r="L64" s="89"/>
      <c r="M64" s="89"/>
      <c r="N64" s="100"/>
      <c r="O64" s="98" t="s">
        <v>198</v>
      </c>
      <c r="P64" s="99"/>
      <c r="Q64" s="90">
        <v>1</v>
      </c>
      <c r="R64" s="105">
        <f>20000/10/12/26/3600*3+4000/26/8/3600*3+5/3600*3</f>
        <v>2.5534188034187999E-2</v>
      </c>
      <c r="S64" s="105">
        <f>R64*Q64</f>
        <v>2.5534188034187999E-2</v>
      </c>
      <c r="T64" s="178"/>
      <c r="U64" s="178"/>
    </row>
    <row r="65" spans="1:21" s="87" customFormat="1" ht="22.5" customHeight="1" x14ac:dyDescent="0.25">
      <c r="A65" s="161"/>
      <c r="B65" s="172"/>
      <c r="C65" s="169"/>
      <c r="D65" s="172"/>
      <c r="E65" s="90"/>
      <c r="F65" s="90"/>
      <c r="G65" s="90"/>
      <c r="H65" s="90"/>
      <c r="I65" s="90"/>
      <c r="J65" s="90"/>
      <c r="K65" s="90"/>
      <c r="L65" s="90"/>
      <c r="M65" s="90"/>
      <c r="N65" s="101"/>
      <c r="O65" s="98" t="s">
        <v>202</v>
      </c>
      <c r="P65" s="99"/>
      <c r="Q65" s="90">
        <v>1</v>
      </c>
      <c r="R65" s="105">
        <f>20/3600*3</f>
        <v>1.6666666666666701E-2</v>
      </c>
      <c r="S65" s="105">
        <f>R65*Q65</f>
        <v>1.6666666666666701E-2</v>
      </c>
      <c r="T65" s="178"/>
      <c r="U65" s="178"/>
    </row>
    <row r="66" spans="1:21" s="87" customFormat="1" ht="22.5" customHeight="1" x14ac:dyDescent="0.25">
      <c r="A66" s="162"/>
      <c r="B66" s="172"/>
      <c r="C66" s="170"/>
      <c r="D66" s="172"/>
      <c r="E66" s="90"/>
      <c r="F66" s="90"/>
      <c r="G66" s="90"/>
      <c r="H66" s="90"/>
      <c r="I66" s="90"/>
      <c r="J66" s="90"/>
      <c r="K66" s="90"/>
      <c r="L66" s="90"/>
      <c r="M66" s="90"/>
      <c r="N66" s="101"/>
      <c r="O66" s="98" t="s">
        <v>203</v>
      </c>
      <c r="P66" s="99"/>
      <c r="Q66" s="90">
        <v>1</v>
      </c>
      <c r="R66" s="105">
        <v>0.02</v>
      </c>
      <c r="S66" s="105">
        <v>0.02</v>
      </c>
      <c r="T66" s="178"/>
      <c r="U66" s="178"/>
    </row>
    <row r="67" spans="1:21" s="87" customFormat="1" ht="22.5" customHeight="1" x14ac:dyDescent="0.25">
      <c r="A67" s="160">
        <v>25</v>
      </c>
      <c r="B67" s="168" t="str">
        <f>未定价清单!B24</f>
        <v>SHT0012049</v>
      </c>
      <c r="C67" s="168" t="str">
        <f>未定价清单!C24</f>
        <v>拉簧固定钢丝</v>
      </c>
      <c r="D67" s="160"/>
      <c r="E67" s="89">
        <v>1</v>
      </c>
      <c r="F67" s="89" t="s">
        <v>27</v>
      </c>
      <c r="G67" s="89"/>
      <c r="H67" s="89"/>
      <c r="I67" s="90">
        <f>8.55/1.13</f>
        <v>7.5663716814159301</v>
      </c>
      <c r="J67" s="89"/>
      <c r="K67" s="41">
        <f>未定价清单!G24</f>
        <v>7.0000000000000001E-3</v>
      </c>
      <c r="L67" s="90">
        <f>K67</f>
        <v>7.0000000000000001E-3</v>
      </c>
      <c r="M67" s="90">
        <v>0</v>
      </c>
      <c r="N67" s="95">
        <f>(I67*K67-J67*M67)*E67</f>
        <v>5.296460176991151E-2</v>
      </c>
      <c r="O67" s="90" t="s">
        <v>194</v>
      </c>
      <c r="P67" s="90"/>
      <c r="Q67" s="90"/>
      <c r="R67" s="105"/>
      <c r="S67" s="105"/>
      <c r="T67" s="179">
        <f>N67</f>
        <v>5.296460176991151E-2</v>
      </c>
      <c r="U67" s="178"/>
    </row>
    <row r="68" spans="1:21" s="87" customFormat="1" ht="22.5" customHeight="1" x14ac:dyDescent="0.25">
      <c r="A68" s="161"/>
      <c r="B68" s="169"/>
      <c r="C68" s="169"/>
      <c r="D68" s="161"/>
      <c r="E68" s="89"/>
      <c r="F68" s="89"/>
      <c r="G68" s="89"/>
      <c r="H68" s="89"/>
      <c r="I68" s="89"/>
      <c r="J68" s="89"/>
      <c r="K68" s="89"/>
      <c r="L68" s="89"/>
      <c r="M68" s="89"/>
      <c r="N68" s="100"/>
      <c r="O68" s="96"/>
      <c r="P68" s="96"/>
      <c r="Q68" s="96"/>
      <c r="R68" s="96"/>
      <c r="S68" s="96"/>
      <c r="T68" s="179"/>
      <c r="U68" s="178"/>
    </row>
    <row r="69" spans="1:21" s="87" customFormat="1" ht="22.5" customHeight="1" x14ac:dyDescent="0.25">
      <c r="A69" s="161"/>
      <c r="B69" s="169"/>
      <c r="C69" s="169"/>
      <c r="D69" s="161"/>
      <c r="E69" s="90"/>
      <c r="F69" s="90"/>
      <c r="G69" s="90"/>
      <c r="H69" s="90"/>
      <c r="I69" s="90"/>
      <c r="J69" s="90"/>
      <c r="K69" s="90"/>
      <c r="L69" s="90"/>
      <c r="M69" s="90"/>
      <c r="N69" s="101"/>
      <c r="O69" s="98"/>
      <c r="P69" s="99"/>
      <c r="Q69" s="90"/>
      <c r="R69" s="105"/>
      <c r="S69" s="105"/>
      <c r="T69" s="179"/>
      <c r="U69" s="178"/>
    </row>
    <row r="70" spans="1:21" s="87" customFormat="1" ht="22.5" customHeight="1" x14ac:dyDescent="0.25">
      <c r="A70" s="162"/>
      <c r="B70" s="170"/>
      <c r="C70" s="170"/>
      <c r="D70" s="162"/>
      <c r="E70" s="90"/>
      <c r="F70" s="90"/>
      <c r="G70" s="90"/>
      <c r="H70" s="90"/>
      <c r="I70" s="90"/>
      <c r="J70" s="90"/>
      <c r="K70" s="90"/>
      <c r="L70" s="90"/>
      <c r="M70" s="90"/>
      <c r="N70" s="101"/>
      <c r="O70" s="98"/>
      <c r="P70" s="99"/>
      <c r="Q70" s="90"/>
      <c r="R70" s="105"/>
      <c r="S70" s="105"/>
      <c r="T70" s="179"/>
      <c r="U70" s="178"/>
    </row>
    <row r="71" spans="1:21" s="87" customFormat="1" ht="22.5" customHeight="1" x14ac:dyDescent="0.25">
      <c r="A71" s="160">
        <v>27</v>
      </c>
      <c r="B71" s="172" t="s">
        <v>68</v>
      </c>
      <c r="C71" s="168" t="s">
        <v>204</v>
      </c>
      <c r="D71" s="172"/>
      <c r="E71" s="89">
        <v>1</v>
      </c>
      <c r="F71" s="89" t="s">
        <v>61</v>
      </c>
      <c r="G71" s="89">
        <v>2</v>
      </c>
      <c r="H71" s="89"/>
      <c r="I71" s="90">
        <v>8.1</v>
      </c>
      <c r="J71" s="89"/>
      <c r="K71" s="90">
        <v>1.8800000000000001E-2</v>
      </c>
      <c r="L71" s="90">
        <v>1.8800000000000001E-2</v>
      </c>
      <c r="M71" s="90">
        <f>K71-L71</f>
        <v>0</v>
      </c>
      <c r="N71" s="100">
        <f>(I71*K71-J71*M71)*E71</f>
        <v>0.15228</v>
      </c>
      <c r="O71" s="90" t="s">
        <v>201</v>
      </c>
      <c r="P71" s="90"/>
      <c r="Q71" s="90">
        <v>1</v>
      </c>
      <c r="R71" s="105">
        <v>0.1</v>
      </c>
      <c r="S71" s="105">
        <f>R71*Q71</f>
        <v>0.1</v>
      </c>
      <c r="T71" s="178">
        <f>(SUM(S71:S74)+N71)*1.12</f>
        <v>0.35221855726495699</v>
      </c>
      <c r="U71" s="178" t="s">
        <v>196</v>
      </c>
    </row>
    <row r="72" spans="1:21" s="87" customFormat="1" ht="22.5" customHeight="1" x14ac:dyDescent="0.25">
      <c r="A72" s="161"/>
      <c r="B72" s="172"/>
      <c r="C72" s="169"/>
      <c r="D72" s="172"/>
      <c r="E72" s="89"/>
      <c r="F72" s="89"/>
      <c r="G72" s="89"/>
      <c r="H72" s="89"/>
      <c r="I72" s="89"/>
      <c r="J72" s="89"/>
      <c r="K72" s="89"/>
      <c r="L72" s="89"/>
      <c r="M72" s="89"/>
      <c r="N72" s="100"/>
      <c r="O72" s="98" t="s">
        <v>198</v>
      </c>
      <c r="P72" s="99"/>
      <c r="Q72" s="90">
        <v>1</v>
      </c>
      <c r="R72" s="105">
        <f>20000/10/12/26/3600*3+4000/26/8/3600*3+5/3600*3</f>
        <v>2.5534188034187999E-2</v>
      </c>
      <c r="S72" s="105">
        <f>R72*Q72</f>
        <v>2.5534188034187999E-2</v>
      </c>
      <c r="T72" s="178"/>
      <c r="U72" s="178"/>
    </row>
    <row r="73" spans="1:21" s="87" customFormat="1" ht="22.5" customHeight="1" x14ac:dyDescent="0.25">
      <c r="A73" s="161"/>
      <c r="B73" s="172"/>
      <c r="C73" s="169"/>
      <c r="D73" s="172"/>
      <c r="E73" s="90"/>
      <c r="F73" s="90"/>
      <c r="G73" s="90"/>
      <c r="H73" s="90"/>
      <c r="I73" s="90"/>
      <c r="J73" s="90"/>
      <c r="K73" s="90"/>
      <c r="L73" s="90"/>
      <c r="M73" s="90"/>
      <c r="N73" s="101"/>
      <c r="O73" s="98" t="s">
        <v>202</v>
      </c>
      <c r="P73" s="99"/>
      <c r="Q73" s="90">
        <v>1</v>
      </c>
      <c r="R73" s="105">
        <f>20/3600*3</f>
        <v>1.6666666666666701E-2</v>
      </c>
      <c r="S73" s="105">
        <f>R73*Q73</f>
        <v>1.6666666666666701E-2</v>
      </c>
      <c r="T73" s="178"/>
      <c r="U73" s="178"/>
    </row>
    <row r="74" spans="1:21" s="87" customFormat="1" ht="22.5" customHeight="1" x14ac:dyDescent="0.25">
      <c r="A74" s="162"/>
      <c r="B74" s="172"/>
      <c r="C74" s="170"/>
      <c r="D74" s="172"/>
      <c r="E74" s="90"/>
      <c r="F74" s="90"/>
      <c r="G74" s="90"/>
      <c r="H74" s="90"/>
      <c r="I74" s="90"/>
      <c r="J74" s="90"/>
      <c r="K74" s="90"/>
      <c r="L74" s="90"/>
      <c r="M74" s="90"/>
      <c r="N74" s="101"/>
      <c r="O74" s="98" t="s">
        <v>203</v>
      </c>
      <c r="P74" s="99"/>
      <c r="Q74" s="90">
        <v>1</v>
      </c>
      <c r="R74" s="105">
        <v>0.02</v>
      </c>
      <c r="S74" s="105">
        <v>0.02</v>
      </c>
      <c r="T74" s="178"/>
      <c r="U74" s="178"/>
    </row>
    <row r="75" spans="1:21" s="87" customFormat="1" ht="22.5" customHeight="1" x14ac:dyDescent="0.25">
      <c r="A75" s="160">
        <v>28</v>
      </c>
      <c r="B75" s="172" t="s">
        <v>71</v>
      </c>
      <c r="C75" s="168" t="s">
        <v>205</v>
      </c>
      <c r="D75" s="172"/>
      <c r="E75" s="89">
        <v>1</v>
      </c>
      <c r="F75" s="89" t="s">
        <v>61</v>
      </c>
      <c r="G75" s="89">
        <v>2</v>
      </c>
      <c r="H75" s="89"/>
      <c r="I75" s="90">
        <v>8.1</v>
      </c>
      <c r="J75" s="89"/>
      <c r="K75" s="90">
        <v>1.8800000000000001E-2</v>
      </c>
      <c r="L75" s="90">
        <v>1.8800000000000001E-2</v>
      </c>
      <c r="M75" s="90">
        <f>K75-L75</f>
        <v>0</v>
      </c>
      <c r="N75" s="100">
        <f>(I75*K75-J75*M75)*E75</f>
        <v>0.15228</v>
      </c>
      <c r="O75" s="90" t="s">
        <v>201</v>
      </c>
      <c r="P75" s="90"/>
      <c r="Q75" s="90">
        <v>1</v>
      </c>
      <c r="R75" s="105">
        <v>0.1</v>
      </c>
      <c r="S75" s="105">
        <f t="shared" ref="S75:S77" si="0">R75*Q75</f>
        <v>0.1</v>
      </c>
      <c r="T75" s="178">
        <f>(SUM(S75:S78)+N75)*1.12</f>
        <v>0.35221855726495699</v>
      </c>
      <c r="U75" s="178" t="s">
        <v>196</v>
      </c>
    </row>
    <row r="76" spans="1:21" s="87" customFormat="1" ht="22.5" customHeight="1" x14ac:dyDescent="0.25">
      <c r="A76" s="161"/>
      <c r="B76" s="172"/>
      <c r="C76" s="169"/>
      <c r="D76" s="172"/>
      <c r="E76" s="89"/>
      <c r="F76" s="89"/>
      <c r="G76" s="89"/>
      <c r="H76" s="89"/>
      <c r="I76" s="89"/>
      <c r="J76" s="89"/>
      <c r="K76" s="89"/>
      <c r="L76" s="89"/>
      <c r="M76" s="89"/>
      <c r="N76" s="100"/>
      <c r="O76" s="98" t="s">
        <v>198</v>
      </c>
      <c r="P76" s="99"/>
      <c r="Q76" s="90">
        <v>1</v>
      </c>
      <c r="R76" s="105">
        <f>20000/10/12/26/3600*3+4000/26/8/3600*3+5/3600*3</f>
        <v>2.5534188034187999E-2</v>
      </c>
      <c r="S76" s="105">
        <f t="shared" si="0"/>
        <v>2.5534188034187999E-2</v>
      </c>
      <c r="T76" s="178"/>
      <c r="U76" s="178"/>
    </row>
    <row r="77" spans="1:21" s="87" customFormat="1" ht="22.5" customHeight="1" x14ac:dyDescent="0.25">
      <c r="A77" s="161"/>
      <c r="B77" s="172"/>
      <c r="C77" s="169"/>
      <c r="D77" s="172"/>
      <c r="E77" s="90"/>
      <c r="F77" s="90"/>
      <c r="G77" s="90"/>
      <c r="H77" s="90"/>
      <c r="I77" s="90"/>
      <c r="J77" s="90"/>
      <c r="K77" s="90"/>
      <c r="L77" s="90"/>
      <c r="M77" s="90"/>
      <c r="N77" s="101"/>
      <c r="O77" s="98" t="s">
        <v>202</v>
      </c>
      <c r="P77" s="99"/>
      <c r="Q77" s="90">
        <v>1</v>
      </c>
      <c r="R77" s="105">
        <f>20/3600*3</f>
        <v>1.6666666666666701E-2</v>
      </c>
      <c r="S77" s="105">
        <f t="shared" si="0"/>
        <v>1.6666666666666701E-2</v>
      </c>
      <c r="T77" s="178"/>
      <c r="U77" s="178"/>
    </row>
    <row r="78" spans="1:21" s="87" customFormat="1" ht="22.5" customHeight="1" x14ac:dyDescent="0.25">
      <c r="A78" s="162"/>
      <c r="B78" s="172"/>
      <c r="C78" s="170"/>
      <c r="D78" s="172"/>
      <c r="E78" s="90"/>
      <c r="F78" s="90"/>
      <c r="G78" s="90"/>
      <c r="H78" s="90"/>
      <c r="I78" s="90"/>
      <c r="J78" s="90"/>
      <c r="K78" s="90"/>
      <c r="L78" s="90"/>
      <c r="M78" s="90"/>
      <c r="N78" s="101"/>
      <c r="O78" s="98" t="s">
        <v>203</v>
      </c>
      <c r="P78" s="99"/>
      <c r="Q78" s="90">
        <v>1</v>
      </c>
      <c r="R78" s="105">
        <v>0.02</v>
      </c>
      <c r="S78" s="105">
        <v>0.02</v>
      </c>
      <c r="T78" s="178"/>
      <c r="U78" s="178"/>
    </row>
    <row r="79" spans="1:21" s="87" customFormat="1" ht="28.8" customHeight="1" x14ac:dyDescent="0.25">
      <c r="A79" s="161">
        <v>29</v>
      </c>
      <c r="B79" s="168" t="str">
        <f>未定价清单!B28</f>
        <v>SHT0015136</v>
      </c>
      <c r="C79" s="169" t="str">
        <f>未定价清单!C28</f>
        <v>扭力弹簧转盘</v>
      </c>
      <c r="D79" s="160"/>
      <c r="E79" s="89">
        <v>1</v>
      </c>
      <c r="F79" s="89" t="s">
        <v>61</v>
      </c>
      <c r="G79" s="89">
        <v>2</v>
      </c>
      <c r="H79" s="89"/>
      <c r="I79" s="90">
        <v>8.1</v>
      </c>
      <c r="J79" s="89"/>
      <c r="K79" s="90">
        <v>3.0000000000000001E-3</v>
      </c>
      <c r="L79" s="90">
        <v>3.0000000000000001E-3</v>
      </c>
      <c r="M79" s="90">
        <f>K79-L79</f>
        <v>0</v>
      </c>
      <c r="N79" s="100">
        <f>(I79*K79-J79*M79)*E79</f>
        <v>2.4299999999999999E-2</v>
      </c>
      <c r="O79" s="90" t="s">
        <v>201</v>
      </c>
      <c r="P79" s="90"/>
      <c r="Q79" s="90">
        <v>1</v>
      </c>
      <c r="R79" s="105">
        <v>0.05</v>
      </c>
      <c r="S79" s="105">
        <f t="shared" ref="S79:S81" si="1">R79*Q79</f>
        <v>0.05</v>
      </c>
      <c r="T79" s="178">
        <f>(SUM(S79:S82)+N79)*1.12</f>
        <v>0.15288095726495701</v>
      </c>
      <c r="U79" s="178" t="s">
        <v>196</v>
      </c>
    </row>
    <row r="80" spans="1:21" s="87" customFormat="1" ht="28.8" customHeight="1" x14ac:dyDescent="0.25">
      <c r="A80" s="161"/>
      <c r="B80" s="169"/>
      <c r="C80" s="169"/>
      <c r="D80" s="161"/>
      <c r="E80" s="89"/>
      <c r="F80" s="89"/>
      <c r="G80" s="89"/>
      <c r="H80" s="89"/>
      <c r="I80" s="89"/>
      <c r="J80" s="89"/>
      <c r="K80" s="89"/>
      <c r="L80" s="89"/>
      <c r="M80" s="89"/>
      <c r="N80" s="100"/>
      <c r="O80" s="98" t="s">
        <v>198</v>
      </c>
      <c r="P80" s="99"/>
      <c r="Q80" s="90">
        <v>1</v>
      </c>
      <c r="R80" s="105">
        <f>20000/10/12/26/3600*3+4000/26/8/3600*3+5/3600*3</f>
        <v>2.5534188034187999E-2</v>
      </c>
      <c r="S80" s="105">
        <f t="shared" si="1"/>
        <v>2.5534188034187999E-2</v>
      </c>
      <c r="T80" s="178"/>
      <c r="U80" s="178"/>
    </row>
    <row r="81" spans="1:21" s="87" customFormat="1" ht="28.8" customHeight="1" x14ac:dyDescent="0.25">
      <c r="A81" s="161"/>
      <c r="B81" s="169"/>
      <c r="C81" s="169"/>
      <c r="D81" s="161"/>
      <c r="E81" s="90"/>
      <c r="F81" s="90"/>
      <c r="G81" s="90"/>
      <c r="H81" s="90"/>
      <c r="I81" s="90"/>
      <c r="J81" s="90"/>
      <c r="K81" s="90"/>
      <c r="L81" s="90"/>
      <c r="M81" s="90"/>
      <c r="N81" s="101"/>
      <c r="O81" s="98" t="s">
        <v>202</v>
      </c>
      <c r="P81" s="99"/>
      <c r="Q81" s="90">
        <v>1</v>
      </c>
      <c r="R81" s="105">
        <f>20/3600*3</f>
        <v>1.6666666666666701E-2</v>
      </c>
      <c r="S81" s="105">
        <f t="shared" si="1"/>
        <v>1.6666666666666701E-2</v>
      </c>
      <c r="T81" s="178"/>
      <c r="U81" s="178"/>
    </row>
    <row r="82" spans="1:21" s="87" customFormat="1" ht="28.8" customHeight="1" x14ac:dyDescent="0.25">
      <c r="A82" s="161"/>
      <c r="B82" s="169"/>
      <c r="C82" s="169"/>
      <c r="D82" s="162"/>
      <c r="E82" s="90"/>
      <c r="F82" s="90"/>
      <c r="G82" s="90"/>
      <c r="H82" s="90"/>
      <c r="I82" s="90"/>
      <c r="J82" s="90"/>
      <c r="K82" s="90"/>
      <c r="L82" s="90"/>
      <c r="M82" s="90"/>
      <c r="N82" s="101"/>
      <c r="O82" s="98" t="s">
        <v>203</v>
      </c>
      <c r="P82" s="99"/>
      <c r="Q82" s="90">
        <v>1</v>
      </c>
      <c r="R82" s="105">
        <v>0.02</v>
      </c>
      <c r="S82" s="105">
        <v>0.02</v>
      </c>
      <c r="T82" s="178"/>
      <c r="U82" s="178"/>
    </row>
    <row r="83" spans="1:21" s="87" customFormat="1" ht="28.8" customHeight="1" x14ac:dyDescent="0.25">
      <c r="A83" s="160">
        <v>30</v>
      </c>
      <c r="B83" s="168" t="s">
        <v>75</v>
      </c>
      <c r="C83" s="168" t="s">
        <v>76</v>
      </c>
      <c r="D83" s="89"/>
      <c r="E83" s="89">
        <v>1</v>
      </c>
      <c r="F83" s="89" t="s">
        <v>61</v>
      </c>
      <c r="G83" s="89" t="s">
        <v>206</v>
      </c>
      <c r="H83" s="89"/>
      <c r="I83" s="90">
        <v>8.5</v>
      </c>
      <c r="J83" s="90"/>
      <c r="K83" s="90">
        <v>0.27300000000000002</v>
      </c>
      <c r="L83" s="90">
        <v>0.27300000000000002</v>
      </c>
      <c r="M83" s="90">
        <f>K83-L83</f>
        <v>0</v>
      </c>
      <c r="N83" s="100">
        <f>(I83*K83-J83*M83)*E83</f>
        <v>2.3205</v>
      </c>
      <c r="O83" s="90" t="s">
        <v>197</v>
      </c>
      <c r="P83" s="90"/>
      <c r="Q83" s="90">
        <v>1</v>
      </c>
      <c r="R83" s="105">
        <v>0.55000000000000004</v>
      </c>
      <c r="S83" s="105">
        <f t="shared" ref="S83:S87" si="2">R83*Q83</f>
        <v>0.55000000000000004</v>
      </c>
      <c r="T83" s="178">
        <f>(SUM(S83:S86)+N83)*1.12</f>
        <v>3.6069599999999999</v>
      </c>
      <c r="U83" s="178" t="s">
        <v>196</v>
      </c>
    </row>
    <row r="84" spans="1:21" s="87" customFormat="1" ht="22.5" customHeight="1" x14ac:dyDescent="0.25">
      <c r="A84" s="161"/>
      <c r="B84" s="169"/>
      <c r="C84" s="16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100"/>
      <c r="O84" s="98" t="s">
        <v>198</v>
      </c>
      <c r="P84" s="99"/>
      <c r="Q84" s="99">
        <v>1</v>
      </c>
      <c r="R84" s="105">
        <v>0.1</v>
      </c>
      <c r="S84" s="105">
        <v>0.1</v>
      </c>
      <c r="T84" s="178"/>
      <c r="U84" s="178"/>
    </row>
    <row r="85" spans="1:21" s="87" customFormat="1" ht="22.5" customHeight="1" x14ac:dyDescent="0.25">
      <c r="A85" s="161"/>
      <c r="B85" s="169"/>
      <c r="C85" s="169"/>
      <c r="D85" s="89"/>
      <c r="E85" s="90"/>
      <c r="F85" s="90"/>
      <c r="G85" s="90"/>
      <c r="H85" s="90"/>
      <c r="I85" s="90"/>
      <c r="J85" s="90"/>
      <c r="K85" s="90"/>
      <c r="L85" s="90"/>
      <c r="M85" s="90"/>
      <c r="N85" s="101"/>
      <c r="O85" s="98" t="s">
        <v>199</v>
      </c>
      <c r="P85" s="99"/>
      <c r="Q85" s="99">
        <v>1</v>
      </c>
      <c r="R85" s="105">
        <v>0.23</v>
      </c>
      <c r="S85" s="105">
        <v>0.23</v>
      </c>
      <c r="T85" s="178"/>
      <c r="U85" s="178"/>
    </row>
    <row r="86" spans="1:21" s="87" customFormat="1" ht="22.5" customHeight="1" x14ac:dyDescent="0.25">
      <c r="A86" s="162"/>
      <c r="B86" s="170"/>
      <c r="C86" s="170"/>
      <c r="D86" s="89"/>
      <c r="E86" s="90"/>
      <c r="F86" s="90"/>
      <c r="G86" s="90"/>
      <c r="H86" s="90"/>
      <c r="I86" s="90"/>
      <c r="J86" s="90"/>
      <c r="K86" s="90"/>
      <c r="L86" s="90"/>
      <c r="M86" s="90"/>
      <c r="N86" s="101"/>
      <c r="O86" s="98" t="s">
        <v>200</v>
      </c>
      <c r="P86" s="99"/>
      <c r="Q86" s="99">
        <v>1</v>
      </c>
      <c r="R86" s="105">
        <v>0.02</v>
      </c>
      <c r="S86" s="105">
        <f t="shared" si="2"/>
        <v>0.02</v>
      </c>
      <c r="T86" s="178"/>
      <c r="U86" s="178"/>
    </row>
    <row r="87" spans="1:21" s="87" customFormat="1" ht="22.5" customHeight="1" x14ac:dyDescent="0.25">
      <c r="A87" s="160">
        <v>31</v>
      </c>
      <c r="B87" s="168" t="s">
        <v>79</v>
      </c>
      <c r="C87" s="168" t="e">
        <f>VLOOKUP(B:B,#REF!,2,0)</f>
        <v>#REF!</v>
      </c>
      <c r="D87" s="89"/>
      <c r="E87" s="89">
        <v>1</v>
      </c>
      <c r="F87" s="89" t="s">
        <v>27</v>
      </c>
      <c r="G87" s="89"/>
      <c r="H87" s="89"/>
      <c r="I87" s="90">
        <f>8.55/1.13</f>
        <v>7.5663716814159301</v>
      </c>
      <c r="J87" s="89"/>
      <c r="K87" s="90">
        <v>0.26100000000000001</v>
      </c>
      <c r="L87" s="90">
        <v>0.26100000000000001</v>
      </c>
      <c r="M87" s="90">
        <f>K87-L87</f>
        <v>0</v>
      </c>
      <c r="N87" s="100">
        <f>(I87*K87-J87*M87)*E87</f>
        <v>1.97482300884956</v>
      </c>
      <c r="O87" s="90" t="s">
        <v>195</v>
      </c>
      <c r="P87" s="90"/>
      <c r="Q87" s="90">
        <v>4</v>
      </c>
      <c r="R87" s="139">
        <v>0.08</v>
      </c>
      <c r="S87" s="105">
        <f t="shared" si="2"/>
        <v>0.32</v>
      </c>
      <c r="T87" s="178">
        <f>SUM(S87:S90)*1.12+N87+0.04</f>
        <v>2.3732230088495601</v>
      </c>
      <c r="U87" s="178" t="s">
        <v>196</v>
      </c>
    </row>
    <row r="88" spans="1:21" s="87" customFormat="1" ht="22.5" customHeight="1" x14ac:dyDescent="0.25">
      <c r="A88" s="161"/>
      <c r="B88" s="169"/>
      <c r="C88" s="16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100"/>
      <c r="O88" s="156" t="s">
        <v>376</v>
      </c>
      <c r="P88" s="157"/>
      <c r="Q88" s="157"/>
      <c r="R88" s="157"/>
      <c r="S88" s="158"/>
      <c r="T88" s="178"/>
      <c r="U88" s="178"/>
    </row>
    <row r="89" spans="1:21" s="87" customFormat="1" ht="22.5" customHeight="1" x14ac:dyDescent="0.25">
      <c r="A89" s="161"/>
      <c r="B89" s="169"/>
      <c r="C89" s="169"/>
      <c r="D89" s="89"/>
      <c r="E89" s="90"/>
      <c r="F89" s="90"/>
      <c r="G89" s="90"/>
      <c r="H89" s="90"/>
      <c r="I89" s="90"/>
      <c r="J89" s="90"/>
      <c r="K89" s="90"/>
      <c r="L89" s="90"/>
      <c r="M89" s="90"/>
      <c r="N89" s="101"/>
      <c r="O89" s="98"/>
      <c r="P89" s="99"/>
      <c r="Q89" s="90"/>
      <c r="R89" s="105"/>
      <c r="S89" s="105"/>
      <c r="T89" s="178"/>
      <c r="U89" s="178"/>
    </row>
    <row r="90" spans="1:21" s="87" customFormat="1" ht="22.5" customHeight="1" x14ac:dyDescent="0.25">
      <c r="A90" s="162"/>
      <c r="B90" s="170"/>
      <c r="C90" s="170"/>
      <c r="D90" s="89"/>
      <c r="E90" s="90"/>
      <c r="F90" s="90"/>
      <c r="G90" s="90"/>
      <c r="H90" s="90"/>
      <c r="I90" s="90"/>
      <c r="J90" s="90"/>
      <c r="K90" s="90"/>
      <c r="L90" s="90"/>
      <c r="M90" s="90"/>
      <c r="N90" s="101"/>
      <c r="O90" s="98"/>
      <c r="P90" s="99"/>
      <c r="Q90" s="90"/>
      <c r="R90" s="105"/>
      <c r="S90" s="105"/>
      <c r="T90" s="178"/>
      <c r="U90" s="178"/>
    </row>
    <row r="91" spans="1:21" s="87" customFormat="1" ht="22.5" customHeight="1" x14ac:dyDescent="0.25">
      <c r="A91" s="160">
        <v>32</v>
      </c>
      <c r="B91" s="168" t="s">
        <v>82</v>
      </c>
      <c r="C91" s="168" t="e">
        <f>VLOOKUP(B:B,#REF!,2,0)</f>
        <v>#REF!</v>
      </c>
      <c r="D91" s="89"/>
      <c r="E91" s="89">
        <v>1</v>
      </c>
      <c r="F91" s="89" t="s">
        <v>27</v>
      </c>
      <c r="G91" s="89">
        <v>5</v>
      </c>
      <c r="H91" s="89"/>
      <c r="I91" s="90">
        <f>8.55/1.13</f>
        <v>7.5663716814159301</v>
      </c>
      <c r="J91" s="89"/>
      <c r="K91" s="90">
        <v>1.14E-2</v>
      </c>
      <c r="L91" s="90">
        <v>1.14E-2</v>
      </c>
      <c r="M91" s="90">
        <f>K91-L91</f>
        <v>0</v>
      </c>
      <c r="N91" s="100">
        <f>(I91*K91-J91*M91)*E91</f>
        <v>8.6256637168141595E-2</v>
      </c>
      <c r="O91" s="90" t="s">
        <v>207</v>
      </c>
      <c r="P91" s="90"/>
      <c r="Q91" s="90">
        <v>1</v>
      </c>
      <c r="R91" s="105">
        <v>0.23</v>
      </c>
      <c r="S91" s="105">
        <f>R91*Q91</f>
        <v>0.23</v>
      </c>
      <c r="T91" s="178">
        <f>(N91+S91)*1.12</f>
        <v>0.35420743362831902</v>
      </c>
      <c r="U91" s="178" t="s">
        <v>196</v>
      </c>
    </row>
    <row r="92" spans="1:21" s="87" customFormat="1" ht="22.5" customHeight="1" x14ac:dyDescent="0.25">
      <c r="A92" s="161"/>
      <c r="B92" s="169"/>
      <c r="C92" s="16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100"/>
      <c r="O92" s="98"/>
      <c r="P92" s="99"/>
      <c r="Q92" s="90"/>
      <c r="R92" s="105"/>
      <c r="S92" s="105"/>
      <c r="T92" s="178"/>
      <c r="U92" s="178"/>
    </row>
    <row r="93" spans="1:21" s="87" customFormat="1" ht="22.5" customHeight="1" x14ac:dyDescent="0.25">
      <c r="A93" s="161"/>
      <c r="B93" s="169"/>
      <c r="C93" s="169"/>
      <c r="D93" s="89"/>
      <c r="E93" s="90"/>
      <c r="F93" s="90"/>
      <c r="G93" s="90"/>
      <c r="H93" s="90"/>
      <c r="I93" s="90"/>
      <c r="J93" s="90"/>
      <c r="K93" s="90"/>
      <c r="L93" s="90"/>
      <c r="M93" s="90"/>
      <c r="N93" s="101"/>
      <c r="O93" s="98"/>
      <c r="P93" s="99"/>
      <c r="Q93" s="90"/>
      <c r="R93" s="105"/>
      <c r="S93" s="105"/>
      <c r="T93" s="178"/>
      <c r="U93" s="178"/>
    </row>
    <row r="94" spans="1:21" s="87" customFormat="1" ht="22.5" customHeight="1" x14ac:dyDescent="0.25">
      <c r="A94" s="162"/>
      <c r="B94" s="170"/>
      <c r="C94" s="170"/>
      <c r="D94" s="89"/>
      <c r="E94" s="90"/>
      <c r="F94" s="90"/>
      <c r="G94" s="90"/>
      <c r="H94" s="90"/>
      <c r="I94" s="90"/>
      <c r="J94" s="90"/>
      <c r="K94" s="90"/>
      <c r="L94" s="90"/>
      <c r="M94" s="90"/>
      <c r="N94" s="101"/>
      <c r="O94" s="98"/>
      <c r="P94" s="99"/>
      <c r="Q94" s="90"/>
      <c r="R94" s="105"/>
      <c r="S94" s="105"/>
      <c r="T94" s="178"/>
      <c r="U94" s="178"/>
    </row>
    <row r="95" spans="1:21" s="87" customFormat="1" ht="22.5" customHeight="1" x14ac:dyDescent="0.25">
      <c r="A95" s="160">
        <v>33</v>
      </c>
      <c r="B95" s="168" t="str">
        <f>未定价清单!B32</f>
        <v>SLT0010193</v>
      </c>
      <c r="C95" s="168" t="str">
        <f>未定价清单!C32</f>
        <v>气管接线头固定钢丝</v>
      </c>
      <c r="D95" s="160"/>
      <c r="E95" s="89">
        <v>1</v>
      </c>
      <c r="F95" s="89" t="s">
        <v>27</v>
      </c>
      <c r="G95" s="89"/>
      <c r="H95" s="89"/>
      <c r="I95" s="90">
        <f>8.55/1.13</f>
        <v>7.5663716814159301</v>
      </c>
      <c r="J95" s="89"/>
      <c r="K95" s="41">
        <f>未定价清单!G32</f>
        <v>2.4E-2</v>
      </c>
      <c r="L95" s="90">
        <f>K95</f>
        <v>2.4E-2</v>
      </c>
      <c r="M95" s="90">
        <v>0</v>
      </c>
      <c r="N95" s="95">
        <f>(I95*K95-J95*M95)*E95</f>
        <v>0.18159292035398233</v>
      </c>
      <c r="O95" s="90" t="s">
        <v>194</v>
      </c>
      <c r="P95" s="90"/>
      <c r="Q95" s="90"/>
      <c r="R95" s="105"/>
      <c r="S95" s="105"/>
      <c r="T95" s="179">
        <f>N95</f>
        <v>0.18159292035398233</v>
      </c>
      <c r="U95" s="178"/>
    </row>
    <row r="96" spans="1:21" s="87" customFormat="1" ht="22.5" customHeight="1" x14ac:dyDescent="0.25">
      <c r="A96" s="161"/>
      <c r="B96" s="169"/>
      <c r="C96" s="169"/>
      <c r="D96" s="161"/>
      <c r="E96" s="89"/>
      <c r="F96" s="89"/>
      <c r="G96" s="89"/>
      <c r="H96" s="89"/>
      <c r="I96" s="89"/>
      <c r="J96" s="89"/>
      <c r="K96" s="89"/>
      <c r="L96" s="89"/>
      <c r="M96" s="89"/>
      <c r="N96" s="100"/>
      <c r="O96" s="96"/>
      <c r="P96" s="96"/>
      <c r="Q96" s="96"/>
      <c r="R96" s="96"/>
      <c r="S96" s="96"/>
      <c r="T96" s="179"/>
      <c r="U96" s="178"/>
    </row>
    <row r="97" spans="1:21" s="87" customFormat="1" ht="22.5" customHeight="1" x14ac:dyDescent="0.25">
      <c r="A97" s="161"/>
      <c r="B97" s="169"/>
      <c r="C97" s="169"/>
      <c r="D97" s="161"/>
      <c r="E97" s="90"/>
      <c r="F97" s="90"/>
      <c r="G97" s="90"/>
      <c r="H97" s="90"/>
      <c r="I97" s="90"/>
      <c r="J97" s="90"/>
      <c r="K97" s="90"/>
      <c r="L97" s="90"/>
      <c r="M97" s="90"/>
      <c r="N97" s="101"/>
      <c r="O97" s="98"/>
      <c r="P97" s="99"/>
      <c r="Q97" s="90"/>
      <c r="R97" s="105"/>
      <c r="S97" s="105"/>
      <c r="T97" s="179"/>
      <c r="U97" s="178"/>
    </row>
    <row r="98" spans="1:21" s="87" customFormat="1" ht="22.5" customHeight="1" x14ac:dyDescent="0.25">
      <c r="A98" s="162"/>
      <c r="B98" s="170"/>
      <c r="C98" s="170"/>
      <c r="D98" s="162"/>
      <c r="E98" s="90"/>
      <c r="F98" s="90"/>
      <c r="G98" s="90"/>
      <c r="H98" s="90"/>
      <c r="I98" s="90"/>
      <c r="J98" s="90"/>
      <c r="K98" s="90"/>
      <c r="L98" s="90"/>
      <c r="M98" s="90"/>
      <c r="N98" s="101"/>
      <c r="O98" s="98"/>
      <c r="P98" s="99"/>
      <c r="Q98" s="90"/>
      <c r="R98" s="105"/>
      <c r="S98" s="105"/>
      <c r="T98" s="179"/>
      <c r="U98" s="178"/>
    </row>
    <row r="99" spans="1:21" s="87" customFormat="1" ht="22.5" customHeight="1" x14ac:dyDescent="0.25">
      <c r="A99" s="160">
        <v>34</v>
      </c>
      <c r="B99" s="168" t="str">
        <f>未定价清单!B33</f>
        <v>SHT0012006</v>
      </c>
      <c r="C99" s="168" t="str">
        <f>未定价清单!C33</f>
        <v>升降锁止轴安装卡箍</v>
      </c>
      <c r="D99" s="160"/>
      <c r="E99" s="89">
        <v>1</v>
      </c>
      <c r="F99" s="89" t="s">
        <v>61</v>
      </c>
      <c r="G99" s="89"/>
      <c r="H99" s="89"/>
      <c r="I99" s="90">
        <f>8.55/1.13</f>
        <v>7.5663716814159301</v>
      </c>
      <c r="J99" s="89"/>
      <c r="K99" s="41">
        <f>未定价清单!G33</f>
        <v>2E-3</v>
      </c>
      <c r="L99" s="90">
        <f>K99</f>
        <v>2E-3</v>
      </c>
      <c r="M99" s="90">
        <v>0</v>
      </c>
      <c r="N99" s="95">
        <f>(I99*K99-J99*M99)*E99</f>
        <v>1.5132743362831861E-2</v>
      </c>
      <c r="O99" s="90" t="s">
        <v>197</v>
      </c>
      <c r="P99" s="90"/>
      <c r="Q99" s="90">
        <v>1</v>
      </c>
      <c r="R99" s="105">
        <v>0.15</v>
      </c>
      <c r="S99" s="105">
        <f>R99*Q99</f>
        <v>0.15</v>
      </c>
      <c r="T99" s="178">
        <f>(SUM(S99:S102)+N99)*1.12</f>
        <v>0.29694867256637175</v>
      </c>
      <c r="U99" s="178"/>
    </row>
    <row r="100" spans="1:21" s="87" customFormat="1" ht="22.5" customHeight="1" x14ac:dyDescent="0.25">
      <c r="A100" s="161"/>
      <c r="B100" s="169"/>
      <c r="C100" s="169"/>
      <c r="D100" s="161"/>
      <c r="E100" s="89"/>
      <c r="F100" s="89"/>
      <c r="G100" s="89"/>
      <c r="H100" s="89"/>
      <c r="I100" s="89"/>
      <c r="J100" s="89"/>
      <c r="K100" s="89"/>
      <c r="L100" s="89"/>
      <c r="M100" s="89"/>
      <c r="N100" s="100"/>
      <c r="O100" s="98" t="s">
        <v>198</v>
      </c>
      <c r="P100" s="99"/>
      <c r="Q100" s="99">
        <v>1</v>
      </c>
      <c r="R100" s="105">
        <v>0.1</v>
      </c>
      <c r="S100" s="105">
        <v>0.1</v>
      </c>
      <c r="T100" s="178"/>
      <c r="U100" s="178"/>
    </row>
    <row r="101" spans="1:21" s="87" customFormat="1" ht="22.5" customHeight="1" x14ac:dyDescent="0.25">
      <c r="A101" s="161"/>
      <c r="B101" s="169"/>
      <c r="C101" s="169"/>
      <c r="D101" s="161"/>
      <c r="E101" s="90"/>
      <c r="F101" s="90"/>
      <c r="G101" s="90"/>
      <c r="H101" s="90"/>
      <c r="I101" s="90"/>
      <c r="J101" s="90"/>
      <c r="K101" s="90"/>
      <c r="L101" s="90"/>
      <c r="M101" s="90"/>
      <c r="N101" s="101"/>
      <c r="O101" s="98"/>
      <c r="P101" s="99"/>
      <c r="Q101" s="90"/>
      <c r="R101" s="105"/>
      <c r="S101" s="105"/>
      <c r="T101" s="178"/>
      <c r="U101" s="178"/>
    </row>
    <row r="102" spans="1:21" s="87" customFormat="1" ht="22.5" customHeight="1" x14ac:dyDescent="0.25">
      <c r="A102" s="162"/>
      <c r="B102" s="170"/>
      <c r="C102" s="170"/>
      <c r="D102" s="162"/>
      <c r="E102" s="90"/>
      <c r="F102" s="90"/>
      <c r="G102" s="90"/>
      <c r="H102" s="90"/>
      <c r="I102" s="90"/>
      <c r="J102" s="90"/>
      <c r="K102" s="90"/>
      <c r="L102" s="90"/>
      <c r="M102" s="90"/>
      <c r="N102" s="101"/>
      <c r="O102" s="98"/>
      <c r="P102" s="99"/>
      <c r="Q102" s="90"/>
      <c r="R102" s="105"/>
      <c r="S102" s="105"/>
      <c r="T102" s="178"/>
      <c r="U102" s="178"/>
    </row>
    <row r="103" spans="1:21" s="87" customFormat="1" ht="28.8" customHeight="1" x14ac:dyDescent="0.25">
      <c r="A103" s="160">
        <v>36</v>
      </c>
      <c r="B103" s="168" t="s">
        <v>92</v>
      </c>
      <c r="C103" s="168" t="s">
        <v>93</v>
      </c>
      <c r="D103" s="89"/>
      <c r="E103" s="89">
        <v>1</v>
      </c>
      <c r="F103" s="89" t="s">
        <v>61</v>
      </c>
      <c r="G103" s="89" t="s">
        <v>206</v>
      </c>
      <c r="H103" s="89"/>
      <c r="I103" s="90">
        <v>8.5</v>
      </c>
      <c r="J103" s="90"/>
      <c r="K103" s="90">
        <v>0.25700000000000001</v>
      </c>
      <c r="L103" s="90">
        <v>0.25700000000000001</v>
      </c>
      <c r="M103" s="90">
        <f>K103-L103</f>
        <v>0</v>
      </c>
      <c r="N103" s="100">
        <f>(I103*K103-J103*M103)*E103</f>
        <v>2.1844999999999999</v>
      </c>
      <c r="O103" s="90" t="s">
        <v>197</v>
      </c>
      <c r="P103" s="90"/>
      <c r="Q103" s="90">
        <v>1</v>
      </c>
      <c r="R103" s="105">
        <v>0.55000000000000004</v>
      </c>
      <c r="S103" s="105">
        <f>R103*Q103</f>
        <v>0.55000000000000004</v>
      </c>
      <c r="T103" s="178">
        <f>(SUM(S103:S106)+N103)*1.12</f>
        <v>3.4546399999999999</v>
      </c>
      <c r="U103" s="178" t="s">
        <v>196</v>
      </c>
    </row>
    <row r="104" spans="1:21" s="87" customFormat="1" ht="22.5" customHeight="1" x14ac:dyDescent="0.25">
      <c r="A104" s="161"/>
      <c r="B104" s="169"/>
      <c r="C104" s="16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100"/>
      <c r="O104" s="98" t="s">
        <v>198</v>
      </c>
      <c r="P104" s="99"/>
      <c r="Q104" s="99">
        <v>1</v>
      </c>
      <c r="R104" s="105">
        <v>0.1</v>
      </c>
      <c r="S104" s="105">
        <v>0.1</v>
      </c>
      <c r="T104" s="178"/>
      <c r="U104" s="178"/>
    </row>
    <row r="105" spans="1:21" s="87" customFormat="1" ht="22.5" customHeight="1" x14ac:dyDescent="0.25">
      <c r="A105" s="161"/>
      <c r="B105" s="169"/>
      <c r="C105" s="169"/>
      <c r="D105" s="89"/>
      <c r="E105" s="90"/>
      <c r="F105" s="90"/>
      <c r="G105" s="90"/>
      <c r="H105" s="90"/>
      <c r="I105" s="90"/>
      <c r="J105" s="90"/>
      <c r="K105" s="90"/>
      <c r="L105" s="90"/>
      <c r="M105" s="90"/>
      <c r="N105" s="101"/>
      <c r="O105" s="98" t="s">
        <v>199</v>
      </c>
      <c r="P105" s="99"/>
      <c r="Q105" s="99">
        <v>1</v>
      </c>
      <c r="R105" s="105">
        <v>0.23</v>
      </c>
      <c r="S105" s="105">
        <v>0.23</v>
      </c>
      <c r="T105" s="178"/>
      <c r="U105" s="178"/>
    </row>
    <row r="106" spans="1:21" s="87" customFormat="1" ht="22.5" customHeight="1" x14ac:dyDescent="0.25">
      <c r="A106" s="162"/>
      <c r="B106" s="170"/>
      <c r="C106" s="170"/>
      <c r="D106" s="89"/>
      <c r="E106" s="90"/>
      <c r="F106" s="90"/>
      <c r="G106" s="90"/>
      <c r="H106" s="90"/>
      <c r="I106" s="90"/>
      <c r="J106" s="90"/>
      <c r="K106" s="90"/>
      <c r="L106" s="90"/>
      <c r="M106" s="90"/>
      <c r="N106" s="101"/>
      <c r="O106" s="98" t="s">
        <v>200</v>
      </c>
      <c r="P106" s="99"/>
      <c r="Q106" s="99">
        <v>1</v>
      </c>
      <c r="R106" s="105">
        <v>0.02</v>
      </c>
      <c r="S106" s="105">
        <f>R106*Q106</f>
        <v>0.02</v>
      </c>
      <c r="T106" s="178"/>
      <c r="U106" s="178"/>
    </row>
    <row r="107" spans="1:21" s="87" customFormat="1" ht="22.5" customHeight="1" x14ac:dyDescent="0.25">
      <c r="A107" s="160">
        <v>37</v>
      </c>
      <c r="B107" s="168" t="str">
        <f>未定价清单!B36</f>
        <v>SLT0011083</v>
      </c>
      <c r="C107" s="168" t="str">
        <f>未定价清单!C36</f>
        <v>小背背板后支撑钢丝A欧马可升级2060副</v>
      </c>
      <c r="D107" s="160"/>
      <c r="E107" s="89">
        <v>1</v>
      </c>
      <c r="F107" s="89" t="s">
        <v>27</v>
      </c>
      <c r="G107" s="89"/>
      <c r="H107" s="89"/>
      <c r="I107" s="90">
        <f>8.55/1.13</f>
        <v>7.5663716814159301</v>
      </c>
      <c r="J107" s="89"/>
      <c r="K107" s="41">
        <f>未定价清单!G36</f>
        <v>6.0499999999999998E-2</v>
      </c>
      <c r="L107" s="90">
        <f>K107</f>
        <v>6.0499999999999998E-2</v>
      </c>
      <c r="M107" s="90">
        <v>0</v>
      </c>
      <c r="N107" s="95">
        <f>(I107*K107-J107*M107)*E107</f>
        <v>0.45776548672566375</v>
      </c>
      <c r="O107" s="90" t="s">
        <v>194</v>
      </c>
      <c r="P107" s="90"/>
      <c r="Q107" s="90"/>
      <c r="R107" s="105"/>
      <c r="S107" s="105"/>
      <c r="T107" s="179">
        <f>N107</f>
        <v>0.45776548672566375</v>
      </c>
      <c r="U107" s="178"/>
    </row>
    <row r="108" spans="1:21" s="87" customFormat="1" ht="22.5" customHeight="1" x14ac:dyDescent="0.25">
      <c r="A108" s="161"/>
      <c r="B108" s="169"/>
      <c r="C108" s="169"/>
      <c r="D108" s="161"/>
      <c r="E108" s="89"/>
      <c r="F108" s="89"/>
      <c r="G108" s="89"/>
      <c r="H108" s="89"/>
      <c r="I108" s="89"/>
      <c r="J108" s="89"/>
      <c r="K108" s="89"/>
      <c r="L108" s="89"/>
      <c r="M108" s="89"/>
      <c r="N108" s="100"/>
      <c r="O108" s="96"/>
      <c r="P108" s="96"/>
      <c r="Q108" s="96"/>
      <c r="R108" s="96"/>
      <c r="S108" s="96"/>
      <c r="T108" s="179"/>
      <c r="U108" s="178"/>
    </row>
    <row r="109" spans="1:21" s="87" customFormat="1" ht="22.5" customHeight="1" x14ac:dyDescent="0.25">
      <c r="A109" s="161"/>
      <c r="B109" s="169"/>
      <c r="C109" s="169"/>
      <c r="D109" s="161"/>
      <c r="E109" s="90"/>
      <c r="F109" s="90"/>
      <c r="G109" s="90"/>
      <c r="H109" s="90"/>
      <c r="I109" s="90"/>
      <c r="J109" s="90"/>
      <c r="K109" s="90"/>
      <c r="L109" s="90"/>
      <c r="M109" s="90"/>
      <c r="N109" s="101"/>
      <c r="O109" s="98"/>
      <c r="P109" s="99"/>
      <c r="Q109" s="90"/>
      <c r="R109" s="105"/>
      <c r="S109" s="105"/>
      <c r="T109" s="179"/>
      <c r="U109" s="178"/>
    </row>
    <row r="110" spans="1:21" s="87" customFormat="1" ht="22.5" customHeight="1" x14ac:dyDescent="0.25">
      <c r="A110" s="162"/>
      <c r="B110" s="170"/>
      <c r="C110" s="170"/>
      <c r="D110" s="162"/>
      <c r="E110" s="90"/>
      <c r="F110" s="90"/>
      <c r="G110" s="90"/>
      <c r="H110" s="90"/>
      <c r="I110" s="90"/>
      <c r="J110" s="90"/>
      <c r="K110" s="90"/>
      <c r="L110" s="90"/>
      <c r="M110" s="90"/>
      <c r="N110" s="101"/>
      <c r="O110" s="98"/>
      <c r="P110" s="99"/>
      <c r="Q110" s="90"/>
      <c r="R110" s="105"/>
      <c r="S110" s="105"/>
      <c r="T110" s="179"/>
      <c r="U110" s="178"/>
    </row>
    <row r="111" spans="1:21" s="87" customFormat="1" ht="22.5" customHeight="1" x14ac:dyDescent="0.25">
      <c r="A111" s="160">
        <v>38</v>
      </c>
      <c r="B111" s="172" t="s">
        <v>98</v>
      </c>
      <c r="C111" s="168" t="s">
        <v>99</v>
      </c>
      <c r="D111" s="172"/>
      <c r="E111" s="89">
        <v>1</v>
      </c>
      <c r="F111" s="89" t="s">
        <v>61</v>
      </c>
      <c r="G111" s="89">
        <v>1</v>
      </c>
      <c r="H111" s="89"/>
      <c r="I111" s="90">
        <v>9</v>
      </c>
      <c r="J111" s="89"/>
      <c r="K111" s="90">
        <v>1.8E-3</v>
      </c>
      <c r="L111" s="90">
        <v>1.8E-3</v>
      </c>
      <c r="M111" s="90">
        <f>K111-L111</f>
        <v>0</v>
      </c>
      <c r="N111" s="100">
        <f>(I111*K111-J111*M111)*E111</f>
        <v>1.6199999999999999E-2</v>
      </c>
      <c r="O111" s="90" t="s">
        <v>201</v>
      </c>
      <c r="P111" s="90"/>
      <c r="Q111" s="90">
        <v>1</v>
      </c>
      <c r="R111" s="105">
        <v>0.09</v>
      </c>
      <c r="S111" s="105">
        <f>R111*Q111</f>
        <v>0.09</v>
      </c>
      <c r="T111" s="178">
        <f>(N111+S111+S112+S113+S114)*1.12</f>
        <v>0.182410666666667</v>
      </c>
      <c r="U111" s="178" t="s">
        <v>196</v>
      </c>
    </row>
    <row r="112" spans="1:21" s="87" customFormat="1" ht="22.5" customHeight="1" x14ac:dyDescent="0.25">
      <c r="A112" s="161"/>
      <c r="B112" s="172"/>
      <c r="C112" s="169"/>
      <c r="D112" s="172"/>
      <c r="E112" s="89"/>
      <c r="F112" s="89"/>
      <c r="G112" s="89"/>
      <c r="H112" s="89"/>
      <c r="I112" s="89"/>
      <c r="J112" s="89"/>
      <c r="K112" s="89"/>
      <c r="L112" s="89"/>
      <c r="M112" s="89"/>
      <c r="N112" s="100"/>
      <c r="O112" s="98" t="s">
        <v>198</v>
      </c>
      <c r="P112" s="99"/>
      <c r="Q112" s="90">
        <v>1</v>
      </c>
      <c r="R112" s="105">
        <v>0.02</v>
      </c>
      <c r="S112" s="105">
        <f>R112*Q112</f>
        <v>0.02</v>
      </c>
      <c r="T112" s="178"/>
      <c r="U112" s="178"/>
    </row>
    <row r="113" spans="1:21" s="87" customFormat="1" ht="22.5" customHeight="1" x14ac:dyDescent="0.25">
      <c r="A113" s="161"/>
      <c r="B113" s="172"/>
      <c r="C113" s="169"/>
      <c r="D113" s="172"/>
      <c r="E113" s="90"/>
      <c r="F113" s="90"/>
      <c r="G113" s="90"/>
      <c r="H113" s="90"/>
      <c r="I113" s="90"/>
      <c r="J113" s="90"/>
      <c r="K113" s="90"/>
      <c r="L113" s="90"/>
      <c r="M113" s="90"/>
      <c r="N113" s="101"/>
      <c r="O113" s="98" t="s">
        <v>202</v>
      </c>
      <c r="P113" s="99"/>
      <c r="Q113" s="90">
        <v>1</v>
      </c>
      <c r="R113" s="105">
        <f>20/3600*3</f>
        <v>1.6666666666666701E-2</v>
      </c>
      <c r="S113" s="105">
        <f>R113*Q113</f>
        <v>1.6666666666666701E-2</v>
      </c>
      <c r="T113" s="178"/>
      <c r="U113" s="178"/>
    </row>
    <row r="114" spans="1:21" s="87" customFormat="1" ht="22.5" customHeight="1" x14ac:dyDescent="0.25">
      <c r="A114" s="162"/>
      <c r="B114" s="172"/>
      <c r="C114" s="170"/>
      <c r="D114" s="172"/>
      <c r="E114" s="90"/>
      <c r="F114" s="90"/>
      <c r="G114" s="90"/>
      <c r="H114" s="90"/>
      <c r="I114" s="90"/>
      <c r="J114" s="90"/>
      <c r="K114" s="90"/>
      <c r="L114" s="90"/>
      <c r="M114" s="90"/>
      <c r="N114" s="101"/>
      <c r="O114" s="98" t="s">
        <v>203</v>
      </c>
      <c r="P114" s="99"/>
      <c r="Q114" s="90">
        <v>1</v>
      </c>
      <c r="R114" s="105">
        <v>0.02</v>
      </c>
      <c r="S114" s="105">
        <v>0.02</v>
      </c>
      <c r="T114" s="178"/>
      <c r="U114" s="178"/>
    </row>
    <row r="115" spans="1:21" s="87" customFormat="1" ht="22.5" customHeight="1" x14ac:dyDescent="0.25">
      <c r="A115" s="160">
        <v>39</v>
      </c>
      <c r="B115" s="168" t="str">
        <f>未定价清单!B38</f>
        <v>SLT0010885</v>
      </c>
      <c r="C115" s="168" t="str">
        <f>未定价清单!C38</f>
        <v>主驾背板支撑钢丝A欧马可升级</v>
      </c>
      <c r="D115" s="160"/>
      <c r="E115" s="89">
        <v>1</v>
      </c>
      <c r="F115" s="89" t="s">
        <v>27</v>
      </c>
      <c r="G115" s="89"/>
      <c r="H115" s="89"/>
      <c r="I115" s="90">
        <f>8.55/1.13</f>
        <v>7.5663716814159301</v>
      </c>
      <c r="J115" s="89"/>
      <c r="K115" s="41">
        <f>未定价清单!G38</f>
        <v>6.3E-2</v>
      </c>
      <c r="L115" s="90">
        <f>K115</f>
        <v>6.3E-2</v>
      </c>
      <c r="M115" s="90">
        <v>0</v>
      </c>
      <c r="N115" s="95">
        <f>(I115*K115-J115*M115)*E115</f>
        <v>0.4766814159292036</v>
      </c>
      <c r="O115" s="90" t="s">
        <v>194</v>
      </c>
      <c r="P115" s="90"/>
      <c r="Q115" s="90"/>
      <c r="R115" s="105"/>
      <c r="S115" s="105"/>
      <c r="T115" s="179">
        <f>N115</f>
        <v>0.4766814159292036</v>
      </c>
      <c r="U115" s="178"/>
    </row>
    <row r="116" spans="1:21" s="87" customFormat="1" ht="22.5" customHeight="1" x14ac:dyDescent="0.25">
      <c r="A116" s="161"/>
      <c r="B116" s="169"/>
      <c r="C116" s="169"/>
      <c r="D116" s="161"/>
      <c r="E116" s="89"/>
      <c r="F116" s="89"/>
      <c r="G116" s="89"/>
      <c r="H116" s="89"/>
      <c r="I116" s="89"/>
      <c r="J116" s="89"/>
      <c r="K116" s="89"/>
      <c r="L116" s="89"/>
      <c r="M116" s="89"/>
      <c r="N116" s="100"/>
      <c r="O116" s="96"/>
      <c r="P116" s="96"/>
      <c r="Q116" s="96"/>
      <c r="R116" s="96"/>
      <c r="S116" s="96"/>
      <c r="T116" s="179"/>
      <c r="U116" s="178"/>
    </row>
    <row r="117" spans="1:21" s="87" customFormat="1" ht="22.5" customHeight="1" x14ac:dyDescent="0.25">
      <c r="A117" s="161"/>
      <c r="B117" s="169"/>
      <c r="C117" s="169"/>
      <c r="D117" s="161"/>
      <c r="E117" s="90"/>
      <c r="F117" s="90"/>
      <c r="G117" s="90"/>
      <c r="H117" s="90"/>
      <c r="I117" s="90"/>
      <c r="J117" s="90"/>
      <c r="K117" s="90"/>
      <c r="L117" s="90"/>
      <c r="M117" s="90"/>
      <c r="N117" s="101"/>
      <c r="O117" s="98"/>
      <c r="P117" s="99"/>
      <c r="Q117" s="90"/>
      <c r="R117" s="105"/>
      <c r="S117" s="105"/>
      <c r="T117" s="179"/>
      <c r="U117" s="178"/>
    </row>
    <row r="118" spans="1:21" s="87" customFormat="1" ht="22.5" customHeight="1" x14ac:dyDescent="0.25">
      <c r="A118" s="162"/>
      <c r="B118" s="170"/>
      <c r="C118" s="170"/>
      <c r="D118" s="162"/>
      <c r="E118" s="90"/>
      <c r="F118" s="90"/>
      <c r="G118" s="90"/>
      <c r="H118" s="90"/>
      <c r="I118" s="90"/>
      <c r="J118" s="90"/>
      <c r="K118" s="90"/>
      <c r="L118" s="90"/>
      <c r="M118" s="90"/>
      <c r="N118" s="101"/>
      <c r="O118" s="98"/>
      <c r="P118" s="99"/>
      <c r="Q118" s="90"/>
      <c r="R118" s="105"/>
      <c r="S118" s="105"/>
      <c r="T118" s="179"/>
      <c r="U118" s="178"/>
    </row>
    <row r="119" spans="1:21" s="86" customFormat="1" ht="22.5" customHeight="1" x14ac:dyDescent="0.25">
      <c r="A119" s="163">
        <v>40</v>
      </c>
      <c r="B119" s="168" t="s">
        <v>103</v>
      </c>
      <c r="C119" s="168" t="e">
        <f>VLOOKUP(B:B,#REF!,2,0)</f>
        <v>#REF!</v>
      </c>
      <c r="D119" s="16"/>
      <c r="E119" s="16">
        <v>1</v>
      </c>
      <c r="F119" s="16" t="s">
        <v>27</v>
      </c>
      <c r="G119" s="16">
        <v>5</v>
      </c>
      <c r="H119" s="16"/>
      <c r="I119" s="13">
        <f>8.55/1.13</f>
        <v>7.5663716814159301</v>
      </c>
      <c r="J119" s="16"/>
      <c r="K119" s="13">
        <v>0.30580000000000002</v>
      </c>
      <c r="L119" s="13">
        <v>0.30580000000000002</v>
      </c>
      <c r="M119" s="13">
        <f>K119-L119</f>
        <v>0</v>
      </c>
      <c r="N119" s="102">
        <f>(I119*K119-J119*M119)*E119</f>
        <v>2.3137964601769898</v>
      </c>
      <c r="O119" s="13" t="s">
        <v>195</v>
      </c>
      <c r="P119" s="13"/>
      <c r="Q119" s="13">
        <v>12</v>
      </c>
      <c r="R119" s="140">
        <v>0.08</v>
      </c>
      <c r="S119" s="106">
        <f>R119*Q119</f>
        <v>0.96</v>
      </c>
      <c r="T119" s="177">
        <f>SUM(S119:S122)*1.12+N119+0.07</f>
        <v>3.4589964601769898</v>
      </c>
      <c r="U119" s="178" t="s">
        <v>196</v>
      </c>
    </row>
    <row r="120" spans="1:21" s="86" customFormat="1" ht="22.5" customHeight="1" x14ac:dyDescent="0.25">
      <c r="A120" s="164"/>
      <c r="B120" s="169"/>
      <c r="C120" s="169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02"/>
      <c r="O120" s="156" t="s">
        <v>393</v>
      </c>
      <c r="P120" s="157"/>
      <c r="Q120" s="157"/>
      <c r="R120" s="157"/>
      <c r="S120" s="158"/>
      <c r="T120" s="177"/>
      <c r="U120" s="178"/>
    </row>
    <row r="121" spans="1:21" s="86" customFormat="1" ht="22.5" customHeight="1" x14ac:dyDescent="0.25">
      <c r="A121" s="164"/>
      <c r="B121" s="169"/>
      <c r="C121" s="169"/>
      <c r="D121" s="16"/>
      <c r="E121" s="13"/>
      <c r="F121" s="13"/>
      <c r="G121" s="13"/>
      <c r="H121" s="13"/>
      <c r="I121" s="13"/>
      <c r="J121" s="13"/>
      <c r="K121" s="13"/>
      <c r="L121" s="13"/>
      <c r="M121" s="13"/>
      <c r="N121" s="91"/>
      <c r="O121" s="73"/>
      <c r="P121" s="103"/>
      <c r="Q121" s="13"/>
      <c r="R121" s="106"/>
      <c r="S121" s="106"/>
      <c r="T121" s="177"/>
      <c r="U121" s="178"/>
    </row>
    <row r="122" spans="1:21" s="86" customFormat="1" ht="22.5" customHeight="1" x14ac:dyDescent="0.25">
      <c r="A122" s="165"/>
      <c r="B122" s="170"/>
      <c r="C122" s="170"/>
      <c r="D122" s="16"/>
      <c r="E122" s="13"/>
      <c r="F122" s="13"/>
      <c r="G122" s="13"/>
      <c r="H122" s="13"/>
      <c r="I122" s="13"/>
      <c r="J122" s="13"/>
      <c r="K122" s="13"/>
      <c r="L122" s="13"/>
      <c r="M122" s="13"/>
      <c r="N122" s="91"/>
      <c r="O122" s="73"/>
      <c r="P122" s="103"/>
      <c r="Q122" s="13"/>
      <c r="R122" s="106"/>
      <c r="S122" s="106"/>
      <c r="T122" s="177"/>
      <c r="U122" s="178"/>
    </row>
    <row r="123" spans="1:21" s="87" customFormat="1" ht="22.5" customHeight="1" x14ac:dyDescent="0.25">
      <c r="A123" s="160">
        <v>41</v>
      </c>
      <c r="B123" s="168" t="str">
        <f>未定价清单!B40</f>
        <v>SLT0011263</v>
      </c>
      <c r="C123" s="168" t="str">
        <f>未定价清单!C40</f>
        <v>左侧大护板加强钢丝欧马可</v>
      </c>
      <c r="D123" s="160"/>
      <c r="E123" s="89">
        <v>1</v>
      </c>
      <c r="F123" s="89" t="s">
        <v>27</v>
      </c>
      <c r="G123" s="89">
        <v>6</v>
      </c>
      <c r="H123" s="89"/>
      <c r="I123" s="90">
        <f>8.55/1.13</f>
        <v>7.5663716814159301</v>
      </c>
      <c r="J123" s="89"/>
      <c r="K123" s="41">
        <f>未定价清单!G40</f>
        <v>2.7E-2</v>
      </c>
      <c r="L123" s="90">
        <f>K123</f>
        <v>2.7E-2</v>
      </c>
      <c r="M123" s="90">
        <v>0</v>
      </c>
      <c r="N123" s="95">
        <f>(I123*K123-J123*M123)*E123</f>
        <v>0.2042920353982301</v>
      </c>
      <c r="O123" s="90" t="s">
        <v>194</v>
      </c>
      <c r="P123" s="90"/>
      <c r="Q123" s="90"/>
      <c r="R123" s="105"/>
      <c r="S123" s="105"/>
      <c r="T123" s="179">
        <f>N123</f>
        <v>0.2042920353982301</v>
      </c>
      <c r="U123" s="178"/>
    </row>
    <row r="124" spans="1:21" s="87" customFormat="1" ht="22.5" customHeight="1" x14ac:dyDescent="0.25">
      <c r="A124" s="161"/>
      <c r="B124" s="169"/>
      <c r="C124" s="169"/>
      <c r="D124" s="161"/>
      <c r="E124" s="89"/>
      <c r="F124" s="89"/>
      <c r="G124" s="89"/>
      <c r="H124" s="89"/>
      <c r="I124" s="89"/>
      <c r="J124" s="89"/>
      <c r="K124" s="89"/>
      <c r="L124" s="89"/>
      <c r="M124" s="89"/>
      <c r="N124" s="100"/>
      <c r="O124" s="96"/>
      <c r="P124" s="96"/>
      <c r="Q124" s="96"/>
      <c r="R124" s="96"/>
      <c r="S124" s="96"/>
      <c r="T124" s="179"/>
      <c r="U124" s="178"/>
    </row>
    <row r="125" spans="1:21" s="87" customFormat="1" ht="22.5" customHeight="1" x14ac:dyDescent="0.25">
      <c r="A125" s="161"/>
      <c r="B125" s="169"/>
      <c r="C125" s="169"/>
      <c r="D125" s="161"/>
      <c r="E125" s="90"/>
      <c r="F125" s="90"/>
      <c r="G125" s="90"/>
      <c r="H125" s="90"/>
      <c r="I125" s="90"/>
      <c r="J125" s="90"/>
      <c r="K125" s="90"/>
      <c r="L125" s="90"/>
      <c r="M125" s="90"/>
      <c r="N125" s="101"/>
      <c r="O125" s="98"/>
      <c r="P125" s="99"/>
      <c r="Q125" s="90"/>
      <c r="R125" s="105"/>
      <c r="S125" s="105"/>
      <c r="T125" s="179"/>
      <c r="U125" s="178"/>
    </row>
    <row r="126" spans="1:21" s="87" customFormat="1" ht="22.5" customHeight="1" x14ac:dyDescent="0.25">
      <c r="A126" s="162"/>
      <c r="B126" s="170"/>
      <c r="C126" s="170"/>
      <c r="D126" s="162"/>
      <c r="E126" s="90"/>
      <c r="F126" s="90"/>
      <c r="G126" s="90"/>
      <c r="H126" s="90"/>
      <c r="I126" s="90"/>
      <c r="J126" s="90"/>
      <c r="K126" s="90"/>
      <c r="L126" s="90"/>
      <c r="M126" s="90"/>
      <c r="N126" s="101"/>
      <c r="O126" s="98"/>
      <c r="P126" s="99"/>
      <c r="Q126" s="90"/>
      <c r="R126" s="105"/>
      <c r="S126" s="105"/>
      <c r="T126" s="179"/>
      <c r="U126" s="178"/>
    </row>
    <row r="127" spans="1:21" s="87" customFormat="1" ht="22.5" customHeight="1" x14ac:dyDescent="0.25">
      <c r="A127" s="160">
        <v>42</v>
      </c>
      <c r="B127" s="168" t="str">
        <f>未定价清单!B41</f>
        <v>SLT0011262</v>
      </c>
      <c r="C127" s="168" t="str">
        <f>未定价清单!C41</f>
        <v>左侧大护板上固定钢丝欧马可</v>
      </c>
      <c r="D127" s="160"/>
      <c r="E127" s="89">
        <v>1</v>
      </c>
      <c r="F127" s="89" t="s">
        <v>27</v>
      </c>
      <c r="G127" s="89">
        <v>6</v>
      </c>
      <c r="H127" s="89"/>
      <c r="I127" s="90">
        <f>8.55/1.13</f>
        <v>7.5663716814159301</v>
      </c>
      <c r="J127" s="89"/>
      <c r="K127" s="41">
        <f>未定价清单!G41</f>
        <v>9.1999999999999998E-2</v>
      </c>
      <c r="L127" s="90">
        <f>K127</f>
        <v>9.1999999999999998E-2</v>
      </c>
      <c r="M127" s="90">
        <v>0</v>
      </c>
      <c r="N127" s="95">
        <f>(I127*K127-J127*M127)*E127</f>
        <v>0.69610619469026558</v>
      </c>
      <c r="O127" s="90" t="s">
        <v>194</v>
      </c>
      <c r="P127" s="90"/>
      <c r="Q127" s="90"/>
      <c r="R127" s="105"/>
      <c r="S127" s="105"/>
      <c r="T127" s="179">
        <f>N127</f>
        <v>0.69610619469026558</v>
      </c>
      <c r="U127" s="178"/>
    </row>
    <row r="128" spans="1:21" s="87" customFormat="1" ht="22.5" customHeight="1" x14ac:dyDescent="0.25">
      <c r="A128" s="161"/>
      <c r="B128" s="169"/>
      <c r="C128" s="169"/>
      <c r="D128" s="161"/>
      <c r="E128" s="89"/>
      <c r="F128" s="89"/>
      <c r="G128" s="89"/>
      <c r="H128" s="89"/>
      <c r="I128" s="89"/>
      <c r="J128" s="89"/>
      <c r="K128" s="89"/>
      <c r="L128" s="89"/>
      <c r="M128" s="89"/>
      <c r="N128" s="100"/>
      <c r="O128" s="96"/>
      <c r="P128" s="96"/>
      <c r="Q128" s="96"/>
      <c r="R128" s="96"/>
      <c r="S128" s="96"/>
      <c r="T128" s="179"/>
      <c r="U128" s="178"/>
    </row>
    <row r="129" spans="1:21" s="87" customFormat="1" ht="22.5" customHeight="1" x14ac:dyDescent="0.25">
      <c r="A129" s="161"/>
      <c r="B129" s="169"/>
      <c r="C129" s="169"/>
      <c r="D129" s="161"/>
      <c r="E129" s="90"/>
      <c r="F129" s="90"/>
      <c r="G129" s="90"/>
      <c r="H129" s="90"/>
      <c r="I129" s="90"/>
      <c r="J129" s="90"/>
      <c r="K129" s="90"/>
      <c r="L129" s="90"/>
      <c r="M129" s="90"/>
      <c r="N129" s="101"/>
      <c r="O129" s="98"/>
      <c r="P129" s="99"/>
      <c r="Q129" s="90"/>
      <c r="R129" s="105"/>
      <c r="S129" s="105"/>
      <c r="T129" s="179"/>
      <c r="U129" s="178"/>
    </row>
    <row r="130" spans="1:21" s="87" customFormat="1" ht="22.5" customHeight="1" x14ac:dyDescent="0.25">
      <c r="A130" s="162"/>
      <c r="B130" s="170"/>
      <c r="C130" s="170"/>
      <c r="D130" s="162"/>
      <c r="E130" s="90"/>
      <c r="F130" s="90"/>
      <c r="G130" s="90"/>
      <c r="H130" s="90"/>
      <c r="I130" s="90"/>
      <c r="J130" s="90"/>
      <c r="K130" s="90"/>
      <c r="L130" s="90"/>
      <c r="M130" s="90"/>
      <c r="N130" s="101"/>
      <c r="O130" s="98"/>
      <c r="P130" s="99"/>
      <c r="Q130" s="90"/>
      <c r="R130" s="105"/>
      <c r="S130" s="105"/>
      <c r="T130" s="179"/>
      <c r="U130" s="178"/>
    </row>
    <row r="131" spans="1:21" s="87" customFormat="1" ht="22.5" customHeight="1" x14ac:dyDescent="0.25">
      <c r="A131" s="160">
        <v>43</v>
      </c>
      <c r="B131" s="168" t="str">
        <f>未定价清单!B42</f>
        <v>SLT0011265</v>
      </c>
      <c r="C131" s="168" t="str">
        <f>未定价清单!C42</f>
        <v>左侧大护板下固定钢丝欧马可</v>
      </c>
      <c r="D131" s="160"/>
      <c r="E131" s="89">
        <v>1</v>
      </c>
      <c r="F131" s="89" t="s">
        <v>27</v>
      </c>
      <c r="G131" s="89">
        <v>6</v>
      </c>
      <c r="H131" s="89"/>
      <c r="I131" s="90">
        <f>8.55/1.13</f>
        <v>7.5663716814159301</v>
      </c>
      <c r="J131" s="89"/>
      <c r="K131" s="41">
        <f>未定价清单!G42</f>
        <v>7.3999999999999996E-2</v>
      </c>
      <c r="L131" s="90">
        <f>K131</f>
        <v>7.3999999999999996E-2</v>
      </c>
      <c r="M131" s="90">
        <v>0</v>
      </c>
      <c r="N131" s="95">
        <f>(I131*K131-J131*M131)*E131</f>
        <v>0.55991150442477877</v>
      </c>
      <c r="O131" s="90" t="s">
        <v>194</v>
      </c>
      <c r="P131" s="90"/>
      <c r="Q131" s="90"/>
      <c r="R131" s="105"/>
      <c r="S131" s="105"/>
      <c r="T131" s="179">
        <f>N131</f>
        <v>0.55991150442477877</v>
      </c>
      <c r="U131" s="178"/>
    </row>
    <row r="132" spans="1:21" s="87" customFormat="1" ht="22.5" customHeight="1" x14ac:dyDescent="0.25">
      <c r="A132" s="161"/>
      <c r="B132" s="169"/>
      <c r="C132" s="169"/>
      <c r="D132" s="161"/>
      <c r="E132" s="89"/>
      <c r="F132" s="89"/>
      <c r="G132" s="89"/>
      <c r="H132" s="89"/>
      <c r="I132" s="89"/>
      <c r="J132" s="89"/>
      <c r="K132" s="89"/>
      <c r="L132" s="89"/>
      <c r="M132" s="89"/>
      <c r="N132" s="100"/>
      <c r="O132" s="96"/>
      <c r="P132" s="96"/>
      <c r="Q132" s="96"/>
      <c r="R132" s="96"/>
      <c r="S132" s="96"/>
      <c r="T132" s="179"/>
      <c r="U132" s="178"/>
    </row>
    <row r="133" spans="1:21" s="87" customFormat="1" ht="22.5" customHeight="1" x14ac:dyDescent="0.25">
      <c r="A133" s="161"/>
      <c r="B133" s="169"/>
      <c r="C133" s="169"/>
      <c r="D133" s="161"/>
      <c r="E133" s="90"/>
      <c r="F133" s="90"/>
      <c r="G133" s="90"/>
      <c r="H133" s="90"/>
      <c r="I133" s="90"/>
      <c r="J133" s="90"/>
      <c r="K133" s="90"/>
      <c r="L133" s="90"/>
      <c r="M133" s="90"/>
      <c r="N133" s="101"/>
      <c r="O133" s="98"/>
      <c r="P133" s="99"/>
      <c r="Q133" s="90"/>
      <c r="R133" s="105"/>
      <c r="S133" s="105"/>
      <c r="T133" s="179"/>
      <c r="U133" s="178"/>
    </row>
    <row r="134" spans="1:21" s="87" customFormat="1" ht="22.5" customHeight="1" x14ac:dyDescent="0.25">
      <c r="A134" s="162"/>
      <c r="B134" s="170"/>
      <c r="C134" s="170"/>
      <c r="D134" s="162"/>
      <c r="E134" s="90"/>
      <c r="F134" s="90"/>
      <c r="G134" s="90"/>
      <c r="H134" s="90"/>
      <c r="I134" s="90"/>
      <c r="J134" s="90"/>
      <c r="K134" s="90"/>
      <c r="L134" s="90"/>
      <c r="M134" s="90"/>
      <c r="N134" s="101"/>
      <c r="O134" s="98"/>
      <c r="P134" s="99"/>
      <c r="Q134" s="90"/>
      <c r="R134" s="105"/>
      <c r="S134" s="105"/>
      <c r="T134" s="179"/>
      <c r="U134" s="178"/>
    </row>
    <row r="135" spans="1:21" s="87" customFormat="1" ht="22.5" customHeight="1" x14ac:dyDescent="0.25">
      <c r="A135" s="160">
        <v>44</v>
      </c>
      <c r="B135" s="168" t="str">
        <f>未定价清单!B43</f>
        <v>SLT0010677</v>
      </c>
      <c r="C135" s="168" t="str">
        <f>未定价清单!C43</f>
        <v>左侧护板后加强钢丝一汽轻卡减震</v>
      </c>
      <c r="D135" s="160"/>
      <c r="E135" s="89">
        <v>1</v>
      </c>
      <c r="F135" s="89" t="s">
        <v>27</v>
      </c>
      <c r="G135" s="89">
        <v>6</v>
      </c>
      <c r="H135" s="89"/>
      <c r="I135" s="90">
        <f>8.55/1.13</f>
        <v>7.5663716814159301</v>
      </c>
      <c r="J135" s="89"/>
      <c r="K135" s="41">
        <f>未定价清单!G43</f>
        <v>1.54E-2</v>
      </c>
      <c r="L135" s="90">
        <f>K135</f>
        <v>1.54E-2</v>
      </c>
      <c r="M135" s="90">
        <v>0</v>
      </c>
      <c r="N135" s="95">
        <f>(I135*K135-J135*M135)*E135</f>
        <v>0.11652212389380533</v>
      </c>
      <c r="O135" s="90" t="s">
        <v>194</v>
      </c>
      <c r="P135" s="90"/>
      <c r="Q135" s="90"/>
      <c r="R135" s="105"/>
      <c r="S135" s="105"/>
      <c r="T135" s="179">
        <f>N135</f>
        <v>0.11652212389380533</v>
      </c>
      <c r="U135" s="178"/>
    </row>
    <row r="136" spans="1:21" s="87" customFormat="1" ht="22.5" customHeight="1" x14ac:dyDescent="0.25">
      <c r="A136" s="161"/>
      <c r="B136" s="169"/>
      <c r="C136" s="169"/>
      <c r="D136" s="161"/>
      <c r="E136" s="89"/>
      <c r="F136" s="89"/>
      <c r="G136" s="89"/>
      <c r="H136" s="89"/>
      <c r="I136" s="89"/>
      <c r="J136" s="89"/>
      <c r="K136" s="89"/>
      <c r="L136" s="89"/>
      <c r="M136" s="89"/>
      <c r="N136" s="100"/>
      <c r="O136" s="96"/>
      <c r="P136" s="96"/>
      <c r="Q136" s="96"/>
      <c r="R136" s="96"/>
      <c r="S136" s="96"/>
      <c r="T136" s="179"/>
      <c r="U136" s="178"/>
    </row>
    <row r="137" spans="1:21" s="87" customFormat="1" ht="22.5" customHeight="1" x14ac:dyDescent="0.25">
      <c r="A137" s="161"/>
      <c r="B137" s="169"/>
      <c r="C137" s="169"/>
      <c r="D137" s="161"/>
      <c r="E137" s="90"/>
      <c r="F137" s="90"/>
      <c r="G137" s="90"/>
      <c r="H137" s="90"/>
      <c r="I137" s="90"/>
      <c r="J137" s="90"/>
      <c r="K137" s="90"/>
      <c r="L137" s="90"/>
      <c r="M137" s="90"/>
      <c r="N137" s="101"/>
      <c r="O137" s="98"/>
      <c r="P137" s="99"/>
      <c r="Q137" s="90"/>
      <c r="R137" s="105"/>
      <c r="S137" s="105"/>
      <c r="T137" s="179"/>
      <c r="U137" s="178"/>
    </row>
    <row r="138" spans="1:21" s="87" customFormat="1" ht="22.5" customHeight="1" x14ac:dyDescent="0.25">
      <c r="A138" s="162"/>
      <c r="B138" s="170"/>
      <c r="C138" s="170"/>
      <c r="D138" s="162"/>
      <c r="E138" s="90"/>
      <c r="F138" s="90"/>
      <c r="G138" s="90"/>
      <c r="H138" s="90"/>
      <c r="I138" s="90"/>
      <c r="J138" s="90"/>
      <c r="K138" s="90"/>
      <c r="L138" s="90"/>
      <c r="M138" s="90"/>
      <c r="N138" s="101"/>
      <c r="O138" s="98"/>
      <c r="P138" s="99"/>
      <c r="Q138" s="90"/>
      <c r="R138" s="105"/>
      <c r="S138" s="105"/>
      <c r="T138" s="179"/>
      <c r="U138" s="178"/>
    </row>
    <row r="139" spans="1:21" s="87" customFormat="1" ht="22.5" customHeight="1" x14ac:dyDescent="0.25">
      <c r="A139" s="160">
        <v>45</v>
      </c>
      <c r="B139" s="168" t="str">
        <f>未定价清单!B44</f>
        <v>SLT0010676</v>
      </c>
      <c r="C139" s="168" t="str">
        <f>未定价清单!C44</f>
        <v>左侧护板前加强钢丝一汽轻卡减震</v>
      </c>
      <c r="D139" s="160"/>
      <c r="E139" s="89">
        <v>1</v>
      </c>
      <c r="F139" s="89" t="s">
        <v>27</v>
      </c>
      <c r="G139" s="89">
        <v>6</v>
      </c>
      <c r="H139" s="89"/>
      <c r="I139" s="90">
        <f>8.55/1.13</f>
        <v>7.5663716814159301</v>
      </c>
      <c r="J139" s="89"/>
      <c r="K139" s="41">
        <f>未定价清单!G44</f>
        <v>2.4199999999999999E-2</v>
      </c>
      <c r="L139" s="90">
        <f>K139</f>
        <v>2.4199999999999999E-2</v>
      </c>
      <c r="M139" s="90">
        <v>0</v>
      </c>
      <c r="N139" s="95">
        <f>(I139*K139-J139*M139)*E139</f>
        <v>0.18310619469026551</v>
      </c>
      <c r="O139" s="90" t="s">
        <v>194</v>
      </c>
      <c r="P139" s="90"/>
      <c r="Q139" s="90"/>
      <c r="R139" s="105"/>
      <c r="S139" s="105"/>
      <c r="T139" s="179">
        <f>N139</f>
        <v>0.18310619469026551</v>
      </c>
      <c r="U139" s="178"/>
    </row>
    <row r="140" spans="1:21" s="87" customFormat="1" ht="22.5" customHeight="1" x14ac:dyDescent="0.25">
      <c r="A140" s="161"/>
      <c r="B140" s="169"/>
      <c r="C140" s="169"/>
      <c r="D140" s="161"/>
      <c r="E140" s="89"/>
      <c r="F140" s="89"/>
      <c r="G140" s="89"/>
      <c r="H140" s="89"/>
      <c r="I140" s="89"/>
      <c r="J140" s="89"/>
      <c r="K140" s="89"/>
      <c r="L140" s="89"/>
      <c r="M140" s="89"/>
      <c r="N140" s="100"/>
      <c r="O140" s="96"/>
      <c r="P140" s="96"/>
      <c r="Q140" s="96"/>
      <c r="R140" s="96"/>
      <c r="S140" s="96"/>
      <c r="T140" s="179"/>
      <c r="U140" s="178"/>
    </row>
    <row r="141" spans="1:21" s="87" customFormat="1" ht="22.5" customHeight="1" x14ac:dyDescent="0.25">
      <c r="A141" s="161"/>
      <c r="B141" s="169"/>
      <c r="C141" s="169"/>
      <c r="D141" s="161"/>
      <c r="E141" s="90"/>
      <c r="F141" s="90"/>
      <c r="G141" s="90"/>
      <c r="H141" s="90"/>
      <c r="I141" s="90"/>
      <c r="J141" s="90"/>
      <c r="K141" s="90"/>
      <c r="L141" s="90"/>
      <c r="M141" s="90"/>
      <c r="N141" s="101"/>
      <c r="O141" s="98"/>
      <c r="P141" s="99"/>
      <c r="Q141" s="90"/>
      <c r="R141" s="105"/>
      <c r="S141" s="105"/>
      <c r="T141" s="179"/>
      <c r="U141" s="178"/>
    </row>
    <row r="142" spans="1:21" s="87" customFormat="1" ht="22.5" customHeight="1" x14ac:dyDescent="0.25">
      <c r="A142" s="162"/>
      <c r="B142" s="170"/>
      <c r="C142" s="170"/>
      <c r="D142" s="162"/>
      <c r="E142" s="90"/>
      <c r="F142" s="90"/>
      <c r="G142" s="90"/>
      <c r="H142" s="90"/>
      <c r="I142" s="90"/>
      <c r="J142" s="90"/>
      <c r="K142" s="90"/>
      <c r="L142" s="90"/>
      <c r="M142" s="90"/>
      <c r="N142" s="101"/>
      <c r="O142" s="98"/>
      <c r="P142" s="99"/>
      <c r="Q142" s="90"/>
      <c r="R142" s="105"/>
      <c r="S142" s="105"/>
      <c r="T142" s="179"/>
      <c r="U142" s="178"/>
    </row>
    <row r="143" spans="1:21" s="87" customFormat="1" ht="22.5" customHeight="1" x14ac:dyDescent="0.25">
      <c r="A143" s="160">
        <v>46</v>
      </c>
      <c r="B143" s="168" t="str">
        <f>未定价清单!B45</f>
        <v>SLT0010675</v>
      </c>
      <c r="C143" s="168" t="str">
        <f>未定价清单!C45</f>
        <v>左侧护板上固定钢丝一起轻卡减震</v>
      </c>
      <c r="D143" s="160"/>
      <c r="E143" s="89">
        <v>1</v>
      </c>
      <c r="F143" s="89" t="s">
        <v>27</v>
      </c>
      <c r="G143" s="89">
        <v>6</v>
      </c>
      <c r="H143" s="89"/>
      <c r="I143" s="90">
        <f>8.55/1.13</f>
        <v>7.5663716814159301</v>
      </c>
      <c r="J143" s="89"/>
      <c r="K143" s="41">
        <f>未定价清单!G45</f>
        <v>9.5299999999999996E-2</v>
      </c>
      <c r="L143" s="90">
        <f>K143</f>
        <v>9.5299999999999996E-2</v>
      </c>
      <c r="M143" s="90">
        <v>0</v>
      </c>
      <c r="N143" s="95">
        <f>(I143*K143-J143*M143)*E143</f>
        <v>0.72107522123893808</v>
      </c>
      <c r="O143" s="90" t="s">
        <v>194</v>
      </c>
      <c r="P143" s="90"/>
      <c r="Q143" s="90"/>
      <c r="R143" s="105"/>
      <c r="S143" s="105"/>
      <c r="T143" s="179">
        <f>N143</f>
        <v>0.72107522123893808</v>
      </c>
      <c r="U143" s="178"/>
    </row>
    <row r="144" spans="1:21" s="87" customFormat="1" ht="22.5" customHeight="1" x14ac:dyDescent="0.25">
      <c r="A144" s="161"/>
      <c r="B144" s="169"/>
      <c r="C144" s="169"/>
      <c r="D144" s="161"/>
      <c r="E144" s="89"/>
      <c r="F144" s="89"/>
      <c r="G144" s="89"/>
      <c r="H144" s="89"/>
      <c r="I144" s="89"/>
      <c r="J144" s="89"/>
      <c r="K144" s="89"/>
      <c r="L144" s="89"/>
      <c r="M144" s="89"/>
      <c r="N144" s="100"/>
      <c r="O144" s="96"/>
      <c r="P144" s="96"/>
      <c r="Q144" s="96"/>
      <c r="R144" s="96"/>
      <c r="S144" s="96"/>
      <c r="T144" s="179"/>
      <c r="U144" s="178"/>
    </row>
    <row r="145" spans="1:21" s="87" customFormat="1" ht="22.5" customHeight="1" x14ac:dyDescent="0.25">
      <c r="A145" s="161"/>
      <c r="B145" s="169"/>
      <c r="C145" s="169"/>
      <c r="D145" s="161"/>
      <c r="E145" s="90"/>
      <c r="F145" s="90"/>
      <c r="G145" s="90"/>
      <c r="H145" s="90"/>
      <c r="I145" s="90"/>
      <c r="J145" s="90"/>
      <c r="K145" s="90"/>
      <c r="L145" s="90"/>
      <c r="M145" s="90"/>
      <c r="N145" s="101"/>
      <c r="O145" s="98"/>
      <c r="P145" s="99"/>
      <c r="Q145" s="90"/>
      <c r="R145" s="105"/>
      <c r="S145" s="105"/>
      <c r="T145" s="179"/>
      <c r="U145" s="178"/>
    </row>
    <row r="146" spans="1:21" s="87" customFormat="1" ht="22.5" customHeight="1" x14ac:dyDescent="0.25">
      <c r="A146" s="162"/>
      <c r="B146" s="170"/>
      <c r="C146" s="170"/>
      <c r="D146" s="162"/>
      <c r="E146" s="90"/>
      <c r="F146" s="90"/>
      <c r="G146" s="90"/>
      <c r="H146" s="90"/>
      <c r="I146" s="90"/>
      <c r="J146" s="90"/>
      <c r="K146" s="90"/>
      <c r="L146" s="90"/>
      <c r="M146" s="90"/>
      <c r="N146" s="101"/>
      <c r="O146" s="98"/>
      <c r="P146" s="99"/>
      <c r="Q146" s="90"/>
      <c r="R146" s="105"/>
      <c r="S146" s="105"/>
      <c r="T146" s="179"/>
      <c r="U146" s="178"/>
    </row>
    <row r="147" spans="1:21" s="87" customFormat="1" ht="22.5" customHeight="1" x14ac:dyDescent="0.25">
      <c r="A147" s="160">
        <v>47</v>
      </c>
      <c r="B147" s="168" t="str">
        <f>未定价清单!B46</f>
        <v>SLT0010678</v>
      </c>
      <c r="C147" s="168" t="str">
        <f>未定价清单!C46</f>
        <v>左侧护板下固定钢丝一汽轻卡减震</v>
      </c>
      <c r="D147" s="160"/>
      <c r="E147" s="89">
        <v>1</v>
      </c>
      <c r="F147" s="89" t="s">
        <v>27</v>
      </c>
      <c r="G147" s="89">
        <v>6</v>
      </c>
      <c r="H147" s="89"/>
      <c r="I147" s="90">
        <f>8.55/1.13</f>
        <v>7.5663716814159301</v>
      </c>
      <c r="J147" s="89"/>
      <c r="K147" s="41">
        <f>未定价清单!G46</f>
        <v>6.7000000000000004E-2</v>
      </c>
      <c r="L147" s="90">
        <f>K147</f>
        <v>6.7000000000000004E-2</v>
      </c>
      <c r="M147" s="90">
        <v>0</v>
      </c>
      <c r="N147" s="95">
        <f>(I147*K147-J147*M147)*E147</f>
        <v>0.5069469026548673</v>
      </c>
      <c r="O147" s="90" t="s">
        <v>194</v>
      </c>
      <c r="P147" s="90"/>
      <c r="Q147" s="90"/>
      <c r="R147" s="105"/>
      <c r="S147" s="105"/>
      <c r="T147" s="179">
        <f>N147</f>
        <v>0.5069469026548673</v>
      </c>
      <c r="U147" s="178"/>
    </row>
    <row r="148" spans="1:21" s="87" customFormat="1" ht="22.5" customHeight="1" x14ac:dyDescent="0.25">
      <c r="A148" s="161"/>
      <c r="B148" s="169"/>
      <c r="C148" s="169"/>
      <c r="D148" s="161"/>
      <c r="E148" s="89"/>
      <c r="F148" s="89"/>
      <c r="G148" s="89"/>
      <c r="H148" s="89"/>
      <c r="I148" s="89"/>
      <c r="J148" s="89"/>
      <c r="K148" s="89"/>
      <c r="L148" s="89"/>
      <c r="M148" s="89"/>
      <c r="N148" s="100"/>
      <c r="O148" s="96"/>
      <c r="P148" s="96"/>
      <c r="Q148" s="96"/>
      <c r="R148" s="96"/>
      <c r="S148" s="96"/>
      <c r="T148" s="179"/>
      <c r="U148" s="178"/>
    </row>
    <row r="149" spans="1:21" s="87" customFormat="1" ht="22.5" customHeight="1" x14ac:dyDescent="0.25">
      <c r="A149" s="161"/>
      <c r="B149" s="169"/>
      <c r="C149" s="169"/>
      <c r="D149" s="161"/>
      <c r="E149" s="90"/>
      <c r="F149" s="90"/>
      <c r="G149" s="90"/>
      <c r="H149" s="90"/>
      <c r="I149" s="90"/>
      <c r="J149" s="90"/>
      <c r="K149" s="90"/>
      <c r="L149" s="90"/>
      <c r="M149" s="90"/>
      <c r="N149" s="101"/>
      <c r="O149" s="98"/>
      <c r="P149" s="99"/>
      <c r="Q149" s="90"/>
      <c r="R149" s="105"/>
      <c r="S149" s="105"/>
      <c r="T149" s="179"/>
      <c r="U149" s="178"/>
    </row>
    <row r="150" spans="1:21" s="87" customFormat="1" ht="22.5" customHeight="1" x14ac:dyDescent="0.25">
      <c r="A150" s="162"/>
      <c r="B150" s="170"/>
      <c r="C150" s="170"/>
      <c r="D150" s="162"/>
      <c r="E150" s="90"/>
      <c r="F150" s="90"/>
      <c r="G150" s="90"/>
      <c r="H150" s="90"/>
      <c r="I150" s="90"/>
      <c r="J150" s="90"/>
      <c r="K150" s="90"/>
      <c r="L150" s="90"/>
      <c r="M150" s="90"/>
      <c r="N150" s="101"/>
      <c r="O150" s="98"/>
      <c r="P150" s="99"/>
      <c r="Q150" s="90"/>
      <c r="R150" s="105"/>
      <c r="S150" s="105"/>
      <c r="T150" s="179"/>
      <c r="U150" s="178"/>
    </row>
    <row r="151" spans="1:21" s="87" customFormat="1" ht="22.5" customHeight="1" x14ac:dyDescent="0.25">
      <c r="A151" s="160">
        <v>49</v>
      </c>
      <c r="B151" s="168" t="str">
        <f>未定价清单!B48</f>
        <v>SLT0011319</v>
      </c>
      <c r="C151" s="168" t="str">
        <f>未定价清单!C48</f>
        <v>座垫面套卡接钢丝欧马可</v>
      </c>
      <c r="D151" s="160"/>
      <c r="E151" s="89">
        <v>1</v>
      </c>
      <c r="F151" s="89" t="s">
        <v>27</v>
      </c>
      <c r="G151" s="89">
        <v>5</v>
      </c>
      <c r="H151" s="89"/>
      <c r="I151" s="90">
        <f>8.55/1.13</f>
        <v>7.5663716814159301</v>
      </c>
      <c r="J151" s="89"/>
      <c r="K151" s="41">
        <f>未定价清单!G48</f>
        <v>4.5999999999999999E-2</v>
      </c>
      <c r="L151" s="90">
        <f>K151</f>
        <v>4.5999999999999999E-2</v>
      </c>
      <c r="M151" s="90">
        <v>0</v>
      </c>
      <c r="N151" s="95">
        <f>(I151*K151-J151*M151)*E151</f>
        <v>0.34805309734513279</v>
      </c>
      <c r="O151" s="90" t="s">
        <v>194</v>
      </c>
      <c r="P151" s="90"/>
      <c r="Q151" s="90"/>
      <c r="R151" s="105"/>
      <c r="S151" s="105"/>
      <c r="T151" s="179">
        <f>N151</f>
        <v>0.34805309734513279</v>
      </c>
      <c r="U151" s="178"/>
    </row>
    <row r="152" spans="1:21" s="87" customFormat="1" ht="22.5" customHeight="1" x14ac:dyDescent="0.25">
      <c r="A152" s="161"/>
      <c r="B152" s="169"/>
      <c r="C152" s="169"/>
      <c r="D152" s="161"/>
      <c r="E152" s="89"/>
      <c r="F152" s="89"/>
      <c r="G152" s="89"/>
      <c r="H152" s="89"/>
      <c r="I152" s="89"/>
      <c r="J152" s="89"/>
      <c r="K152" s="89"/>
      <c r="L152" s="89"/>
      <c r="M152" s="89"/>
      <c r="N152" s="100"/>
      <c r="O152" s="96"/>
      <c r="P152" s="96"/>
      <c r="Q152" s="96"/>
      <c r="R152" s="96"/>
      <c r="S152" s="96"/>
      <c r="T152" s="179"/>
      <c r="U152" s="178"/>
    </row>
    <row r="153" spans="1:21" s="87" customFormat="1" ht="22.5" customHeight="1" x14ac:dyDescent="0.25">
      <c r="A153" s="161"/>
      <c r="B153" s="169"/>
      <c r="C153" s="169"/>
      <c r="D153" s="161"/>
      <c r="E153" s="90"/>
      <c r="F153" s="90"/>
      <c r="G153" s="90"/>
      <c r="H153" s="90"/>
      <c r="I153" s="90"/>
      <c r="J153" s="90"/>
      <c r="K153" s="90"/>
      <c r="L153" s="90"/>
      <c r="M153" s="90"/>
      <c r="N153" s="101"/>
      <c r="O153" s="98"/>
      <c r="P153" s="99"/>
      <c r="Q153" s="90"/>
      <c r="R153" s="105"/>
      <c r="S153" s="105"/>
      <c r="T153" s="179"/>
      <c r="U153" s="178"/>
    </row>
    <row r="154" spans="1:21" s="87" customFormat="1" ht="22.5" customHeight="1" x14ac:dyDescent="0.25">
      <c r="A154" s="162"/>
      <c r="B154" s="170"/>
      <c r="C154" s="170"/>
      <c r="D154" s="162"/>
      <c r="E154" s="90"/>
      <c r="F154" s="90"/>
      <c r="G154" s="90"/>
      <c r="H154" s="90"/>
      <c r="I154" s="90"/>
      <c r="J154" s="90"/>
      <c r="K154" s="90"/>
      <c r="L154" s="90"/>
      <c r="M154" s="90"/>
      <c r="N154" s="101"/>
      <c r="O154" s="98"/>
      <c r="P154" s="99"/>
      <c r="Q154" s="90"/>
      <c r="R154" s="105"/>
      <c r="S154" s="105"/>
      <c r="T154" s="179"/>
      <c r="U154" s="178"/>
    </row>
    <row r="155" spans="1:21" s="87" customFormat="1" ht="22.5" customHeight="1" x14ac:dyDescent="0.25">
      <c r="A155" s="160">
        <v>50</v>
      </c>
      <c r="B155" s="168" t="str">
        <f>未定价清单!B49</f>
        <v>SHT0016644</v>
      </c>
      <c r="C155" s="168" t="str">
        <f>未定价清单!C49</f>
        <v>侧翼支撑上安装钢丝J6P经典版</v>
      </c>
      <c r="D155" s="160"/>
      <c r="E155" s="89">
        <v>1</v>
      </c>
      <c r="F155" s="89" t="s">
        <v>27</v>
      </c>
      <c r="G155" s="89">
        <v>6</v>
      </c>
      <c r="H155" s="89"/>
      <c r="I155" s="90">
        <f>8.55/1.13</f>
        <v>7.5663716814159301</v>
      </c>
      <c r="J155" s="89"/>
      <c r="K155" s="41">
        <f>未定价清单!G49</f>
        <v>5.8099999999999999E-2</v>
      </c>
      <c r="L155" s="90">
        <f>K155</f>
        <v>5.8099999999999999E-2</v>
      </c>
      <c r="M155" s="90">
        <v>0</v>
      </c>
      <c r="N155" s="95">
        <f>(I155*K155-J155*M155)*E155</f>
        <v>0.43960619469026552</v>
      </c>
      <c r="O155" s="90" t="s">
        <v>194</v>
      </c>
      <c r="P155" s="90"/>
      <c r="Q155" s="90"/>
      <c r="R155" s="105"/>
      <c r="S155" s="105"/>
      <c r="T155" s="179">
        <f>N155</f>
        <v>0.43960619469026552</v>
      </c>
      <c r="U155" s="178"/>
    </row>
    <row r="156" spans="1:21" s="87" customFormat="1" ht="22.5" customHeight="1" x14ac:dyDescent="0.25">
      <c r="A156" s="161"/>
      <c r="B156" s="169"/>
      <c r="C156" s="169"/>
      <c r="D156" s="161"/>
      <c r="E156" s="89"/>
      <c r="F156" s="89"/>
      <c r="G156" s="89"/>
      <c r="H156" s="89"/>
      <c r="I156" s="89"/>
      <c r="J156" s="89"/>
      <c r="K156" s="89"/>
      <c r="L156" s="89"/>
      <c r="M156" s="89"/>
      <c r="N156" s="100"/>
      <c r="O156" s="96"/>
      <c r="P156" s="96"/>
      <c r="Q156" s="96"/>
      <c r="R156" s="96"/>
      <c r="S156" s="96"/>
      <c r="T156" s="179"/>
      <c r="U156" s="178"/>
    </row>
    <row r="157" spans="1:21" s="87" customFormat="1" ht="22.5" customHeight="1" x14ac:dyDescent="0.25">
      <c r="A157" s="161"/>
      <c r="B157" s="169"/>
      <c r="C157" s="169"/>
      <c r="D157" s="161"/>
      <c r="E157" s="90"/>
      <c r="F157" s="90"/>
      <c r="G157" s="90"/>
      <c r="H157" s="90"/>
      <c r="I157" s="90"/>
      <c r="J157" s="90"/>
      <c r="K157" s="90"/>
      <c r="L157" s="90"/>
      <c r="M157" s="90"/>
      <c r="N157" s="101"/>
      <c r="O157" s="98"/>
      <c r="P157" s="99"/>
      <c r="Q157" s="90"/>
      <c r="R157" s="105"/>
      <c r="S157" s="105"/>
      <c r="T157" s="179"/>
      <c r="U157" s="178"/>
    </row>
    <row r="158" spans="1:21" s="87" customFormat="1" ht="22.5" customHeight="1" x14ac:dyDescent="0.25">
      <c r="A158" s="162"/>
      <c r="B158" s="170"/>
      <c r="C158" s="170"/>
      <c r="D158" s="162"/>
      <c r="E158" s="90"/>
      <c r="F158" s="90"/>
      <c r="G158" s="90"/>
      <c r="H158" s="90"/>
      <c r="I158" s="90"/>
      <c r="J158" s="90"/>
      <c r="K158" s="90"/>
      <c r="L158" s="90"/>
      <c r="M158" s="90"/>
      <c r="N158" s="101"/>
      <c r="O158" s="98"/>
      <c r="P158" s="99"/>
      <c r="Q158" s="90"/>
      <c r="R158" s="105"/>
      <c r="S158" s="105"/>
      <c r="T158" s="179"/>
      <c r="U158" s="178"/>
    </row>
    <row r="159" spans="1:21" s="87" customFormat="1" ht="22.5" customHeight="1" x14ac:dyDescent="0.25">
      <c r="A159" s="160">
        <v>51</v>
      </c>
      <c r="B159" s="168" t="str">
        <f>未定价清单!B50</f>
        <v>SHT0011054</v>
      </c>
      <c r="C159" s="168" t="str">
        <f>未定价清单!C50</f>
        <v>D03靠背骨架下支撑钢丝</v>
      </c>
      <c r="D159" s="160"/>
      <c r="E159" s="89">
        <v>1</v>
      </c>
      <c r="F159" s="89" t="s">
        <v>27</v>
      </c>
      <c r="G159" s="89"/>
      <c r="H159" s="89"/>
      <c r="I159" s="90">
        <f>8.55/1.13</f>
        <v>7.5663716814159301</v>
      </c>
      <c r="J159" s="89"/>
      <c r="K159" s="41">
        <f>未定价清单!G50</f>
        <v>0.24</v>
      </c>
      <c r="L159" s="90">
        <f>K159</f>
        <v>0.24</v>
      </c>
      <c r="M159" s="90">
        <v>0</v>
      </c>
      <c r="N159" s="95">
        <f>(I159*K159-J159*M159)*E159</f>
        <v>1.8159292035398231</v>
      </c>
      <c r="O159" s="90" t="s">
        <v>194</v>
      </c>
      <c r="P159" s="90"/>
      <c r="Q159" s="90"/>
      <c r="R159" s="105"/>
      <c r="S159" s="105"/>
      <c r="T159" s="179">
        <f>N159</f>
        <v>1.8159292035398231</v>
      </c>
      <c r="U159" s="178"/>
    </row>
    <row r="160" spans="1:21" s="87" customFormat="1" ht="22.5" customHeight="1" x14ac:dyDescent="0.25">
      <c r="A160" s="161"/>
      <c r="B160" s="169"/>
      <c r="C160" s="169"/>
      <c r="D160" s="161"/>
      <c r="E160" s="89"/>
      <c r="F160" s="89"/>
      <c r="G160" s="89"/>
      <c r="H160" s="89"/>
      <c r="I160" s="89"/>
      <c r="J160" s="89"/>
      <c r="K160" s="89"/>
      <c r="L160" s="89"/>
      <c r="M160" s="89"/>
      <c r="N160" s="100"/>
      <c r="O160" s="96"/>
      <c r="P160" s="96"/>
      <c r="Q160" s="96"/>
      <c r="R160" s="96"/>
      <c r="S160" s="96"/>
      <c r="T160" s="179"/>
      <c r="U160" s="178"/>
    </row>
    <row r="161" spans="1:21" s="87" customFormat="1" ht="22.5" customHeight="1" x14ac:dyDescent="0.25">
      <c r="A161" s="161"/>
      <c r="B161" s="169"/>
      <c r="C161" s="169"/>
      <c r="D161" s="161"/>
      <c r="E161" s="90"/>
      <c r="F161" s="90"/>
      <c r="G161" s="90"/>
      <c r="H161" s="90"/>
      <c r="I161" s="90"/>
      <c r="J161" s="90"/>
      <c r="K161" s="90"/>
      <c r="L161" s="90"/>
      <c r="M161" s="90"/>
      <c r="N161" s="101"/>
      <c r="O161" s="98"/>
      <c r="P161" s="99"/>
      <c r="Q161" s="90"/>
      <c r="R161" s="105"/>
      <c r="S161" s="105"/>
      <c r="T161" s="179"/>
      <c r="U161" s="178"/>
    </row>
    <row r="162" spans="1:21" s="87" customFormat="1" ht="22.5" customHeight="1" x14ac:dyDescent="0.25">
      <c r="A162" s="162"/>
      <c r="B162" s="170"/>
      <c r="C162" s="170"/>
      <c r="D162" s="162"/>
      <c r="E162" s="90"/>
      <c r="F162" s="90"/>
      <c r="G162" s="90"/>
      <c r="H162" s="90"/>
      <c r="I162" s="90"/>
      <c r="J162" s="90"/>
      <c r="K162" s="90"/>
      <c r="L162" s="90"/>
      <c r="M162" s="90"/>
      <c r="N162" s="101"/>
      <c r="O162" s="98"/>
      <c r="P162" s="99"/>
      <c r="Q162" s="90"/>
      <c r="R162" s="105"/>
      <c r="S162" s="105"/>
      <c r="T162" s="179"/>
      <c r="U162" s="178"/>
    </row>
    <row r="163" spans="1:21" s="87" customFormat="1" ht="22.5" customHeight="1" x14ac:dyDescent="0.25">
      <c r="A163" s="160">
        <v>52</v>
      </c>
      <c r="B163" s="168" t="str">
        <f>未定价清单!B51</f>
        <v>SHT0001935</v>
      </c>
      <c r="C163" s="168" t="str">
        <f>未定价清单!C51</f>
        <v>侧翼支撑上安装钢丝F3000</v>
      </c>
      <c r="D163" s="160"/>
      <c r="E163" s="89">
        <v>1</v>
      </c>
      <c r="F163" s="89" t="s">
        <v>27</v>
      </c>
      <c r="G163" s="89"/>
      <c r="H163" s="89"/>
      <c r="I163" s="90">
        <f>8.55/1.13</f>
        <v>7.5663716814159301</v>
      </c>
      <c r="J163" s="89"/>
      <c r="K163" s="41">
        <v>0.107</v>
      </c>
      <c r="L163" s="90">
        <f>K163</f>
        <v>0.107</v>
      </c>
      <c r="M163" s="90">
        <v>0</v>
      </c>
      <c r="N163" s="95">
        <f>(I163*K163-J163*M163)*E163</f>
        <v>0.80960176991150501</v>
      </c>
      <c r="O163" s="90" t="s">
        <v>194</v>
      </c>
      <c r="P163" s="90"/>
      <c r="Q163" s="90"/>
      <c r="R163" s="105"/>
      <c r="S163" s="105"/>
      <c r="T163" s="179">
        <f>N163</f>
        <v>0.80960176991150501</v>
      </c>
      <c r="U163" s="178"/>
    </row>
    <row r="164" spans="1:21" s="87" customFormat="1" ht="22.5" customHeight="1" x14ac:dyDescent="0.25">
      <c r="A164" s="161"/>
      <c r="B164" s="169"/>
      <c r="C164" s="169"/>
      <c r="D164" s="161"/>
      <c r="E164" s="89"/>
      <c r="F164" s="89"/>
      <c r="G164" s="89"/>
      <c r="H164" s="89"/>
      <c r="I164" s="89"/>
      <c r="J164" s="89"/>
      <c r="K164" s="89"/>
      <c r="L164" s="89"/>
      <c r="M164" s="89"/>
      <c r="N164" s="100"/>
      <c r="O164" s="96"/>
      <c r="P164" s="96"/>
      <c r="Q164" s="96"/>
      <c r="R164" s="96"/>
      <c r="S164" s="96"/>
      <c r="T164" s="179"/>
      <c r="U164" s="178"/>
    </row>
    <row r="165" spans="1:21" s="87" customFormat="1" ht="22.5" customHeight="1" x14ac:dyDescent="0.25">
      <c r="A165" s="161"/>
      <c r="B165" s="169"/>
      <c r="C165" s="169"/>
      <c r="D165" s="161"/>
      <c r="E165" s="90"/>
      <c r="F165" s="90"/>
      <c r="G165" s="90"/>
      <c r="H165" s="90"/>
      <c r="I165" s="90"/>
      <c r="J165" s="90"/>
      <c r="K165" s="90"/>
      <c r="L165" s="90"/>
      <c r="M165" s="90"/>
      <c r="N165" s="101"/>
      <c r="O165" s="98"/>
      <c r="P165" s="99"/>
      <c r="Q165" s="90"/>
      <c r="R165" s="105"/>
      <c r="S165" s="105"/>
      <c r="T165" s="179"/>
      <c r="U165" s="178"/>
    </row>
    <row r="166" spans="1:21" s="87" customFormat="1" ht="22.5" customHeight="1" x14ac:dyDescent="0.25">
      <c r="A166" s="162"/>
      <c r="B166" s="170"/>
      <c r="C166" s="170"/>
      <c r="D166" s="162"/>
      <c r="E166" s="90"/>
      <c r="F166" s="90"/>
      <c r="G166" s="90"/>
      <c r="H166" s="90"/>
      <c r="I166" s="90"/>
      <c r="J166" s="90"/>
      <c r="K166" s="90"/>
      <c r="L166" s="90"/>
      <c r="M166" s="90"/>
      <c r="N166" s="101"/>
      <c r="O166" s="98"/>
      <c r="P166" s="99"/>
      <c r="Q166" s="90"/>
      <c r="R166" s="105"/>
      <c r="S166" s="105"/>
      <c r="T166" s="179"/>
      <c r="U166" s="178"/>
    </row>
    <row r="167" spans="1:21" s="87" customFormat="1" ht="22.5" customHeight="1" x14ac:dyDescent="0.25">
      <c r="A167" s="160">
        <v>53</v>
      </c>
      <c r="B167" s="168" t="str">
        <f>未定价清单!B52</f>
        <v>SHT0015886</v>
      </c>
      <c r="C167" s="168" t="str">
        <f>未定价清单!C52</f>
        <v>侧翼支撑上安装钢丝H4-2.2</v>
      </c>
      <c r="D167" s="160"/>
      <c r="E167" s="89">
        <v>1</v>
      </c>
      <c r="F167" s="89" t="s">
        <v>27</v>
      </c>
      <c r="G167" s="89">
        <v>6</v>
      </c>
      <c r="H167" s="89"/>
      <c r="I167" s="90">
        <f>8.55/1.13</f>
        <v>7.5663716814159301</v>
      </c>
      <c r="J167" s="89"/>
      <c r="K167" s="41">
        <f>未定价清单!G52</f>
        <v>6.3299999999999995E-2</v>
      </c>
      <c r="L167" s="90">
        <f>K167</f>
        <v>6.3299999999999995E-2</v>
      </c>
      <c r="M167" s="90">
        <v>0</v>
      </c>
      <c r="N167" s="95">
        <f>(I167*K167-J167*M167)*E167</f>
        <v>0.47895132743362834</v>
      </c>
      <c r="O167" s="90" t="s">
        <v>194</v>
      </c>
      <c r="P167" s="90"/>
      <c r="Q167" s="90"/>
      <c r="R167" s="105"/>
      <c r="S167" s="105"/>
      <c r="T167" s="179">
        <f>N167</f>
        <v>0.47895132743362834</v>
      </c>
      <c r="U167" s="178"/>
    </row>
    <row r="168" spans="1:21" s="87" customFormat="1" ht="22.5" customHeight="1" x14ac:dyDescent="0.25">
      <c r="A168" s="161"/>
      <c r="B168" s="169"/>
      <c r="C168" s="169"/>
      <c r="D168" s="161"/>
      <c r="E168" s="89"/>
      <c r="F168" s="89"/>
      <c r="G168" s="89"/>
      <c r="H168" s="89"/>
      <c r="I168" s="89"/>
      <c r="J168" s="89"/>
      <c r="K168" s="89"/>
      <c r="L168" s="89"/>
      <c r="M168" s="89"/>
      <c r="N168" s="100"/>
      <c r="O168" s="96"/>
      <c r="P168" s="96"/>
      <c r="Q168" s="96"/>
      <c r="R168" s="96"/>
      <c r="S168" s="96"/>
      <c r="T168" s="179"/>
      <c r="U168" s="178"/>
    </row>
    <row r="169" spans="1:21" s="87" customFormat="1" ht="22.5" customHeight="1" x14ac:dyDescent="0.25">
      <c r="A169" s="161"/>
      <c r="B169" s="169"/>
      <c r="C169" s="169"/>
      <c r="D169" s="161"/>
      <c r="E169" s="90"/>
      <c r="F169" s="90"/>
      <c r="G169" s="90"/>
      <c r="H169" s="90"/>
      <c r="I169" s="90"/>
      <c r="J169" s="90"/>
      <c r="K169" s="90"/>
      <c r="L169" s="90"/>
      <c r="M169" s="90"/>
      <c r="N169" s="101"/>
      <c r="O169" s="98"/>
      <c r="P169" s="99"/>
      <c r="Q169" s="90"/>
      <c r="R169" s="105"/>
      <c r="S169" s="105"/>
      <c r="T169" s="179"/>
      <c r="U169" s="178"/>
    </row>
    <row r="170" spans="1:21" s="87" customFormat="1" ht="22.5" customHeight="1" x14ac:dyDescent="0.25">
      <c r="A170" s="162"/>
      <c r="B170" s="170"/>
      <c r="C170" s="170"/>
      <c r="D170" s="162"/>
      <c r="E170" s="90"/>
      <c r="F170" s="90"/>
      <c r="G170" s="90"/>
      <c r="H170" s="90"/>
      <c r="I170" s="90"/>
      <c r="J170" s="90"/>
      <c r="K170" s="90"/>
      <c r="L170" s="90"/>
      <c r="M170" s="90"/>
      <c r="N170" s="101"/>
      <c r="O170" s="98"/>
      <c r="P170" s="99"/>
      <c r="Q170" s="90"/>
      <c r="R170" s="105"/>
      <c r="S170" s="105"/>
      <c r="T170" s="179"/>
      <c r="U170" s="178"/>
    </row>
    <row r="171" spans="1:21" s="87" customFormat="1" ht="22.5" customHeight="1" x14ac:dyDescent="0.25">
      <c r="A171" s="160">
        <v>54</v>
      </c>
      <c r="B171" s="168" t="str">
        <f>未定价清单!B53</f>
        <v>SCS0010765</v>
      </c>
      <c r="C171" s="168" t="str">
        <f>未定价清单!C53</f>
        <v>靠背侧翼支撑钢丝-左</v>
      </c>
      <c r="D171" s="160"/>
      <c r="E171" s="89">
        <v>1</v>
      </c>
      <c r="F171" s="89" t="s">
        <v>27</v>
      </c>
      <c r="G171" s="89">
        <v>5</v>
      </c>
      <c r="H171" s="89"/>
      <c r="I171" s="90">
        <f>8.55/1.13</f>
        <v>7.5663716814159301</v>
      </c>
      <c r="J171" s="89"/>
      <c r="K171" s="41">
        <f>未定价清单!G53</f>
        <v>5.1200000000000002E-2</v>
      </c>
      <c r="L171" s="90">
        <f>K171</f>
        <v>5.1200000000000002E-2</v>
      </c>
      <c r="M171" s="90">
        <v>0</v>
      </c>
      <c r="N171" s="95">
        <f>(I171*K171-J171*M171)*E171</f>
        <v>0.38739823008849567</v>
      </c>
      <c r="O171" s="90" t="s">
        <v>194</v>
      </c>
      <c r="P171" s="90"/>
      <c r="Q171" s="90"/>
      <c r="R171" s="105"/>
      <c r="S171" s="105"/>
      <c r="T171" s="179">
        <f>N171</f>
        <v>0.38739823008849567</v>
      </c>
      <c r="U171" s="178"/>
    </row>
    <row r="172" spans="1:21" s="87" customFormat="1" ht="22.5" customHeight="1" x14ac:dyDescent="0.25">
      <c r="A172" s="161"/>
      <c r="B172" s="169"/>
      <c r="C172" s="169"/>
      <c r="D172" s="161"/>
      <c r="E172" s="89"/>
      <c r="F172" s="89"/>
      <c r="G172" s="89"/>
      <c r="H172" s="89"/>
      <c r="I172" s="89"/>
      <c r="J172" s="89"/>
      <c r="K172" s="89"/>
      <c r="L172" s="89"/>
      <c r="M172" s="89"/>
      <c r="N172" s="100"/>
      <c r="O172" s="96"/>
      <c r="P172" s="96"/>
      <c r="Q172" s="96"/>
      <c r="R172" s="96"/>
      <c r="S172" s="96"/>
      <c r="T172" s="179"/>
      <c r="U172" s="178"/>
    </row>
    <row r="173" spans="1:21" s="87" customFormat="1" ht="22.5" customHeight="1" x14ac:dyDescent="0.25">
      <c r="A173" s="161"/>
      <c r="B173" s="169"/>
      <c r="C173" s="169"/>
      <c r="D173" s="161"/>
      <c r="E173" s="90"/>
      <c r="F173" s="90"/>
      <c r="G173" s="90"/>
      <c r="H173" s="90"/>
      <c r="I173" s="90"/>
      <c r="J173" s="90"/>
      <c r="K173" s="90"/>
      <c r="L173" s="90"/>
      <c r="M173" s="90"/>
      <c r="N173" s="101"/>
      <c r="O173" s="98"/>
      <c r="P173" s="99"/>
      <c r="Q173" s="90"/>
      <c r="R173" s="105"/>
      <c r="S173" s="105"/>
      <c r="T173" s="179"/>
      <c r="U173" s="178"/>
    </row>
    <row r="174" spans="1:21" s="87" customFormat="1" ht="22.5" customHeight="1" x14ac:dyDescent="0.25">
      <c r="A174" s="162"/>
      <c r="B174" s="170"/>
      <c r="C174" s="170"/>
      <c r="D174" s="162"/>
      <c r="E174" s="90"/>
      <c r="F174" s="90"/>
      <c r="G174" s="90"/>
      <c r="H174" s="90"/>
      <c r="I174" s="90"/>
      <c r="J174" s="90"/>
      <c r="K174" s="90"/>
      <c r="L174" s="90"/>
      <c r="M174" s="90"/>
      <c r="N174" s="101"/>
      <c r="O174" s="98"/>
      <c r="P174" s="99"/>
      <c r="Q174" s="90"/>
      <c r="R174" s="105"/>
      <c r="S174" s="105"/>
      <c r="T174" s="179"/>
      <c r="U174" s="178"/>
    </row>
    <row r="175" spans="1:21" s="87" customFormat="1" ht="22.5" customHeight="1" x14ac:dyDescent="0.25">
      <c r="A175" s="160">
        <v>55</v>
      </c>
      <c r="B175" s="168" t="str">
        <f>未定价清单!B54</f>
        <v>SLT0002546</v>
      </c>
      <c r="C175" s="168" t="str">
        <f>未定价清单!C54</f>
        <v>靠背调角器涡簧J7F/虎V靠背骨架</v>
      </c>
      <c r="D175" s="160"/>
      <c r="E175" s="89">
        <v>1</v>
      </c>
      <c r="F175" s="89" t="s">
        <v>61</v>
      </c>
      <c r="G175" s="89" t="s">
        <v>208</v>
      </c>
      <c r="H175" s="89"/>
      <c r="I175" s="90">
        <v>8.5</v>
      </c>
      <c r="J175" s="89"/>
      <c r="K175" s="41">
        <v>0.13300000000000001</v>
      </c>
      <c r="L175" s="90">
        <f>K175</f>
        <v>0.13300000000000001</v>
      </c>
      <c r="M175" s="90">
        <v>0</v>
      </c>
      <c r="N175" s="95">
        <f>(I175*K175-J175*M175)*E175</f>
        <v>1.1305000000000001</v>
      </c>
      <c r="O175" s="13" t="s">
        <v>197</v>
      </c>
      <c r="P175" s="13"/>
      <c r="Q175" s="13">
        <v>1</v>
      </c>
      <c r="R175" s="106">
        <v>0.15</v>
      </c>
      <c r="S175" s="106">
        <f t="shared" ref="S175:S177" si="3">R175*Q175</f>
        <v>0.15</v>
      </c>
      <c r="T175" s="185">
        <f>(N175+S175+S176+S177+S178)*1.12</f>
        <v>1.62456</v>
      </c>
      <c r="U175" s="178"/>
    </row>
    <row r="176" spans="1:21" s="87" customFormat="1" ht="22.5" customHeight="1" x14ac:dyDescent="0.25">
      <c r="A176" s="161"/>
      <c r="B176" s="169"/>
      <c r="C176" s="169"/>
      <c r="D176" s="161"/>
      <c r="E176" s="89"/>
      <c r="F176" s="89"/>
      <c r="G176" s="89"/>
      <c r="H176" s="89"/>
      <c r="I176" s="89"/>
      <c r="J176" s="89"/>
      <c r="K176" s="89"/>
      <c r="L176" s="89"/>
      <c r="M176" s="89"/>
      <c r="N176" s="100"/>
      <c r="O176" s="73" t="s">
        <v>198</v>
      </c>
      <c r="P176" s="103"/>
      <c r="Q176" s="103">
        <v>1</v>
      </c>
      <c r="R176" s="106">
        <v>0.05</v>
      </c>
      <c r="S176" s="106">
        <f t="shared" si="3"/>
        <v>0.05</v>
      </c>
      <c r="T176" s="186"/>
      <c r="U176" s="178"/>
    </row>
    <row r="177" spans="1:21" s="87" customFormat="1" ht="22.5" customHeight="1" x14ac:dyDescent="0.25">
      <c r="A177" s="161"/>
      <c r="B177" s="169"/>
      <c r="C177" s="169"/>
      <c r="D177" s="161"/>
      <c r="E177" s="90"/>
      <c r="F177" s="90"/>
      <c r="G177" s="90"/>
      <c r="H177" s="90"/>
      <c r="I177" s="90"/>
      <c r="J177" s="90"/>
      <c r="K177" s="90"/>
      <c r="L177" s="90"/>
      <c r="M177" s="90"/>
      <c r="N177" s="101"/>
      <c r="O177" s="73" t="s">
        <v>199</v>
      </c>
      <c r="P177" s="103"/>
      <c r="Q177" s="103">
        <v>1</v>
      </c>
      <c r="R177" s="106">
        <v>0.1</v>
      </c>
      <c r="S177" s="106">
        <f t="shared" si="3"/>
        <v>0.1</v>
      </c>
      <c r="T177" s="186"/>
      <c r="U177" s="178"/>
    </row>
    <row r="178" spans="1:21" s="87" customFormat="1" ht="22.5" customHeight="1" x14ac:dyDescent="0.25">
      <c r="A178" s="162"/>
      <c r="B178" s="170"/>
      <c r="C178" s="170"/>
      <c r="D178" s="162"/>
      <c r="E178" s="90"/>
      <c r="F178" s="90"/>
      <c r="G178" s="90"/>
      <c r="H178" s="90"/>
      <c r="I178" s="90"/>
      <c r="J178" s="90"/>
      <c r="K178" s="90"/>
      <c r="L178" s="90"/>
      <c r="M178" s="90"/>
      <c r="N178" s="101"/>
      <c r="O178" s="73" t="s">
        <v>200</v>
      </c>
      <c r="P178" s="103"/>
      <c r="Q178" s="103">
        <v>1</v>
      </c>
      <c r="R178" s="106">
        <v>0.02</v>
      </c>
      <c r="S178" s="106">
        <v>0.02</v>
      </c>
      <c r="T178" s="187"/>
      <c r="U178" s="178"/>
    </row>
    <row r="179" spans="1:21" s="87" customFormat="1" ht="22.5" customHeight="1" x14ac:dyDescent="0.25">
      <c r="A179" s="160">
        <v>56</v>
      </c>
      <c r="B179" s="168" t="str">
        <f>未定价清单!B55</f>
        <v>SCS0011681</v>
      </c>
      <c r="C179" s="168" t="str">
        <f>未定价清单!C55</f>
        <v>靠背复位卷簧6801506X0001A</v>
      </c>
      <c r="D179" s="160"/>
      <c r="E179" s="89">
        <v>1</v>
      </c>
      <c r="F179" s="89" t="s">
        <v>61</v>
      </c>
      <c r="G179" s="89"/>
      <c r="H179" s="89"/>
      <c r="I179" s="90">
        <v>8.5</v>
      </c>
      <c r="J179" s="89"/>
      <c r="K179" s="41">
        <f>未定价清单!G55</f>
        <v>0.1431</v>
      </c>
      <c r="L179" s="90">
        <f>K179</f>
        <v>0.1431</v>
      </c>
      <c r="M179" s="90">
        <v>0</v>
      </c>
      <c r="N179" s="95">
        <f>(I179*K179-J179*M179)*E179</f>
        <v>1.21635</v>
      </c>
      <c r="O179" s="13" t="s">
        <v>197</v>
      </c>
      <c r="P179" s="13"/>
      <c r="Q179" s="13">
        <v>1</v>
      </c>
      <c r="R179" s="106">
        <v>0.16</v>
      </c>
      <c r="S179" s="106">
        <f t="shared" ref="S179:S181" si="4">R179*Q179</f>
        <v>0.16</v>
      </c>
      <c r="T179" s="185">
        <f>(N179+S179+S180+S181+S182)*1.12</f>
        <v>1.7319120000000003</v>
      </c>
      <c r="U179" s="178"/>
    </row>
    <row r="180" spans="1:21" s="87" customFormat="1" ht="22.5" customHeight="1" x14ac:dyDescent="0.25">
      <c r="A180" s="161"/>
      <c r="B180" s="169"/>
      <c r="C180" s="169"/>
      <c r="D180" s="161"/>
      <c r="E180" s="89"/>
      <c r="F180" s="89"/>
      <c r="G180" s="89"/>
      <c r="H180" s="89"/>
      <c r="I180" s="89"/>
      <c r="J180" s="89"/>
      <c r="K180" s="89"/>
      <c r="L180" s="89"/>
      <c r="M180" s="89"/>
      <c r="N180" s="100"/>
      <c r="O180" s="73" t="s">
        <v>198</v>
      </c>
      <c r="P180" s="103"/>
      <c r="Q180" s="103">
        <v>1</v>
      </c>
      <c r="R180" s="106">
        <v>0.05</v>
      </c>
      <c r="S180" s="106">
        <f t="shared" si="4"/>
        <v>0.05</v>
      </c>
      <c r="T180" s="186"/>
      <c r="U180" s="178"/>
    </row>
    <row r="181" spans="1:21" s="87" customFormat="1" ht="22.5" customHeight="1" x14ac:dyDescent="0.25">
      <c r="A181" s="161"/>
      <c r="B181" s="169"/>
      <c r="C181" s="169"/>
      <c r="D181" s="161"/>
      <c r="E181" s="90"/>
      <c r="F181" s="90"/>
      <c r="G181" s="90"/>
      <c r="H181" s="90"/>
      <c r="I181" s="90"/>
      <c r="J181" s="90"/>
      <c r="K181" s="90"/>
      <c r="L181" s="90"/>
      <c r="M181" s="90"/>
      <c r="N181" s="101"/>
      <c r="O181" s="73" t="s">
        <v>199</v>
      </c>
      <c r="P181" s="103"/>
      <c r="Q181" s="103">
        <v>1</v>
      </c>
      <c r="R181" s="106">
        <v>0.1</v>
      </c>
      <c r="S181" s="106">
        <f t="shared" si="4"/>
        <v>0.1</v>
      </c>
      <c r="T181" s="186"/>
      <c r="U181" s="178"/>
    </row>
    <row r="182" spans="1:21" s="87" customFormat="1" ht="22.5" customHeight="1" x14ac:dyDescent="0.25">
      <c r="A182" s="162"/>
      <c r="B182" s="170"/>
      <c r="C182" s="170"/>
      <c r="D182" s="162"/>
      <c r="E182" s="90"/>
      <c r="F182" s="90"/>
      <c r="G182" s="90"/>
      <c r="H182" s="90"/>
      <c r="I182" s="90"/>
      <c r="J182" s="90"/>
      <c r="K182" s="90"/>
      <c r="L182" s="90"/>
      <c r="M182" s="90"/>
      <c r="N182" s="101"/>
      <c r="O182" s="73" t="s">
        <v>200</v>
      </c>
      <c r="P182" s="103"/>
      <c r="Q182" s="103">
        <v>1</v>
      </c>
      <c r="R182" s="106">
        <v>0.02</v>
      </c>
      <c r="S182" s="106">
        <v>0.02</v>
      </c>
      <c r="T182" s="187"/>
      <c r="U182" s="178"/>
    </row>
    <row r="183" spans="1:21" s="87" customFormat="1" ht="22.5" customHeight="1" x14ac:dyDescent="0.25">
      <c r="A183" s="160">
        <v>57</v>
      </c>
      <c r="B183" s="168" t="str">
        <f>未定价清单!B56</f>
        <v>SCS0010584</v>
      </c>
      <c r="C183" s="168" t="str">
        <f>未定价清单!C56</f>
        <v>靠背面套固定钢丝-左</v>
      </c>
      <c r="D183" s="160"/>
      <c r="E183" s="89">
        <v>1</v>
      </c>
      <c r="F183" s="89" t="s">
        <v>27</v>
      </c>
      <c r="G183" s="89">
        <v>5</v>
      </c>
      <c r="H183" s="89"/>
      <c r="I183" s="90">
        <f>8.55/1.13</f>
        <v>7.5663716814159301</v>
      </c>
      <c r="J183" s="89"/>
      <c r="K183" s="41">
        <f>未定价清单!G56</f>
        <v>6.4199999999999993E-2</v>
      </c>
      <c r="L183" s="90">
        <f>K183</f>
        <v>6.4199999999999993E-2</v>
      </c>
      <c r="M183" s="90">
        <v>0</v>
      </c>
      <c r="N183" s="95">
        <f>(I183*K183-J183*M183)*E183</f>
        <v>0.48576106194690266</v>
      </c>
      <c r="O183" s="90" t="s">
        <v>194</v>
      </c>
      <c r="P183" s="90"/>
      <c r="Q183" s="90"/>
      <c r="R183" s="105"/>
      <c r="S183" s="105"/>
      <c r="T183" s="179">
        <f>N183</f>
        <v>0.48576106194690266</v>
      </c>
      <c r="U183" s="178"/>
    </row>
    <row r="184" spans="1:21" s="87" customFormat="1" ht="22.5" customHeight="1" x14ac:dyDescent="0.25">
      <c r="A184" s="161"/>
      <c r="B184" s="169"/>
      <c r="C184" s="169"/>
      <c r="D184" s="161"/>
      <c r="E184" s="89"/>
      <c r="F184" s="89"/>
      <c r="G184" s="89"/>
      <c r="H184" s="89"/>
      <c r="I184" s="89"/>
      <c r="J184" s="89"/>
      <c r="K184" s="89"/>
      <c r="L184" s="89"/>
      <c r="M184" s="89"/>
      <c r="N184" s="100"/>
      <c r="O184" s="96"/>
      <c r="P184" s="96"/>
      <c r="Q184" s="96"/>
      <c r="R184" s="96"/>
      <c r="S184" s="96"/>
      <c r="T184" s="179"/>
      <c r="U184" s="178"/>
    </row>
    <row r="185" spans="1:21" s="87" customFormat="1" ht="22.5" customHeight="1" x14ac:dyDescent="0.25">
      <c r="A185" s="161"/>
      <c r="B185" s="169"/>
      <c r="C185" s="169"/>
      <c r="D185" s="161"/>
      <c r="E185" s="90"/>
      <c r="F185" s="90"/>
      <c r="G185" s="90"/>
      <c r="H185" s="90"/>
      <c r="I185" s="90"/>
      <c r="J185" s="90"/>
      <c r="K185" s="90"/>
      <c r="L185" s="90"/>
      <c r="M185" s="90"/>
      <c r="N185" s="101"/>
      <c r="O185" s="98"/>
      <c r="P185" s="99"/>
      <c r="Q185" s="90"/>
      <c r="R185" s="105"/>
      <c r="S185" s="105"/>
      <c r="T185" s="179"/>
      <c r="U185" s="178"/>
    </row>
    <row r="186" spans="1:21" s="87" customFormat="1" ht="22.5" customHeight="1" x14ac:dyDescent="0.25">
      <c r="A186" s="162"/>
      <c r="B186" s="170"/>
      <c r="C186" s="170"/>
      <c r="D186" s="162"/>
      <c r="E186" s="90"/>
      <c r="F186" s="90"/>
      <c r="G186" s="90"/>
      <c r="H186" s="90"/>
      <c r="I186" s="90"/>
      <c r="J186" s="90"/>
      <c r="K186" s="90"/>
      <c r="L186" s="90"/>
      <c r="M186" s="90"/>
      <c r="N186" s="101"/>
      <c r="O186" s="98"/>
      <c r="P186" s="99"/>
      <c r="Q186" s="90"/>
      <c r="R186" s="105"/>
      <c r="S186" s="105"/>
      <c r="T186" s="179"/>
      <c r="U186" s="178"/>
    </row>
    <row r="187" spans="1:21" s="87" customFormat="1" ht="22.5" customHeight="1" x14ac:dyDescent="0.25">
      <c r="A187" s="160">
        <v>58</v>
      </c>
      <c r="B187" s="168" t="str">
        <f>未定价清单!B57</f>
        <v>SCS0007588</v>
      </c>
      <c r="C187" s="168" t="str">
        <f>未定价清单!C57</f>
        <v>快拆涡状扭簧</v>
      </c>
      <c r="D187" s="160"/>
      <c r="E187" s="89">
        <v>1</v>
      </c>
      <c r="F187" s="89" t="s">
        <v>61</v>
      </c>
      <c r="G187" s="89">
        <v>2.5</v>
      </c>
      <c r="H187" s="89"/>
      <c r="I187" s="90">
        <v>8.5</v>
      </c>
      <c r="J187" s="89"/>
      <c r="K187" s="41">
        <v>0.188</v>
      </c>
      <c r="L187" s="90">
        <f>K187</f>
        <v>0.188</v>
      </c>
      <c r="M187" s="90">
        <v>0</v>
      </c>
      <c r="N187" s="95">
        <f>(I187*K187-J187*M187)*E187</f>
        <v>1.5980000000000001</v>
      </c>
      <c r="O187" s="13" t="s">
        <v>197</v>
      </c>
      <c r="P187" s="13"/>
      <c r="Q187" s="13">
        <v>1</v>
      </c>
      <c r="R187" s="106">
        <v>0.16</v>
      </c>
      <c r="S187" s="106">
        <f t="shared" ref="S187:S189" si="5">R187*Q187</f>
        <v>0.16</v>
      </c>
      <c r="T187" s="185">
        <f>(N187+S187+S188+S189+S190)*1.12</f>
        <v>2.1593599999999999</v>
      </c>
      <c r="U187" s="178"/>
    </row>
    <row r="188" spans="1:21" s="87" customFormat="1" ht="22.5" customHeight="1" x14ac:dyDescent="0.25">
      <c r="A188" s="161"/>
      <c r="B188" s="169"/>
      <c r="C188" s="169"/>
      <c r="D188" s="161"/>
      <c r="E188" s="89"/>
      <c r="F188" s="89"/>
      <c r="G188" s="89"/>
      <c r="H188" s="89"/>
      <c r="I188" s="89"/>
      <c r="J188" s="89"/>
      <c r="K188" s="89"/>
      <c r="L188" s="89"/>
      <c r="M188" s="89"/>
      <c r="N188" s="100"/>
      <c r="O188" s="73" t="s">
        <v>198</v>
      </c>
      <c r="P188" s="103"/>
      <c r="Q188" s="103">
        <v>1</v>
      </c>
      <c r="R188" s="106">
        <v>0.05</v>
      </c>
      <c r="S188" s="106">
        <f t="shared" si="5"/>
        <v>0.05</v>
      </c>
      <c r="T188" s="186"/>
      <c r="U188" s="178"/>
    </row>
    <row r="189" spans="1:21" s="87" customFormat="1" ht="22.5" customHeight="1" x14ac:dyDescent="0.25">
      <c r="A189" s="161"/>
      <c r="B189" s="169"/>
      <c r="C189" s="169"/>
      <c r="D189" s="161"/>
      <c r="E189" s="90"/>
      <c r="F189" s="90"/>
      <c r="G189" s="90"/>
      <c r="H189" s="90"/>
      <c r="I189" s="90"/>
      <c r="J189" s="90"/>
      <c r="K189" s="90"/>
      <c r="L189" s="90"/>
      <c r="M189" s="90"/>
      <c r="N189" s="101"/>
      <c r="O189" s="73" t="s">
        <v>199</v>
      </c>
      <c r="P189" s="103"/>
      <c r="Q189" s="103">
        <v>1</v>
      </c>
      <c r="R189" s="106">
        <v>0.1</v>
      </c>
      <c r="S189" s="106">
        <f t="shared" si="5"/>
        <v>0.1</v>
      </c>
      <c r="T189" s="186"/>
      <c r="U189" s="178"/>
    </row>
    <row r="190" spans="1:21" s="87" customFormat="1" ht="22.5" customHeight="1" x14ac:dyDescent="0.25">
      <c r="A190" s="162"/>
      <c r="B190" s="170"/>
      <c r="C190" s="170"/>
      <c r="D190" s="162"/>
      <c r="E190" s="90"/>
      <c r="F190" s="90"/>
      <c r="G190" s="90"/>
      <c r="H190" s="90"/>
      <c r="I190" s="90"/>
      <c r="J190" s="90"/>
      <c r="K190" s="90"/>
      <c r="L190" s="90"/>
      <c r="M190" s="90"/>
      <c r="N190" s="101"/>
      <c r="O190" s="73" t="s">
        <v>200</v>
      </c>
      <c r="P190" s="103"/>
      <c r="Q190" s="103">
        <v>1</v>
      </c>
      <c r="R190" s="106">
        <v>0.02</v>
      </c>
      <c r="S190" s="106">
        <v>0.02</v>
      </c>
      <c r="T190" s="187"/>
      <c r="U190" s="178"/>
    </row>
    <row r="191" spans="1:21" s="87" customFormat="1" ht="22.5" customHeight="1" x14ac:dyDescent="0.25">
      <c r="A191" s="160">
        <v>61</v>
      </c>
      <c r="B191" s="168" t="str">
        <f>未定价清单!B60</f>
        <v>SLT0000740</v>
      </c>
      <c r="C191" s="168" t="str">
        <f>未定价清单!C60</f>
        <v>钢丝2.5*160</v>
      </c>
      <c r="D191" s="160"/>
      <c r="E191" s="89">
        <v>1</v>
      </c>
      <c r="F191" s="89" t="s">
        <v>61</v>
      </c>
      <c r="G191" s="89"/>
      <c r="H191" s="89"/>
      <c r="I191" s="90">
        <v>11</v>
      </c>
      <c r="J191" s="89"/>
      <c r="K191" s="41">
        <f>未定价清单!G60</f>
        <v>6.1700000000000001E-3</v>
      </c>
      <c r="L191" s="90">
        <f>K191</f>
        <v>6.1700000000000001E-3</v>
      </c>
      <c r="M191" s="90">
        <v>0</v>
      </c>
      <c r="N191" s="95">
        <f>(I191*K191-J191*M191)*E191</f>
        <v>6.787E-2</v>
      </c>
      <c r="O191" s="90" t="s">
        <v>194</v>
      </c>
      <c r="P191" s="90"/>
      <c r="Q191" s="90"/>
      <c r="R191" s="105"/>
      <c r="S191" s="105"/>
      <c r="T191" s="179">
        <f>N191</f>
        <v>6.787E-2</v>
      </c>
      <c r="U191" s="178"/>
    </row>
    <row r="192" spans="1:21" s="87" customFormat="1" ht="22.5" customHeight="1" x14ac:dyDescent="0.25">
      <c r="A192" s="161"/>
      <c r="B192" s="169"/>
      <c r="C192" s="169"/>
      <c r="D192" s="161"/>
      <c r="E192" s="89"/>
      <c r="F192" s="89"/>
      <c r="G192" s="89"/>
      <c r="H192" s="89"/>
      <c r="I192" s="89"/>
      <c r="J192" s="89"/>
      <c r="K192" s="89"/>
      <c r="L192" s="89"/>
      <c r="M192" s="89"/>
      <c r="N192" s="100"/>
      <c r="O192" s="96"/>
      <c r="P192" s="96"/>
      <c r="Q192" s="96"/>
      <c r="R192" s="96"/>
      <c r="S192" s="96"/>
      <c r="T192" s="179"/>
      <c r="U192" s="178"/>
    </row>
    <row r="193" spans="1:21" s="87" customFormat="1" ht="22.5" customHeight="1" x14ac:dyDescent="0.25">
      <c r="A193" s="161"/>
      <c r="B193" s="169"/>
      <c r="C193" s="169"/>
      <c r="D193" s="161"/>
      <c r="E193" s="90"/>
      <c r="F193" s="90"/>
      <c r="G193" s="90"/>
      <c r="H193" s="90"/>
      <c r="I193" s="90"/>
      <c r="J193" s="90"/>
      <c r="K193" s="90"/>
      <c r="L193" s="90"/>
      <c r="M193" s="90"/>
      <c r="N193" s="101"/>
      <c r="O193" s="98"/>
      <c r="P193" s="99"/>
      <c r="Q193" s="90"/>
      <c r="R193" s="105"/>
      <c r="S193" s="105"/>
      <c r="T193" s="179"/>
      <c r="U193" s="178"/>
    </row>
    <row r="194" spans="1:21" s="87" customFormat="1" ht="22.5" customHeight="1" x14ac:dyDescent="0.25">
      <c r="A194" s="162"/>
      <c r="B194" s="170"/>
      <c r="C194" s="170"/>
      <c r="D194" s="162"/>
      <c r="E194" s="90"/>
      <c r="F194" s="90"/>
      <c r="G194" s="90"/>
      <c r="H194" s="90"/>
      <c r="I194" s="90"/>
      <c r="J194" s="90"/>
      <c r="K194" s="90"/>
      <c r="L194" s="90"/>
      <c r="M194" s="90"/>
      <c r="N194" s="101"/>
      <c r="O194" s="98"/>
      <c r="P194" s="99"/>
      <c r="Q194" s="90"/>
      <c r="R194" s="105"/>
      <c r="S194" s="105"/>
      <c r="T194" s="179"/>
      <c r="U194" s="178"/>
    </row>
    <row r="195" spans="1:21" s="87" customFormat="1" ht="22.5" customHeight="1" x14ac:dyDescent="0.25">
      <c r="A195" s="160">
        <v>62</v>
      </c>
      <c r="B195" s="168" t="str">
        <f>未定价清单!B61</f>
        <v>SLT0001093</v>
      </c>
      <c r="C195" s="168" t="str">
        <f>未定价清单!C61</f>
        <v>钢丝2.5*270</v>
      </c>
      <c r="D195" s="160"/>
      <c r="E195" s="89">
        <v>1</v>
      </c>
      <c r="F195" s="89" t="s">
        <v>61</v>
      </c>
      <c r="G195" s="89"/>
      <c r="H195" s="89"/>
      <c r="I195" s="90">
        <v>11</v>
      </c>
      <c r="J195" s="89"/>
      <c r="K195" s="41">
        <f>未定价清单!G61</f>
        <v>1.0411875000000001E-2</v>
      </c>
      <c r="L195" s="90">
        <f>K195</f>
        <v>1.0411875000000001E-2</v>
      </c>
      <c r="M195" s="90">
        <v>0</v>
      </c>
      <c r="N195" s="95">
        <f>(I195*K195-J195*M195)*E195</f>
        <v>0.11453062500000001</v>
      </c>
      <c r="O195" s="90" t="s">
        <v>194</v>
      </c>
      <c r="P195" s="90"/>
      <c r="Q195" s="90"/>
      <c r="R195" s="105"/>
      <c r="S195" s="105"/>
      <c r="T195" s="179">
        <f>N195</f>
        <v>0.11453062500000001</v>
      </c>
      <c r="U195" s="178"/>
    </row>
    <row r="196" spans="1:21" s="87" customFormat="1" ht="22.5" customHeight="1" x14ac:dyDescent="0.25">
      <c r="A196" s="161"/>
      <c r="B196" s="169"/>
      <c r="C196" s="169"/>
      <c r="D196" s="161"/>
      <c r="E196" s="89"/>
      <c r="F196" s="89"/>
      <c r="G196" s="89"/>
      <c r="H196" s="89"/>
      <c r="I196" s="89"/>
      <c r="J196" s="89"/>
      <c r="K196" s="89"/>
      <c r="L196" s="89"/>
      <c r="M196" s="89"/>
      <c r="N196" s="100"/>
      <c r="O196" s="96"/>
      <c r="P196" s="96"/>
      <c r="Q196" s="96"/>
      <c r="R196" s="96"/>
      <c r="S196" s="96"/>
      <c r="T196" s="179"/>
      <c r="U196" s="178"/>
    </row>
    <row r="197" spans="1:21" s="87" customFormat="1" ht="22.5" customHeight="1" x14ac:dyDescent="0.25">
      <c r="A197" s="161"/>
      <c r="B197" s="169"/>
      <c r="C197" s="169"/>
      <c r="D197" s="161"/>
      <c r="E197" s="90"/>
      <c r="F197" s="90"/>
      <c r="G197" s="90"/>
      <c r="H197" s="90"/>
      <c r="I197" s="90"/>
      <c r="J197" s="90"/>
      <c r="K197" s="90"/>
      <c r="L197" s="90"/>
      <c r="M197" s="90"/>
      <c r="N197" s="101"/>
      <c r="O197" s="98"/>
      <c r="P197" s="99"/>
      <c r="Q197" s="90"/>
      <c r="R197" s="105"/>
      <c r="S197" s="105"/>
      <c r="T197" s="179"/>
      <c r="U197" s="178"/>
    </row>
    <row r="198" spans="1:21" s="87" customFormat="1" ht="22.5" customHeight="1" x14ac:dyDescent="0.25">
      <c r="A198" s="162"/>
      <c r="B198" s="170"/>
      <c r="C198" s="170"/>
      <c r="D198" s="162"/>
      <c r="E198" s="90"/>
      <c r="F198" s="90"/>
      <c r="G198" s="90"/>
      <c r="H198" s="90"/>
      <c r="I198" s="90"/>
      <c r="J198" s="90"/>
      <c r="K198" s="90"/>
      <c r="L198" s="90"/>
      <c r="M198" s="90"/>
      <c r="N198" s="101"/>
      <c r="O198" s="98"/>
      <c r="P198" s="99"/>
      <c r="Q198" s="90"/>
      <c r="R198" s="105"/>
      <c r="S198" s="105"/>
      <c r="T198" s="179"/>
      <c r="U198" s="178"/>
    </row>
    <row r="199" spans="1:21" s="87" customFormat="1" ht="22.5" customHeight="1" x14ac:dyDescent="0.25">
      <c r="A199" s="160">
        <v>63</v>
      </c>
      <c r="B199" s="168" t="str">
        <f>未定价清单!B62</f>
        <v>SLT0001126</v>
      </c>
      <c r="C199" s="168" t="str">
        <f>未定价清单!C62</f>
        <v>钢丝2.5*400</v>
      </c>
      <c r="D199" s="160"/>
      <c r="E199" s="89">
        <v>1</v>
      </c>
      <c r="F199" s="89" t="s">
        <v>61</v>
      </c>
      <c r="G199" s="89"/>
      <c r="H199" s="89"/>
      <c r="I199" s="90">
        <v>11</v>
      </c>
      <c r="J199" s="89"/>
      <c r="K199" s="41">
        <f>未定价清单!G62</f>
        <v>1.5425000000000001E-2</v>
      </c>
      <c r="L199" s="90">
        <f>K199</f>
        <v>1.5425000000000001E-2</v>
      </c>
      <c r="M199" s="90">
        <v>0</v>
      </c>
      <c r="N199" s="95">
        <f>(I199*K199-J199*M199)*E199</f>
        <v>0.16967500000000002</v>
      </c>
      <c r="O199" s="90" t="s">
        <v>194</v>
      </c>
      <c r="P199" s="90"/>
      <c r="Q199" s="90"/>
      <c r="R199" s="105"/>
      <c r="S199" s="105"/>
      <c r="T199" s="179">
        <f>N199</f>
        <v>0.16967500000000002</v>
      </c>
      <c r="U199" s="178"/>
    </row>
    <row r="200" spans="1:21" s="87" customFormat="1" ht="22.5" customHeight="1" x14ac:dyDescent="0.25">
      <c r="A200" s="161"/>
      <c r="B200" s="169"/>
      <c r="C200" s="169"/>
      <c r="D200" s="161"/>
      <c r="E200" s="89"/>
      <c r="F200" s="89"/>
      <c r="G200" s="89"/>
      <c r="H200" s="89"/>
      <c r="I200" s="89"/>
      <c r="J200" s="89"/>
      <c r="K200" s="89"/>
      <c r="L200" s="89"/>
      <c r="M200" s="89"/>
      <c r="N200" s="100"/>
      <c r="O200" s="96"/>
      <c r="P200" s="96"/>
      <c r="Q200" s="96"/>
      <c r="R200" s="96"/>
      <c r="S200" s="96"/>
      <c r="T200" s="179"/>
      <c r="U200" s="178"/>
    </row>
    <row r="201" spans="1:21" s="87" customFormat="1" ht="22.5" customHeight="1" x14ac:dyDescent="0.25">
      <c r="A201" s="161"/>
      <c r="B201" s="169"/>
      <c r="C201" s="169"/>
      <c r="D201" s="161"/>
      <c r="E201" s="90"/>
      <c r="F201" s="90"/>
      <c r="G201" s="90"/>
      <c r="H201" s="90"/>
      <c r="I201" s="90"/>
      <c r="J201" s="90"/>
      <c r="K201" s="90"/>
      <c r="L201" s="90"/>
      <c r="M201" s="90"/>
      <c r="N201" s="101"/>
      <c r="O201" s="98"/>
      <c r="P201" s="99"/>
      <c r="Q201" s="90"/>
      <c r="R201" s="105"/>
      <c r="S201" s="105"/>
      <c r="T201" s="179"/>
      <c r="U201" s="178"/>
    </row>
    <row r="202" spans="1:21" s="87" customFormat="1" ht="22.5" customHeight="1" x14ac:dyDescent="0.25">
      <c r="A202" s="162"/>
      <c r="B202" s="170"/>
      <c r="C202" s="170"/>
      <c r="D202" s="162"/>
      <c r="E202" s="90"/>
      <c r="F202" s="90"/>
      <c r="G202" s="90"/>
      <c r="H202" s="90"/>
      <c r="I202" s="90"/>
      <c r="J202" s="90"/>
      <c r="K202" s="90"/>
      <c r="L202" s="90"/>
      <c r="M202" s="90"/>
      <c r="N202" s="101"/>
      <c r="O202" s="98"/>
      <c r="P202" s="99"/>
      <c r="Q202" s="90"/>
      <c r="R202" s="105"/>
      <c r="S202" s="105"/>
      <c r="T202" s="179"/>
      <c r="U202" s="178"/>
    </row>
    <row r="203" spans="1:21" s="86" customFormat="1" ht="22.5" customHeight="1" x14ac:dyDescent="0.25">
      <c r="A203" s="163">
        <v>64</v>
      </c>
      <c r="B203" s="168" t="s">
        <v>161</v>
      </c>
      <c r="C203" s="168" t="s">
        <v>162</v>
      </c>
      <c r="D203" s="163"/>
      <c r="E203" s="16">
        <v>1</v>
      </c>
      <c r="F203" s="16" t="s">
        <v>27</v>
      </c>
      <c r="G203" s="16">
        <v>8</v>
      </c>
      <c r="H203" s="16"/>
      <c r="I203" s="13">
        <f>8.55/1.13</f>
        <v>7.5663716814159301</v>
      </c>
      <c r="J203" s="16"/>
      <c r="K203" s="13">
        <v>3.6999999999999998E-2</v>
      </c>
      <c r="L203" s="13">
        <v>3.6999999999999998E-2</v>
      </c>
      <c r="M203" s="13">
        <f>K203-L203</f>
        <v>0</v>
      </c>
      <c r="N203" s="102">
        <f>(I203*K203-J203*M203)*E203</f>
        <v>0.279955752212389</v>
      </c>
      <c r="O203" s="13" t="s">
        <v>209</v>
      </c>
      <c r="P203" s="13"/>
      <c r="Q203" s="13">
        <v>1</v>
      </c>
      <c r="R203" s="106">
        <v>0.02</v>
      </c>
      <c r="S203" s="106">
        <f>R203*Q203</f>
        <v>0.02</v>
      </c>
      <c r="T203" s="177">
        <f>(S203+S204)*1.12+N203</f>
        <v>0.41435575221238902</v>
      </c>
      <c r="U203" s="178" t="s">
        <v>196</v>
      </c>
    </row>
    <row r="204" spans="1:21" s="86" customFormat="1" ht="22.5" customHeight="1" x14ac:dyDescent="0.25">
      <c r="A204" s="164"/>
      <c r="B204" s="169"/>
      <c r="C204" s="169"/>
      <c r="D204" s="164"/>
      <c r="E204" s="16"/>
      <c r="F204" s="16"/>
      <c r="G204" s="16"/>
      <c r="H204" s="16"/>
      <c r="I204" s="16"/>
      <c r="J204" s="16"/>
      <c r="K204" s="16"/>
      <c r="L204" s="16"/>
      <c r="M204" s="16"/>
      <c r="N204" s="102"/>
      <c r="O204" s="73" t="s">
        <v>210</v>
      </c>
      <c r="P204" s="103"/>
      <c r="Q204" s="13">
        <v>1</v>
      </c>
      <c r="R204" s="106">
        <v>0.1</v>
      </c>
      <c r="S204" s="106">
        <v>0.1</v>
      </c>
      <c r="T204" s="177"/>
      <c r="U204" s="178"/>
    </row>
    <row r="205" spans="1:21" s="86" customFormat="1" ht="22.5" customHeight="1" x14ac:dyDescent="0.25">
      <c r="A205" s="164"/>
      <c r="B205" s="169"/>
      <c r="C205" s="169"/>
      <c r="D205" s="164"/>
      <c r="E205" s="13"/>
      <c r="F205" s="13"/>
      <c r="G205" s="13"/>
      <c r="H205" s="13"/>
      <c r="I205" s="13"/>
      <c r="J205" s="13"/>
      <c r="K205" s="13"/>
      <c r="L205" s="13"/>
      <c r="M205" s="13"/>
      <c r="N205" s="91"/>
      <c r="O205" s="73"/>
      <c r="P205" s="103"/>
      <c r="Q205" s="13"/>
      <c r="R205" s="106"/>
      <c r="S205" s="106"/>
      <c r="T205" s="177"/>
      <c r="U205" s="178"/>
    </row>
    <row r="206" spans="1:21" s="86" customFormat="1" ht="22.5" customHeight="1" x14ac:dyDescent="0.25">
      <c r="A206" s="165"/>
      <c r="B206" s="170"/>
      <c r="C206" s="170"/>
      <c r="D206" s="165"/>
      <c r="E206" s="13"/>
      <c r="F206" s="13"/>
      <c r="G206" s="13"/>
      <c r="H206" s="13"/>
      <c r="I206" s="13"/>
      <c r="J206" s="13"/>
      <c r="K206" s="13"/>
      <c r="L206" s="13"/>
      <c r="M206" s="13"/>
      <c r="N206" s="91"/>
      <c r="O206" s="73"/>
      <c r="P206" s="103"/>
      <c r="Q206" s="13"/>
      <c r="R206" s="106"/>
      <c r="S206" s="106"/>
      <c r="T206" s="177"/>
      <c r="U206" s="178"/>
    </row>
    <row r="207" spans="1:21" s="86" customFormat="1" ht="22.5" customHeight="1" x14ac:dyDescent="0.25">
      <c r="A207" s="163">
        <v>65</v>
      </c>
      <c r="B207" s="168" t="s">
        <v>165</v>
      </c>
      <c r="C207" s="168" t="s">
        <v>166</v>
      </c>
      <c r="D207" s="163"/>
      <c r="E207" s="16">
        <v>1</v>
      </c>
      <c r="F207" s="16" t="s">
        <v>27</v>
      </c>
      <c r="G207" s="16">
        <v>8</v>
      </c>
      <c r="H207" s="16"/>
      <c r="I207" s="13">
        <f>8.55/1.13</f>
        <v>7.5663716814159301</v>
      </c>
      <c r="J207" s="16"/>
      <c r="K207" s="13">
        <v>4.02E-2</v>
      </c>
      <c r="L207" s="13">
        <v>4.02E-2</v>
      </c>
      <c r="M207" s="13">
        <f>K207-L207</f>
        <v>0</v>
      </c>
      <c r="N207" s="102">
        <f>(I207*K207-J207*M207)*E207</f>
        <v>0.30416814159291999</v>
      </c>
      <c r="O207" s="13" t="s">
        <v>209</v>
      </c>
      <c r="P207" s="13"/>
      <c r="Q207" s="13">
        <v>1</v>
      </c>
      <c r="R207" s="106">
        <v>0.02</v>
      </c>
      <c r="S207" s="106">
        <f>R207*Q207</f>
        <v>0.02</v>
      </c>
      <c r="T207" s="177">
        <f>(S207+S208+S209)*1.12+N207</f>
        <v>0.99856814159291996</v>
      </c>
      <c r="U207" s="178" t="s">
        <v>196</v>
      </c>
    </row>
    <row r="208" spans="1:21" s="86" customFormat="1" ht="22.5" customHeight="1" x14ac:dyDescent="0.25">
      <c r="A208" s="164"/>
      <c r="B208" s="169"/>
      <c r="C208" s="169"/>
      <c r="D208" s="164"/>
      <c r="E208" s="16"/>
      <c r="F208" s="16"/>
      <c r="G208" s="16"/>
      <c r="H208" s="16"/>
      <c r="I208" s="16"/>
      <c r="J208" s="16"/>
      <c r="K208" s="16"/>
      <c r="L208" s="16"/>
      <c r="M208" s="16"/>
      <c r="N208" s="102"/>
      <c r="O208" s="73" t="s">
        <v>210</v>
      </c>
      <c r="P208" s="103"/>
      <c r="Q208" s="13">
        <v>1</v>
      </c>
      <c r="R208" s="106">
        <v>0.1</v>
      </c>
      <c r="S208" s="106">
        <v>0.1</v>
      </c>
      <c r="T208" s="177"/>
      <c r="U208" s="178"/>
    </row>
    <row r="209" spans="1:21" s="86" customFormat="1" ht="22.5" customHeight="1" x14ac:dyDescent="0.25">
      <c r="A209" s="164"/>
      <c r="B209" s="169"/>
      <c r="C209" s="169"/>
      <c r="D209" s="164"/>
      <c r="E209" s="13"/>
      <c r="F209" s="13"/>
      <c r="G209" s="13"/>
      <c r="H209" s="13"/>
      <c r="I209" s="13"/>
      <c r="J209" s="13"/>
      <c r="K209" s="13"/>
      <c r="L209" s="13"/>
      <c r="M209" s="13"/>
      <c r="N209" s="91"/>
      <c r="O209" s="73" t="s">
        <v>211</v>
      </c>
      <c r="P209" s="103"/>
      <c r="Q209" s="13">
        <v>1</v>
      </c>
      <c r="R209" s="106">
        <v>0.5</v>
      </c>
      <c r="S209" s="106">
        <v>0.5</v>
      </c>
      <c r="T209" s="177"/>
      <c r="U209" s="178"/>
    </row>
    <row r="210" spans="1:21" s="86" customFormat="1" ht="22.5" customHeight="1" x14ac:dyDescent="0.25">
      <c r="A210" s="165"/>
      <c r="B210" s="170"/>
      <c r="C210" s="170"/>
      <c r="D210" s="165"/>
      <c r="E210" s="13"/>
      <c r="F210" s="13"/>
      <c r="G210" s="13"/>
      <c r="H210" s="13"/>
      <c r="I210" s="13"/>
      <c r="J210" s="13"/>
      <c r="K210" s="13"/>
      <c r="L210" s="13"/>
      <c r="M210" s="13"/>
      <c r="N210" s="91"/>
      <c r="O210" s="73"/>
      <c r="P210" s="103"/>
      <c r="Q210" s="13"/>
      <c r="R210" s="106"/>
      <c r="S210" s="106"/>
      <c r="T210" s="177"/>
      <c r="U210" s="178"/>
    </row>
    <row r="211" spans="1:21" s="86" customFormat="1" ht="22.5" customHeight="1" x14ac:dyDescent="0.25">
      <c r="A211" s="163">
        <v>66</v>
      </c>
      <c r="B211" s="168" t="str">
        <f>未定价清单!B65</f>
        <v>SLT001224</v>
      </c>
      <c r="C211" s="168" t="str">
        <f>未定价清单!C65</f>
        <v>安全带锁扣限位柱(Q235 8*20)</v>
      </c>
      <c r="D211" s="163"/>
      <c r="E211" s="16">
        <v>1</v>
      </c>
      <c r="F211" s="16" t="s">
        <v>27</v>
      </c>
      <c r="G211" s="16">
        <v>8</v>
      </c>
      <c r="H211" s="16"/>
      <c r="I211" s="13">
        <f>8.55/1.13</f>
        <v>7.5663716814159301</v>
      </c>
      <c r="J211" s="16"/>
      <c r="K211" s="13">
        <f>未定价清单!G65</f>
        <v>8.0000000000000002E-3</v>
      </c>
      <c r="L211" s="13">
        <v>8.0000000000000002E-3</v>
      </c>
      <c r="M211" s="13">
        <f>K211-L211</f>
        <v>0</v>
      </c>
      <c r="N211" s="102">
        <f>(I211*K211-J211*M211)*E211</f>
        <v>6.0530973451327443E-2</v>
      </c>
      <c r="O211" s="13" t="s">
        <v>209</v>
      </c>
      <c r="P211" s="13"/>
      <c r="Q211" s="13">
        <v>1</v>
      </c>
      <c r="R211" s="106">
        <v>0.02</v>
      </c>
      <c r="S211" s="106">
        <f>R211*Q211</f>
        <v>0.02</v>
      </c>
      <c r="T211" s="181">
        <f>(S211+S212+S213)*1.12+N211</f>
        <v>0.13893097345132746</v>
      </c>
      <c r="U211" s="178" t="s">
        <v>196</v>
      </c>
    </row>
    <row r="212" spans="1:21" s="86" customFormat="1" ht="22.5" customHeight="1" x14ac:dyDescent="0.25">
      <c r="A212" s="164"/>
      <c r="B212" s="169"/>
      <c r="C212" s="169"/>
      <c r="D212" s="164"/>
      <c r="E212" s="16"/>
      <c r="F212" s="16"/>
      <c r="G212" s="16"/>
      <c r="H212" s="16"/>
      <c r="I212" s="16"/>
      <c r="J212" s="16"/>
      <c r="K212" s="16"/>
      <c r="L212" s="16"/>
      <c r="M212" s="16"/>
      <c r="N212" s="102"/>
      <c r="O212" s="73" t="s">
        <v>210</v>
      </c>
      <c r="P212" s="103"/>
      <c r="Q212" s="13">
        <v>1</v>
      </c>
      <c r="R212" s="106">
        <v>0.05</v>
      </c>
      <c r="S212" s="106">
        <v>0.05</v>
      </c>
      <c r="T212" s="181"/>
      <c r="U212" s="178"/>
    </row>
    <row r="213" spans="1:21" s="86" customFormat="1" ht="22.5" customHeight="1" x14ac:dyDescent="0.25">
      <c r="A213" s="164"/>
      <c r="B213" s="169"/>
      <c r="C213" s="169"/>
      <c r="D213" s="164"/>
      <c r="E213" s="13"/>
      <c r="F213" s="13"/>
      <c r="G213" s="13"/>
      <c r="H213" s="13"/>
      <c r="I213" s="13"/>
      <c r="J213" s="13"/>
      <c r="K213" s="13"/>
      <c r="L213" s="13"/>
      <c r="M213" s="13"/>
      <c r="N213" s="91"/>
      <c r="O213" s="73"/>
      <c r="P213" s="103"/>
      <c r="Q213" s="13"/>
      <c r="R213" s="106"/>
      <c r="S213" s="106"/>
      <c r="T213" s="181"/>
      <c r="U213" s="178"/>
    </row>
    <row r="214" spans="1:21" s="86" customFormat="1" ht="22.5" customHeight="1" x14ac:dyDescent="0.25">
      <c r="A214" s="165"/>
      <c r="B214" s="170"/>
      <c r="C214" s="170"/>
      <c r="D214" s="165"/>
      <c r="E214" s="13"/>
      <c r="F214" s="13"/>
      <c r="G214" s="13"/>
      <c r="H214" s="13"/>
      <c r="I214" s="13"/>
      <c r="J214" s="13"/>
      <c r="K214" s="13"/>
      <c r="L214" s="13"/>
      <c r="M214" s="13"/>
      <c r="N214" s="91"/>
      <c r="O214" s="73"/>
      <c r="P214" s="103"/>
      <c r="Q214" s="13"/>
      <c r="R214" s="106"/>
      <c r="S214" s="106"/>
      <c r="T214" s="181"/>
      <c r="U214" s="178"/>
    </row>
    <row r="215" spans="1:21" s="87" customFormat="1" ht="22.5" customHeight="1" x14ac:dyDescent="0.25">
      <c r="A215" s="160">
        <v>67</v>
      </c>
      <c r="B215" s="172" t="s">
        <v>171</v>
      </c>
      <c r="C215" s="168" t="s">
        <v>172</v>
      </c>
      <c r="D215" s="163"/>
      <c r="E215" s="89">
        <v>1</v>
      </c>
      <c r="F215" s="89" t="s">
        <v>61</v>
      </c>
      <c r="G215" s="89">
        <v>2</v>
      </c>
      <c r="H215" s="89"/>
      <c r="I215" s="90">
        <v>8</v>
      </c>
      <c r="J215" s="89"/>
      <c r="K215" s="90">
        <v>5.7000000000000002E-3</v>
      </c>
      <c r="L215" s="90">
        <v>5.7000000000000002E-3</v>
      </c>
      <c r="M215" s="90">
        <f>K215-L215</f>
        <v>0</v>
      </c>
      <c r="N215" s="100">
        <f>(I215*K215-J215*M215)*E215</f>
        <v>4.5600000000000002E-2</v>
      </c>
      <c r="O215" s="90" t="s">
        <v>201</v>
      </c>
      <c r="P215" s="90"/>
      <c r="Q215" s="90">
        <v>1</v>
      </c>
      <c r="R215" s="105">
        <v>0.1</v>
      </c>
      <c r="S215" s="105">
        <v>0.1</v>
      </c>
      <c r="T215" s="178">
        <f>(N215+S215+S216+S217+S218)*1.12</f>
        <v>0.23773866666666699</v>
      </c>
      <c r="U215" s="178" t="s">
        <v>196</v>
      </c>
    </row>
    <row r="216" spans="1:21" s="87" customFormat="1" ht="22.5" customHeight="1" x14ac:dyDescent="0.25">
      <c r="A216" s="161"/>
      <c r="B216" s="172"/>
      <c r="C216" s="169"/>
      <c r="D216" s="164"/>
      <c r="E216" s="89"/>
      <c r="F216" s="89"/>
      <c r="G216" s="89"/>
      <c r="H216" s="89"/>
      <c r="I216" s="89"/>
      <c r="J216" s="89"/>
      <c r="K216" s="89"/>
      <c r="L216" s="89"/>
      <c r="M216" s="89"/>
      <c r="N216" s="100"/>
      <c r="O216" s="98" t="s">
        <v>198</v>
      </c>
      <c r="P216" s="99"/>
      <c r="Q216" s="90">
        <v>1</v>
      </c>
      <c r="R216" s="105">
        <v>0.03</v>
      </c>
      <c r="S216" s="105">
        <f>R216*Q216</f>
        <v>0.03</v>
      </c>
      <c r="T216" s="178"/>
      <c r="U216" s="178"/>
    </row>
    <row r="217" spans="1:21" s="87" customFormat="1" ht="22.5" customHeight="1" x14ac:dyDescent="0.25">
      <c r="A217" s="161"/>
      <c r="B217" s="172"/>
      <c r="C217" s="169"/>
      <c r="D217" s="164"/>
      <c r="E217" s="90"/>
      <c r="F217" s="90"/>
      <c r="G217" s="90"/>
      <c r="H217" s="90"/>
      <c r="I217" s="90"/>
      <c r="J217" s="90"/>
      <c r="K217" s="90"/>
      <c r="L217" s="90"/>
      <c r="M217" s="90"/>
      <c r="N217" s="101"/>
      <c r="O217" s="98" t="s">
        <v>202</v>
      </c>
      <c r="P217" s="99"/>
      <c r="Q217" s="90">
        <v>1</v>
      </c>
      <c r="R217" s="105">
        <f>20/3600*3</f>
        <v>1.6666666666666701E-2</v>
      </c>
      <c r="S217" s="105">
        <f>R217*Q217</f>
        <v>1.6666666666666701E-2</v>
      </c>
      <c r="T217" s="178"/>
      <c r="U217" s="178"/>
    </row>
    <row r="218" spans="1:21" s="87" customFormat="1" ht="22.5" customHeight="1" x14ac:dyDescent="0.25">
      <c r="A218" s="162"/>
      <c r="B218" s="172"/>
      <c r="C218" s="170"/>
      <c r="D218" s="165"/>
      <c r="E218" s="90"/>
      <c r="F218" s="90"/>
      <c r="G218" s="90"/>
      <c r="H218" s="90"/>
      <c r="I218" s="90"/>
      <c r="J218" s="90"/>
      <c r="K218" s="90"/>
      <c r="L218" s="90"/>
      <c r="M218" s="90"/>
      <c r="N218" s="101"/>
      <c r="O218" s="98" t="s">
        <v>203</v>
      </c>
      <c r="P218" s="99"/>
      <c r="Q218" s="90">
        <v>1</v>
      </c>
      <c r="R218" s="105">
        <v>0.02</v>
      </c>
      <c r="S218" s="105">
        <v>0.02</v>
      </c>
      <c r="T218" s="178"/>
      <c r="U218" s="178"/>
    </row>
    <row r="219" spans="1:21" s="87" customFormat="1" ht="22.5" customHeight="1" x14ac:dyDescent="0.25">
      <c r="A219" s="160">
        <v>68</v>
      </c>
      <c r="B219" s="172" t="s">
        <v>175</v>
      </c>
      <c r="C219" s="168" t="s">
        <v>176</v>
      </c>
      <c r="D219" s="172"/>
      <c r="E219" s="89">
        <v>1</v>
      </c>
      <c r="F219" s="89" t="s">
        <v>61</v>
      </c>
      <c r="G219" s="89">
        <v>2</v>
      </c>
      <c r="H219" s="89"/>
      <c r="I219" s="90">
        <v>8</v>
      </c>
      <c r="J219" s="89"/>
      <c r="K219" s="90">
        <v>5.7000000000000002E-3</v>
      </c>
      <c r="L219" s="90">
        <v>5.7000000000000002E-3</v>
      </c>
      <c r="M219" s="90">
        <f>K219-L219</f>
        <v>0</v>
      </c>
      <c r="N219" s="100">
        <f>(I219*K219-J219*M219)*E219</f>
        <v>4.5600000000000002E-2</v>
      </c>
      <c r="O219" s="90" t="s">
        <v>201</v>
      </c>
      <c r="P219" s="90"/>
      <c r="Q219" s="90">
        <v>1</v>
      </c>
      <c r="R219" s="105">
        <v>0.1</v>
      </c>
      <c r="S219" s="105">
        <v>0.1</v>
      </c>
      <c r="T219" s="178">
        <f>(N219+S219+S220+S221+S222)*1.12</f>
        <v>0.23773866666666699</v>
      </c>
      <c r="U219" s="178" t="s">
        <v>196</v>
      </c>
    </row>
    <row r="220" spans="1:21" s="87" customFormat="1" ht="22.5" customHeight="1" x14ac:dyDescent="0.25">
      <c r="A220" s="161"/>
      <c r="B220" s="172"/>
      <c r="C220" s="169"/>
      <c r="D220" s="172"/>
      <c r="E220" s="89"/>
      <c r="F220" s="89"/>
      <c r="G220" s="89"/>
      <c r="H220" s="89"/>
      <c r="I220" s="89"/>
      <c r="J220" s="89"/>
      <c r="K220" s="89"/>
      <c r="L220" s="89"/>
      <c r="M220" s="89"/>
      <c r="N220" s="100"/>
      <c r="O220" s="98" t="s">
        <v>198</v>
      </c>
      <c r="P220" s="99"/>
      <c r="Q220" s="90">
        <v>1</v>
      </c>
      <c r="R220" s="105">
        <v>0.03</v>
      </c>
      <c r="S220" s="105">
        <f>R220*Q220</f>
        <v>0.03</v>
      </c>
      <c r="T220" s="178"/>
      <c r="U220" s="178"/>
    </row>
    <row r="221" spans="1:21" s="87" customFormat="1" ht="22.5" customHeight="1" x14ac:dyDescent="0.25">
      <c r="A221" s="161"/>
      <c r="B221" s="172"/>
      <c r="C221" s="169"/>
      <c r="D221" s="172"/>
      <c r="E221" s="90"/>
      <c r="F221" s="90"/>
      <c r="G221" s="90"/>
      <c r="H221" s="90"/>
      <c r="I221" s="90"/>
      <c r="J221" s="90"/>
      <c r="K221" s="90"/>
      <c r="L221" s="90"/>
      <c r="M221" s="90"/>
      <c r="N221" s="101"/>
      <c r="O221" s="98" t="s">
        <v>202</v>
      </c>
      <c r="P221" s="99"/>
      <c r="Q221" s="90">
        <v>1</v>
      </c>
      <c r="R221" s="105">
        <f>20/3600*3</f>
        <v>1.6666666666666701E-2</v>
      </c>
      <c r="S221" s="105">
        <f>R221*Q221</f>
        <v>1.6666666666666701E-2</v>
      </c>
      <c r="T221" s="178"/>
      <c r="U221" s="178"/>
    </row>
    <row r="222" spans="1:21" s="87" customFormat="1" ht="22.5" customHeight="1" x14ac:dyDescent="0.25">
      <c r="A222" s="162"/>
      <c r="B222" s="172"/>
      <c r="C222" s="170"/>
      <c r="D222" s="172"/>
      <c r="E222" s="90"/>
      <c r="F222" s="90"/>
      <c r="G222" s="90"/>
      <c r="H222" s="90"/>
      <c r="I222" s="90"/>
      <c r="J222" s="90"/>
      <c r="K222" s="90"/>
      <c r="L222" s="90"/>
      <c r="M222" s="90"/>
      <c r="N222" s="101"/>
      <c r="O222" s="98" t="s">
        <v>203</v>
      </c>
      <c r="P222" s="99"/>
      <c r="Q222" s="90">
        <v>1</v>
      </c>
      <c r="R222" s="105">
        <v>0.02</v>
      </c>
      <c r="S222" s="105">
        <v>0.02</v>
      </c>
      <c r="T222" s="178"/>
      <c r="U222" s="178"/>
    </row>
  </sheetData>
  <mergeCells count="341">
    <mergeCell ref="U215:U218"/>
    <mergeCell ref="U219:U222"/>
    <mergeCell ref="U179:U182"/>
    <mergeCell ref="U183:U186"/>
    <mergeCell ref="U187:U190"/>
    <mergeCell ref="U191:U194"/>
    <mergeCell ref="U195:U198"/>
    <mergeCell ref="U199:U202"/>
    <mergeCell ref="U203:U206"/>
    <mergeCell ref="U207:U210"/>
    <mergeCell ref="U211:U214"/>
    <mergeCell ref="U143:U146"/>
    <mergeCell ref="U147:U150"/>
    <mergeCell ref="U151:U154"/>
    <mergeCell ref="U155:U158"/>
    <mergeCell ref="U159:U162"/>
    <mergeCell ref="U163:U166"/>
    <mergeCell ref="U167:U170"/>
    <mergeCell ref="U171:U174"/>
    <mergeCell ref="U175:U178"/>
    <mergeCell ref="U107:U110"/>
    <mergeCell ref="U111:U114"/>
    <mergeCell ref="U115:U118"/>
    <mergeCell ref="U119:U122"/>
    <mergeCell ref="U123:U126"/>
    <mergeCell ref="U127:U130"/>
    <mergeCell ref="U131:U134"/>
    <mergeCell ref="U135:U138"/>
    <mergeCell ref="U139:U142"/>
    <mergeCell ref="U71:U74"/>
    <mergeCell ref="U75:U78"/>
    <mergeCell ref="U79:U82"/>
    <mergeCell ref="U83:U86"/>
    <mergeCell ref="U87:U90"/>
    <mergeCell ref="U91:U94"/>
    <mergeCell ref="U95:U98"/>
    <mergeCell ref="U99:U102"/>
    <mergeCell ref="U103:U106"/>
    <mergeCell ref="T199:T202"/>
    <mergeCell ref="T203:T206"/>
    <mergeCell ref="T207:T210"/>
    <mergeCell ref="T211:T214"/>
    <mergeCell ref="T215:T218"/>
    <mergeCell ref="T219:T222"/>
    <mergeCell ref="U1:U2"/>
    <mergeCell ref="U3:U6"/>
    <mergeCell ref="U7:U10"/>
    <mergeCell ref="U11:U14"/>
    <mergeCell ref="U15:U18"/>
    <mergeCell ref="U19:U22"/>
    <mergeCell ref="U23:U26"/>
    <mergeCell ref="U27:U30"/>
    <mergeCell ref="U31:U34"/>
    <mergeCell ref="U35:U38"/>
    <mergeCell ref="U39:U42"/>
    <mergeCell ref="U43:U46"/>
    <mergeCell ref="U47:U50"/>
    <mergeCell ref="U51:U54"/>
    <mergeCell ref="U55:U58"/>
    <mergeCell ref="U59:U62"/>
    <mergeCell ref="U63:U66"/>
    <mergeCell ref="U67:U70"/>
    <mergeCell ref="T163:T166"/>
    <mergeCell ref="T167:T170"/>
    <mergeCell ref="T171:T174"/>
    <mergeCell ref="T175:T178"/>
    <mergeCell ref="T179:T182"/>
    <mergeCell ref="T183:T186"/>
    <mergeCell ref="T187:T190"/>
    <mergeCell ref="T191:T194"/>
    <mergeCell ref="T195:T198"/>
    <mergeCell ref="T127:T130"/>
    <mergeCell ref="T131:T134"/>
    <mergeCell ref="T135:T138"/>
    <mergeCell ref="T139:T142"/>
    <mergeCell ref="T143:T146"/>
    <mergeCell ref="T147:T150"/>
    <mergeCell ref="T151:T154"/>
    <mergeCell ref="T155:T158"/>
    <mergeCell ref="T159:T162"/>
    <mergeCell ref="T91:T94"/>
    <mergeCell ref="T95:T98"/>
    <mergeCell ref="T99:T102"/>
    <mergeCell ref="T103:T106"/>
    <mergeCell ref="T107:T110"/>
    <mergeCell ref="T111:T114"/>
    <mergeCell ref="T115:T118"/>
    <mergeCell ref="T119:T122"/>
    <mergeCell ref="T123:T126"/>
    <mergeCell ref="T55:T58"/>
    <mergeCell ref="T59:T62"/>
    <mergeCell ref="T63:T66"/>
    <mergeCell ref="T67:T70"/>
    <mergeCell ref="T71:T74"/>
    <mergeCell ref="T75:T78"/>
    <mergeCell ref="T79:T82"/>
    <mergeCell ref="T83:T86"/>
    <mergeCell ref="T87:T90"/>
    <mergeCell ref="T19:T22"/>
    <mergeCell ref="T23:T26"/>
    <mergeCell ref="T27:T30"/>
    <mergeCell ref="T31:T34"/>
    <mergeCell ref="T35:T38"/>
    <mergeCell ref="T39:T42"/>
    <mergeCell ref="T43:T46"/>
    <mergeCell ref="T47:T50"/>
    <mergeCell ref="T51:T54"/>
    <mergeCell ref="F1:F2"/>
    <mergeCell ref="G1:G2"/>
    <mergeCell ref="H1:H2"/>
    <mergeCell ref="N1:N2"/>
    <mergeCell ref="T1:T2"/>
    <mergeCell ref="T3:T6"/>
    <mergeCell ref="T7:T10"/>
    <mergeCell ref="T11:T14"/>
    <mergeCell ref="T15:T18"/>
    <mergeCell ref="I1:J1"/>
    <mergeCell ref="K1:M1"/>
    <mergeCell ref="O1:S1"/>
    <mergeCell ref="D203:D206"/>
    <mergeCell ref="D207:D210"/>
    <mergeCell ref="D211:D214"/>
    <mergeCell ref="D215:D218"/>
    <mergeCell ref="D219:D222"/>
    <mergeCell ref="E1:E2"/>
    <mergeCell ref="D155:D158"/>
    <mergeCell ref="D159:D162"/>
    <mergeCell ref="D163:D166"/>
    <mergeCell ref="D167:D170"/>
    <mergeCell ref="D171:D174"/>
    <mergeCell ref="D175:D178"/>
    <mergeCell ref="D179:D182"/>
    <mergeCell ref="D183:D186"/>
    <mergeCell ref="D187:D190"/>
    <mergeCell ref="D115:D118"/>
    <mergeCell ref="D123:D126"/>
    <mergeCell ref="D127:D130"/>
    <mergeCell ref="D131:D134"/>
    <mergeCell ref="D135:D138"/>
    <mergeCell ref="D139:D142"/>
    <mergeCell ref="C215:C218"/>
    <mergeCell ref="C219:C222"/>
    <mergeCell ref="D1:D2"/>
    <mergeCell ref="D3:D6"/>
    <mergeCell ref="D7:D10"/>
    <mergeCell ref="D11:D14"/>
    <mergeCell ref="D15:D18"/>
    <mergeCell ref="D19:D22"/>
    <mergeCell ref="D23:D26"/>
    <mergeCell ref="D27:D30"/>
    <mergeCell ref="D31:D34"/>
    <mergeCell ref="D35:D38"/>
    <mergeCell ref="D47:D50"/>
    <mergeCell ref="D55:D58"/>
    <mergeCell ref="D59:D62"/>
    <mergeCell ref="D63:D66"/>
    <mergeCell ref="D67:D70"/>
    <mergeCell ref="D71:D74"/>
    <mergeCell ref="D75:D78"/>
    <mergeCell ref="D79:D82"/>
    <mergeCell ref="D95:D98"/>
    <mergeCell ref="D191:D194"/>
    <mergeCell ref="D195:D198"/>
    <mergeCell ref="D199:D202"/>
    <mergeCell ref="D99:D102"/>
    <mergeCell ref="D107:D110"/>
    <mergeCell ref="D111:D114"/>
    <mergeCell ref="C179:C182"/>
    <mergeCell ref="C183:C186"/>
    <mergeCell ref="C187:C190"/>
    <mergeCell ref="C191:C194"/>
    <mergeCell ref="C195:C198"/>
    <mergeCell ref="C199:C202"/>
    <mergeCell ref="C107:C110"/>
    <mergeCell ref="C111:C114"/>
    <mergeCell ref="C115:C118"/>
    <mergeCell ref="C119:C122"/>
    <mergeCell ref="C123:C126"/>
    <mergeCell ref="C127:C130"/>
    <mergeCell ref="C131:C134"/>
    <mergeCell ref="C135:C138"/>
    <mergeCell ref="C139:C142"/>
    <mergeCell ref="D143:D146"/>
    <mergeCell ref="D147:D150"/>
    <mergeCell ref="D151:D154"/>
    <mergeCell ref="C203:C206"/>
    <mergeCell ref="C207:C210"/>
    <mergeCell ref="C211:C214"/>
    <mergeCell ref="C143:C146"/>
    <mergeCell ref="C147:C150"/>
    <mergeCell ref="C151:C154"/>
    <mergeCell ref="C155:C158"/>
    <mergeCell ref="C159:C162"/>
    <mergeCell ref="C163:C166"/>
    <mergeCell ref="C167:C170"/>
    <mergeCell ref="C171:C174"/>
    <mergeCell ref="C175:C178"/>
    <mergeCell ref="C71:C74"/>
    <mergeCell ref="C75:C78"/>
    <mergeCell ref="C79:C82"/>
    <mergeCell ref="C83:C86"/>
    <mergeCell ref="C87:C90"/>
    <mergeCell ref="C91:C94"/>
    <mergeCell ref="C95:C98"/>
    <mergeCell ref="C99:C102"/>
    <mergeCell ref="C103:C106"/>
    <mergeCell ref="B199:B202"/>
    <mergeCell ref="B203:B206"/>
    <mergeCell ref="B207:B210"/>
    <mergeCell ref="B211:B214"/>
    <mergeCell ref="B215:B218"/>
    <mergeCell ref="B219:B222"/>
    <mergeCell ref="C1:C2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0"/>
    <mergeCell ref="B163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27:B130"/>
    <mergeCell ref="B131:B134"/>
    <mergeCell ref="B135:B138"/>
    <mergeCell ref="B139:B142"/>
    <mergeCell ref="B143:B146"/>
    <mergeCell ref="B147:B150"/>
    <mergeCell ref="B151:B154"/>
    <mergeCell ref="B155:B158"/>
    <mergeCell ref="B159:B162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123:B126"/>
    <mergeCell ref="A219:A222"/>
    <mergeCell ref="B1:B2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90"/>
    <mergeCell ref="A183:A186"/>
    <mergeCell ref="A187:A190"/>
    <mergeCell ref="A191:A194"/>
    <mergeCell ref="A195:A198"/>
    <mergeCell ref="A199:A202"/>
    <mergeCell ref="A203:A206"/>
    <mergeCell ref="A207:A210"/>
    <mergeCell ref="A211:A214"/>
    <mergeCell ref="A215:A218"/>
    <mergeCell ref="A147:A150"/>
    <mergeCell ref="A151:A154"/>
    <mergeCell ref="A155:A158"/>
    <mergeCell ref="A159:A162"/>
    <mergeCell ref="A163:A166"/>
    <mergeCell ref="A167:A170"/>
    <mergeCell ref="A171:A174"/>
    <mergeCell ref="A175:A178"/>
    <mergeCell ref="A179:A182"/>
    <mergeCell ref="A111:A114"/>
    <mergeCell ref="A115:A118"/>
    <mergeCell ref="A119:A122"/>
    <mergeCell ref="A123:A126"/>
    <mergeCell ref="A127:A130"/>
    <mergeCell ref="A131:A134"/>
    <mergeCell ref="A135:A138"/>
    <mergeCell ref="A139:A142"/>
    <mergeCell ref="A143:A146"/>
    <mergeCell ref="A75:A78"/>
    <mergeCell ref="A79:A82"/>
    <mergeCell ref="A83:A86"/>
    <mergeCell ref="A87:A90"/>
    <mergeCell ref="A91:A94"/>
    <mergeCell ref="A95:A98"/>
    <mergeCell ref="A99:A102"/>
    <mergeCell ref="A103:A106"/>
    <mergeCell ref="A107:A110"/>
    <mergeCell ref="O24:S24"/>
    <mergeCell ref="O40:S40"/>
    <mergeCell ref="O44:S44"/>
    <mergeCell ref="O88:S88"/>
    <mergeCell ref="O120:S120"/>
    <mergeCell ref="A1:A2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0"/>
    <mergeCell ref="A71:A74"/>
  </mergeCells>
  <phoneticPr fontId="26" type="noConversion"/>
  <conditionalFormatting sqref="B3">
    <cfRule type="duplicateValues" dxfId="50" priority="52"/>
  </conditionalFormatting>
  <conditionalFormatting sqref="B7">
    <cfRule type="duplicateValues" dxfId="49" priority="51"/>
  </conditionalFormatting>
  <conditionalFormatting sqref="B11">
    <cfRule type="duplicateValues" dxfId="48" priority="47"/>
  </conditionalFormatting>
  <conditionalFormatting sqref="B15">
    <cfRule type="duplicateValues" dxfId="47" priority="49"/>
  </conditionalFormatting>
  <conditionalFormatting sqref="B19">
    <cfRule type="duplicateValues" dxfId="46" priority="48"/>
  </conditionalFormatting>
  <conditionalFormatting sqref="B23">
    <cfRule type="duplicateValues" dxfId="45" priority="63"/>
  </conditionalFormatting>
  <conditionalFormatting sqref="B27">
    <cfRule type="duplicateValues" dxfId="44" priority="36"/>
  </conditionalFormatting>
  <conditionalFormatting sqref="B31">
    <cfRule type="duplicateValues" dxfId="43" priority="35"/>
  </conditionalFormatting>
  <conditionalFormatting sqref="B35">
    <cfRule type="duplicateValues" dxfId="42" priority="34"/>
  </conditionalFormatting>
  <conditionalFormatting sqref="B39">
    <cfRule type="duplicateValues" dxfId="41" priority="62"/>
  </conditionalFormatting>
  <conditionalFormatting sqref="B43">
    <cfRule type="duplicateValues" dxfId="40" priority="64"/>
  </conditionalFormatting>
  <conditionalFormatting sqref="B47">
    <cfRule type="duplicateValues" dxfId="39" priority="33"/>
  </conditionalFormatting>
  <conditionalFormatting sqref="B51">
    <cfRule type="duplicateValues" dxfId="38" priority="61"/>
  </conditionalFormatting>
  <conditionalFormatting sqref="B55">
    <cfRule type="duplicateValues" dxfId="37" priority="32"/>
  </conditionalFormatting>
  <conditionalFormatting sqref="B59">
    <cfRule type="duplicateValues" dxfId="36" priority="31"/>
  </conditionalFormatting>
  <conditionalFormatting sqref="B67">
    <cfRule type="duplicateValues" dxfId="35" priority="30"/>
  </conditionalFormatting>
  <conditionalFormatting sqref="B83">
    <cfRule type="duplicateValues" dxfId="34" priority="67"/>
  </conditionalFormatting>
  <conditionalFormatting sqref="B87">
    <cfRule type="duplicateValues" dxfId="33" priority="60"/>
  </conditionalFormatting>
  <conditionalFormatting sqref="B91">
    <cfRule type="duplicateValues" dxfId="32" priority="59"/>
  </conditionalFormatting>
  <conditionalFormatting sqref="B95">
    <cfRule type="duplicateValues" dxfId="31" priority="27"/>
  </conditionalFormatting>
  <conditionalFormatting sqref="B99">
    <cfRule type="duplicateValues" dxfId="30" priority="26"/>
  </conditionalFormatting>
  <conditionalFormatting sqref="B103">
    <cfRule type="duplicateValues" dxfId="29" priority="58"/>
  </conditionalFormatting>
  <conditionalFormatting sqref="B107">
    <cfRule type="duplicateValues" dxfId="28" priority="25"/>
  </conditionalFormatting>
  <conditionalFormatting sqref="B115">
    <cfRule type="duplicateValues" dxfId="27" priority="24"/>
  </conditionalFormatting>
  <conditionalFormatting sqref="B119">
    <cfRule type="duplicateValues" dxfId="26" priority="57"/>
  </conditionalFormatting>
  <conditionalFormatting sqref="B123">
    <cfRule type="duplicateValues" dxfId="25" priority="23"/>
  </conditionalFormatting>
  <conditionalFormatting sqref="B127">
    <cfRule type="duplicateValues" dxfId="24" priority="19"/>
  </conditionalFormatting>
  <conditionalFormatting sqref="B131">
    <cfRule type="duplicateValues" dxfId="23" priority="18"/>
  </conditionalFormatting>
  <conditionalFormatting sqref="B135">
    <cfRule type="duplicateValues" dxfId="22" priority="17"/>
  </conditionalFormatting>
  <conditionalFormatting sqref="B139">
    <cfRule type="duplicateValues" dxfId="21" priority="16"/>
  </conditionalFormatting>
  <conditionalFormatting sqref="B143">
    <cfRule type="duplicateValues" dxfId="20" priority="15"/>
  </conditionalFormatting>
  <conditionalFormatting sqref="B147">
    <cfRule type="duplicateValues" dxfId="19" priority="21"/>
  </conditionalFormatting>
  <conditionalFormatting sqref="B151">
    <cfRule type="duplicateValues" dxfId="18" priority="20"/>
  </conditionalFormatting>
  <conditionalFormatting sqref="B155">
    <cfRule type="duplicateValues" dxfId="17" priority="14"/>
  </conditionalFormatting>
  <conditionalFormatting sqref="B159">
    <cfRule type="duplicateValues" dxfId="16" priority="13"/>
  </conditionalFormatting>
  <conditionalFormatting sqref="B163">
    <cfRule type="duplicateValues" dxfId="15" priority="12"/>
  </conditionalFormatting>
  <conditionalFormatting sqref="B167">
    <cfRule type="duplicateValues" dxfId="14" priority="11"/>
  </conditionalFormatting>
  <conditionalFormatting sqref="B171">
    <cfRule type="duplicateValues" dxfId="13" priority="10"/>
  </conditionalFormatting>
  <conditionalFormatting sqref="B175">
    <cfRule type="duplicateValues" dxfId="12" priority="9"/>
  </conditionalFormatting>
  <conditionalFormatting sqref="B179">
    <cfRule type="duplicateValues" dxfId="11" priority="8"/>
  </conditionalFormatting>
  <conditionalFormatting sqref="B183">
    <cfRule type="duplicateValues" dxfId="10" priority="6"/>
  </conditionalFormatting>
  <conditionalFormatting sqref="B187">
    <cfRule type="duplicateValues" dxfId="9" priority="5"/>
  </conditionalFormatting>
  <conditionalFormatting sqref="B191">
    <cfRule type="duplicateValues" dxfId="8" priority="3"/>
  </conditionalFormatting>
  <conditionalFormatting sqref="B195">
    <cfRule type="duplicateValues" dxfId="7" priority="4"/>
  </conditionalFormatting>
  <conditionalFormatting sqref="B199">
    <cfRule type="duplicateValues" dxfId="6" priority="2"/>
  </conditionalFormatting>
  <conditionalFormatting sqref="B203">
    <cfRule type="duplicateValues" dxfId="5" priority="55"/>
  </conditionalFormatting>
  <conditionalFormatting sqref="B207">
    <cfRule type="duplicateValues" dxfId="4" priority="54"/>
  </conditionalFormatting>
  <conditionalFormatting sqref="B211">
    <cfRule type="duplicateValues" dxfId="3" priority="1"/>
  </conditionalFormatting>
  <pageMargins left="0.75" right="0.75" top="1" bottom="1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U15"/>
  <sheetViews>
    <sheetView view="pageBreakPreview" topLeftCell="B1" zoomScale="90" zoomScaleNormal="100" workbookViewId="0">
      <selection activeCell="T15" sqref="T15:U15"/>
    </sheetView>
  </sheetViews>
  <sheetFormatPr defaultColWidth="10" defaultRowHeight="12" x14ac:dyDescent="0.25"/>
  <cols>
    <col min="1" max="1" width="16.33203125" style="62" customWidth="1"/>
    <col min="2" max="2" width="25.6640625" style="62" customWidth="1"/>
    <col min="3" max="3" width="8.109375" style="62" customWidth="1"/>
    <col min="4" max="4" width="21.88671875" style="62" customWidth="1"/>
    <col min="5" max="5" width="4.77734375" style="62" customWidth="1"/>
    <col min="6" max="6" width="14.109375" style="62" customWidth="1"/>
    <col min="7" max="7" width="9.109375" style="62" customWidth="1"/>
    <col min="8" max="8" width="6.77734375" style="62" customWidth="1"/>
    <col min="9" max="9" width="6.5546875" style="62" customWidth="1"/>
    <col min="10" max="10" width="7.21875" style="62" customWidth="1"/>
    <col min="11" max="11" width="8.5546875" style="62" customWidth="1"/>
    <col min="12" max="12" width="8.44140625" style="62" customWidth="1"/>
    <col min="13" max="13" width="6.77734375" style="62" customWidth="1"/>
    <col min="14" max="14" width="10.44140625" style="62" customWidth="1"/>
    <col min="15" max="15" width="13" style="62" customWidth="1"/>
    <col min="16" max="16" width="6" style="62" customWidth="1"/>
    <col min="17" max="17" width="7.77734375" style="62" customWidth="1"/>
    <col min="18" max="18" width="9.5546875" style="62" customWidth="1"/>
    <col min="19" max="19" width="12.77734375" style="62" customWidth="1"/>
    <col min="20" max="20" width="11.44140625" style="62" customWidth="1"/>
    <col min="21" max="21" width="15.44140625" style="62" customWidth="1"/>
    <col min="22" max="254" width="10" style="62"/>
    <col min="255" max="255" width="16.33203125" style="62" customWidth="1"/>
    <col min="256" max="256" width="25.6640625" style="62" customWidth="1"/>
    <col min="257" max="257" width="8.109375" style="62" customWidth="1"/>
    <col min="258" max="258" width="21.88671875" style="62" customWidth="1"/>
    <col min="259" max="259" width="4.77734375" style="62" customWidth="1"/>
    <col min="260" max="260" width="14.109375" style="62" customWidth="1"/>
    <col min="261" max="261" width="9.109375" style="62" customWidth="1"/>
    <col min="262" max="262" width="6.77734375" style="62" customWidth="1"/>
    <col min="263" max="263" width="6.5546875" style="62" customWidth="1"/>
    <col min="264" max="264" width="7.21875" style="62" customWidth="1"/>
    <col min="265" max="265" width="8.5546875" style="62" customWidth="1"/>
    <col min="266" max="266" width="8.44140625" style="62" customWidth="1"/>
    <col min="267" max="267" width="6.77734375" style="62" customWidth="1"/>
    <col min="268" max="268" width="10.44140625" style="62" customWidth="1"/>
    <col min="269" max="269" width="12.21875" style="62" customWidth="1"/>
    <col min="270" max="270" width="6" style="62" customWidth="1"/>
    <col min="271" max="271" width="7.77734375" style="62" customWidth="1"/>
    <col min="272" max="272" width="9.5546875" style="62" customWidth="1"/>
    <col min="273" max="273" width="15.44140625" style="62" customWidth="1"/>
    <col min="274" max="275" width="8.6640625" style="62" customWidth="1"/>
    <col min="276" max="276" width="15.44140625" style="62" customWidth="1"/>
    <col min="277" max="277" width="11.44140625" style="62" customWidth="1"/>
    <col min="278" max="510" width="10" style="62"/>
    <col min="511" max="511" width="16.33203125" style="62" customWidth="1"/>
    <col min="512" max="512" width="25.6640625" style="62" customWidth="1"/>
    <col min="513" max="513" width="8.109375" style="62" customWidth="1"/>
    <col min="514" max="514" width="21.88671875" style="62" customWidth="1"/>
    <col min="515" max="515" width="4.77734375" style="62" customWidth="1"/>
    <col min="516" max="516" width="14.109375" style="62" customWidth="1"/>
    <col min="517" max="517" width="9.109375" style="62" customWidth="1"/>
    <col min="518" max="518" width="6.77734375" style="62" customWidth="1"/>
    <col min="519" max="519" width="6.5546875" style="62" customWidth="1"/>
    <col min="520" max="520" width="7.21875" style="62" customWidth="1"/>
    <col min="521" max="521" width="8.5546875" style="62" customWidth="1"/>
    <col min="522" max="522" width="8.44140625" style="62" customWidth="1"/>
    <col min="523" max="523" width="6.77734375" style="62" customWidth="1"/>
    <col min="524" max="524" width="10.44140625" style="62" customWidth="1"/>
    <col min="525" max="525" width="12.21875" style="62" customWidth="1"/>
    <col min="526" max="526" width="6" style="62" customWidth="1"/>
    <col min="527" max="527" width="7.77734375" style="62" customWidth="1"/>
    <col min="528" max="528" width="9.5546875" style="62" customWidth="1"/>
    <col min="529" max="529" width="15.44140625" style="62" customWidth="1"/>
    <col min="530" max="531" width="8.6640625" style="62" customWidth="1"/>
    <col min="532" max="532" width="15.44140625" style="62" customWidth="1"/>
    <col min="533" max="533" width="11.44140625" style="62" customWidth="1"/>
    <col min="534" max="766" width="10" style="62"/>
    <col min="767" max="767" width="16.33203125" style="62" customWidth="1"/>
    <col min="768" max="768" width="25.6640625" style="62" customWidth="1"/>
    <col min="769" max="769" width="8.109375" style="62" customWidth="1"/>
    <col min="770" max="770" width="21.88671875" style="62" customWidth="1"/>
    <col min="771" max="771" width="4.77734375" style="62" customWidth="1"/>
    <col min="772" max="772" width="14.109375" style="62" customWidth="1"/>
    <col min="773" max="773" width="9.109375" style="62" customWidth="1"/>
    <col min="774" max="774" width="6.77734375" style="62" customWidth="1"/>
    <col min="775" max="775" width="6.5546875" style="62" customWidth="1"/>
    <col min="776" max="776" width="7.21875" style="62" customWidth="1"/>
    <col min="777" max="777" width="8.5546875" style="62" customWidth="1"/>
    <col min="778" max="778" width="8.44140625" style="62" customWidth="1"/>
    <col min="779" max="779" width="6.77734375" style="62" customWidth="1"/>
    <col min="780" max="780" width="10.44140625" style="62" customWidth="1"/>
    <col min="781" max="781" width="12.21875" style="62" customWidth="1"/>
    <col min="782" max="782" width="6" style="62" customWidth="1"/>
    <col min="783" max="783" width="7.77734375" style="62" customWidth="1"/>
    <col min="784" max="784" width="9.5546875" style="62" customWidth="1"/>
    <col min="785" max="785" width="15.44140625" style="62" customWidth="1"/>
    <col min="786" max="787" width="8.6640625" style="62" customWidth="1"/>
    <col min="788" max="788" width="15.44140625" style="62" customWidth="1"/>
    <col min="789" max="789" width="11.44140625" style="62" customWidth="1"/>
    <col min="790" max="1022" width="10" style="62"/>
    <col min="1023" max="1023" width="16.33203125" style="62" customWidth="1"/>
    <col min="1024" max="1024" width="25.6640625" style="62" customWidth="1"/>
    <col min="1025" max="1025" width="8.109375" style="62" customWidth="1"/>
    <col min="1026" max="1026" width="21.88671875" style="62" customWidth="1"/>
    <col min="1027" max="1027" width="4.77734375" style="62" customWidth="1"/>
    <col min="1028" max="1028" width="14.109375" style="62" customWidth="1"/>
    <col min="1029" max="1029" width="9.109375" style="62" customWidth="1"/>
    <col min="1030" max="1030" width="6.77734375" style="62" customWidth="1"/>
    <col min="1031" max="1031" width="6.5546875" style="62" customWidth="1"/>
    <col min="1032" max="1032" width="7.21875" style="62" customWidth="1"/>
    <col min="1033" max="1033" width="8.5546875" style="62" customWidth="1"/>
    <col min="1034" max="1034" width="8.44140625" style="62" customWidth="1"/>
    <col min="1035" max="1035" width="6.77734375" style="62" customWidth="1"/>
    <col min="1036" max="1036" width="10.44140625" style="62" customWidth="1"/>
    <col min="1037" max="1037" width="12.21875" style="62" customWidth="1"/>
    <col min="1038" max="1038" width="6" style="62" customWidth="1"/>
    <col min="1039" max="1039" width="7.77734375" style="62" customWidth="1"/>
    <col min="1040" max="1040" width="9.5546875" style="62" customWidth="1"/>
    <col min="1041" max="1041" width="15.44140625" style="62" customWidth="1"/>
    <col min="1042" max="1043" width="8.6640625" style="62" customWidth="1"/>
    <col min="1044" max="1044" width="15.44140625" style="62" customWidth="1"/>
    <col min="1045" max="1045" width="11.44140625" style="62" customWidth="1"/>
    <col min="1046" max="1278" width="10" style="62"/>
    <col min="1279" max="1279" width="16.33203125" style="62" customWidth="1"/>
    <col min="1280" max="1280" width="25.6640625" style="62" customWidth="1"/>
    <col min="1281" max="1281" width="8.109375" style="62" customWidth="1"/>
    <col min="1282" max="1282" width="21.88671875" style="62" customWidth="1"/>
    <col min="1283" max="1283" width="4.77734375" style="62" customWidth="1"/>
    <col min="1284" max="1284" width="14.109375" style="62" customWidth="1"/>
    <col min="1285" max="1285" width="9.109375" style="62" customWidth="1"/>
    <col min="1286" max="1286" width="6.77734375" style="62" customWidth="1"/>
    <col min="1287" max="1287" width="6.5546875" style="62" customWidth="1"/>
    <col min="1288" max="1288" width="7.21875" style="62" customWidth="1"/>
    <col min="1289" max="1289" width="8.5546875" style="62" customWidth="1"/>
    <col min="1290" max="1290" width="8.44140625" style="62" customWidth="1"/>
    <col min="1291" max="1291" width="6.77734375" style="62" customWidth="1"/>
    <col min="1292" max="1292" width="10.44140625" style="62" customWidth="1"/>
    <col min="1293" max="1293" width="12.21875" style="62" customWidth="1"/>
    <col min="1294" max="1294" width="6" style="62" customWidth="1"/>
    <col min="1295" max="1295" width="7.77734375" style="62" customWidth="1"/>
    <col min="1296" max="1296" width="9.5546875" style="62" customWidth="1"/>
    <col min="1297" max="1297" width="15.44140625" style="62" customWidth="1"/>
    <col min="1298" max="1299" width="8.6640625" style="62" customWidth="1"/>
    <col min="1300" max="1300" width="15.44140625" style="62" customWidth="1"/>
    <col min="1301" max="1301" width="11.44140625" style="62" customWidth="1"/>
    <col min="1302" max="1534" width="10" style="62"/>
    <col min="1535" max="1535" width="16.33203125" style="62" customWidth="1"/>
    <col min="1536" max="1536" width="25.6640625" style="62" customWidth="1"/>
    <col min="1537" max="1537" width="8.109375" style="62" customWidth="1"/>
    <col min="1538" max="1538" width="21.88671875" style="62" customWidth="1"/>
    <col min="1539" max="1539" width="4.77734375" style="62" customWidth="1"/>
    <col min="1540" max="1540" width="14.109375" style="62" customWidth="1"/>
    <col min="1541" max="1541" width="9.109375" style="62" customWidth="1"/>
    <col min="1542" max="1542" width="6.77734375" style="62" customWidth="1"/>
    <col min="1543" max="1543" width="6.5546875" style="62" customWidth="1"/>
    <col min="1544" max="1544" width="7.21875" style="62" customWidth="1"/>
    <col min="1545" max="1545" width="8.5546875" style="62" customWidth="1"/>
    <col min="1546" max="1546" width="8.44140625" style="62" customWidth="1"/>
    <col min="1547" max="1547" width="6.77734375" style="62" customWidth="1"/>
    <col min="1548" max="1548" width="10.44140625" style="62" customWidth="1"/>
    <col min="1549" max="1549" width="12.21875" style="62" customWidth="1"/>
    <col min="1550" max="1550" width="6" style="62" customWidth="1"/>
    <col min="1551" max="1551" width="7.77734375" style="62" customWidth="1"/>
    <col min="1552" max="1552" width="9.5546875" style="62" customWidth="1"/>
    <col min="1553" max="1553" width="15.44140625" style="62" customWidth="1"/>
    <col min="1554" max="1555" width="8.6640625" style="62" customWidth="1"/>
    <col min="1556" max="1556" width="15.44140625" style="62" customWidth="1"/>
    <col min="1557" max="1557" width="11.44140625" style="62" customWidth="1"/>
    <col min="1558" max="1790" width="10" style="62"/>
    <col min="1791" max="1791" width="16.33203125" style="62" customWidth="1"/>
    <col min="1792" max="1792" width="25.6640625" style="62" customWidth="1"/>
    <col min="1793" max="1793" width="8.109375" style="62" customWidth="1"/>
    <col min="1794" max="1794" width="21.88671875" style="62" customWidth="1"/>
    <col min="1795" max="1795" width="4.77734375" style="62" customWidth="1"/>
    <col min="1796" max="1796" width="14.109375" style="62" customWidth="1"/>
    <col min="1797" max="1797" width="9.109375" style="62" customWidth="1"/>
    <col min="1798" max="1798" width="6.77734375" style="62" customWidth="1"/>
    <col min="1799" max="1799" width="6.5546875" style="62" customWidth="1"/>
    <col min="1800" max="1800" width="7.21875" style="62" customWidth="1"/>
    <col min="1801" max="1801" width="8.5546875" style="62" customWidth="1"/>
    <col min="1802" max="1802" width="8.44140625" style="62" customWidth="1"/>
    <col min="1803" max="1803" width="6.77734375" style="62" customWidth="1"/>
    <col min="1804" max="1804" width="10.44140625" style="62" customWidth="1"/>
    <col min="1805" max="1805" width="12.21875" style="62" customWidth="1"/>
    <col min="1806" max="1806" width="6" style="62" customWidth="1"/>
    <col min="1807" max="1807" width="7.77734375" style="62" customWidth="1"/>
    <col min="1808" max="1808" width="9.5546875" style="62" customWidth="1"/>
    <col min="1809" max="1809" width="15.44140625" style="62" customWidth="1"/>
    <col min="1810" max="1811" width="8.6640625" style="62" customWidth="1"/>
    <col min="1812" max="1812" width="15.44140625" style="62" customWidth="1"/>
    <col min="1813" max="1813" width="11.44140625" style="62" customWidth="1"/>
    <col min="1814" max="2046" width="10" style="62"/>
    <col min="2047" max="2047" width="16.33203125" style="62" customWidth="1"/>
    <col min="2048" max="2048" width="25.6640625" style="62" customWidth="1"/>
    <col min="2049" max="2049" width="8.109375" style="62" customWidth="1"/>
    <col min="2050" max="2050" width="21.88671875" style="62" customWidth="1"/>
    <col min="2051" max="2051" width="4.77734375" style="62" customWidth="1"/>
    <col min="2052" max="2052" width="14.109375" style="62" customWidth="1"/>
    <col min="2053" max="2053" width="9.109375" style="62" customWidth="1"/>
    <col min="2054" max="2054" width="6.77734375" style="62" customWidth="1"/>
    <col min="2055" max="2055" width="6.5546875" style="62" customWidth="1"/>
    <col min="2056" max="2056" width="7.21875" style="62" customWidth="1"/>
    <col min="2057" max="2057" width="8.5546875" style="62" customWidth="1"/>
    <col min="2058" max="2058" width="8.44140625" style="62" customWidth="1"/>
    <col min="2059" max="2059" width="6.77734375" style="62" customWidth="1"/>
    <col min="2060" max="2060" width="10.44140625" style="62" customWidth="1"/>
    <col min="2061" max="2061" width="12.21875" style="62" customWidth="1"/>
    <col min="2062" max="2062" width="6" style="62" customWidth="1"/>
    <col min="2063" max="2063" width="7.77734375" style="62" customWidth="1"/>
    <col min="2064" max="2064" width="9.5546875" style="62" customWidth="1"/>
    <col min="2065" max="2065" width="15.44140625" style="62" customWidth="1"/>
    <col min="2066" max="2067" width="8.6640625" style="62" customWidth="1"/>
    <col min="2068" max="2068" width="15.44140625" style="62" customWidth="1"/>
    <col min="2069" max="2069" width="11.44140625" style="62" customWidth="1"/>
    <col min="2070" max="2302" width="10" style="62"/>
    <col min="2303" max="2303" width="16.33203125" style="62" customWidth="1"/>
    <col min="2304" max="2304" width="25.6640625" style="62" customWidth="1"/>
    <col min="2305" max="2305" width="8.109375" style="62" customWidth="1"/>
    <col min="2306" max="2306" width="21.88671875" style="62" customWidth="1"/>
    <col min="2307" max="2307" width="4.77734375" style="62" customWidth="1"/>
    <col min="2308" max="2308" width="14.109375" style="62" customWidth="1"/>
    <col min="2309" max="2309" width="9.109375" style="62" customWidth="1"/>
    <col min="2310" max="2310" width="6.77734375" style="62" customWidth="1"/>
    <col min="2311" max="2311" width="6.5546875" style="62" customWidth="1"/>
    <col min="2312" max="2312" width="7.21875" style="62" customWidth="1"/>
    <col min="2313" max="2313" width="8.5546875" style="62" customWidth="1"/>
    <col min="2314" max="2314" width="8.44140625" style="62" customWidth="1"/>
    <col min="2315" max="2315" width="6.77734375" style="62" customWidth="1"/>
    <col min="2316" max="2316" width="10.44140625" style="62" customWidth="1"/>
    <col min="2317" max="2317" width="12.21875" style="62" customWidth="1"/>
    <col min="2318" max="2318" width="6" style="62" customWidth="1"/>
    <col min="2319" max="2319" width="7.77734375" style="62" customWidth="1"/>
    <col min="2320" max="2320" width="9.5546875" style="62" customWidth="1"/>
    <col min="2321" max="2321" width="15.44140625" style="62" customWidth="1"/>
    <col min="2322" max="2323" width="8.6640625" style="62" customWidth="1"/>
    <col min="2324" max="2324" width="15.44140625" style="62" customWidth="1"/>
    <col min="2325" max="2325" width="11.44140625" style="62" customWidth="1"/>
    <col min="2326" max="2558" width="10" style="62"/>
    <col min="2559" max="2559" width="16.33203125" style="62" customWidth="1"/>
    <col min="2560" max="2560" width="25.6640625" style="62" customWidth="1"/>
    <col min="2561" max="2561" width="8.109375" style="62" customWidth="1"/>
    <col min="2562" max="2562" width="21.88671875" style="62" customWidth="1"/>
    <col min="2563" max="2563" width="4.77734375" style="62" customWidth="1"/>
    <col min="2564" max="2564" width="14.109375" style="62" customWidth="1"/>
    <col min="2565" max="2565" width="9.109375" style="62" customWidth="1"/>
    <col min="2566" max="2566" width="6.77734375" style="62" customWidth="1"/>
    <col min="2567" max="2567" width="6.5546875" style="62" customWidth="1"/>
    <col min="2568" max="2568" width="7.21875" style="62" customWidth="1"/>
    <col min="2569" max="2569" width="8.5546875" style="62" customWidth="1"/>
    <col min="2570" max="2570" width="8.44140625" style="62" customWidth="1"/>
    <col min="2571" max="2571" width="6.77734375" style="62" customWidth="1"/>
    <col min="2572" max="2572" width="10.44140625" style="62" customWidth="1"/>
    <col min="2573" max="2573" width="12.21875" style="62" customWidth="1"/>
    <col min="2574" max="2574" width="6" style="62" customWidth="1"/>
    <col min="2575" max="2575" width="7.77734375" style="62" customWidth="1"/>
    <col min="2576" max="2576" width="9.5546875" style="62" customWidth="1"/>
    <col min="2577" max="2577" width="15.44140625" style="62" customWidth="1"/>
    <col min="2578" max="2579" width="8.6640625" style="62" customWidth="1"/>
    <col min="2580" max="2580" width="15.44140625" style="62" customWidth="1"/>
    <col min="2581" max="2581" width="11.44140625" style="62" customWidth="1"/>
    <col min="2582" max="2814" width="10" style="62"/>
    <col min="2815" max="2815" width="16.33203125" style="62" customWidth="1"/>
    <col min="2816" max="2816" width="25.6640625" style="62" customWidth="1"/>
    <col min="2817" max="2817" width="8.109375" style="62" customWidth="1"/>
    <col min="2818" max="2818" width="21.88671875" style="62" customWidth="1"/>
    <col min="2819" max="2819" width="4.77734375" style="62" customWidth="1"/>
    <col min="2820" max="2820" width="14.109375" style="62" customWidth="1"/>
    <col min="2821" max="2821" width="9.109375" style="62" customWidth="1"/>
    <col min="2822" max="2822" width="6.77734375" style="62" customWidth="1"/>
    <col min="2823" max="2823" width="6.5546875" style="62" customWidth="1"/>
    <col min="2824" max="2824" width="7.21875" style="62" customWidth="1"/>
    <col min="2825" max="2825" width="8.5546875" style="62" customWidth="1"/>
    <col min="2826" max="2826" width="8.44140625" style="62" customWidth="1"/>
    <col min="2827" max="2827" width="6.77734375" style="62" customWidth="1"/>
    <col min="2828" max="2828" width="10.44140625" style="62" customWidth="1"/>
    <col min="2829" max="2829" width="12.21875" style="62" customWidth="1"/>
    <col min="2830" max="2830" width="6" style="62" customWidth="1"/>
    <col min="2831" max="2831" width="7.77734375" style="62" customWidth="1"/>
    <col min="2832" max="2832" width="9.5546875" style="62" customWidth="1"/>
    <col min="2833" max="2833" width="15.44140625" style="62" customWidth="1"/>
    <col min="2834" max="2835" width="8.6640625" style="62" customWidth="1"/>
    <col min="2836" max="2836" width="15.44140625" style="62" customWidth="1"/>
    <col min="2837" max="2837" width="11.44140625" style="62" customWidth="1"/>
    <col min="2838" max="3070" width="10" style="62"/>
    <col min="3071" max="3071" width="16.33203125" style="62" customWidth="1"/>
    <col min="3072" max="3072" width="25.6640625" style="62" customWidth="1"/>
    <col min="3073" max="3073" width="8.109375" style="62" customWidth="1"/>
    <col min="3074" max="3074" width="21.88671875" style="62" customWidth="1"/>
    <col min="3075" max="3075" width="4.77734375" style="62" customWidth="1"/>
    <col min="3076" max="3076" width="14.109375" style="62" customWidth="1"/>
    <col min="3077" max="3077" width="9.109375" style="62" customWidth="1"/>
    <col min="3078" max="3078" width="6.77734375" style="62" customWidth="1"/>
    <col min="3079" max="3079" width="6.5546875" style="62" customWidth="1"/>
    <col min="3080" max="3080" width="7.21875" style="62" customWidth="1"/>
    <col min="3081" max="3081" width="8.5546875" style="62" customWidth="1"/>
    <col min="3082" max="3082" width="8.44140625" style="62" customWidth="1"/>
    <col min="3083" max="3083" width="6.77734375" style="62" customWidth="1"/>
    <col min="3084" max="3084" width="10.44140625" style="62" customWidth="1"/>
    <col min="3085" max="3085" width="12.21875" style="62" customWidth="1"/>
    <col min="3086" max="3086" width="6" style="62" customWidth="1"/>
    <col min="3087" max="3087" width="7.77734375" style="62" customWidth="1"/>
    <col min="3088" max="3088" width="9.5546875" style="62" customWidth="1"/>
    <col min="3089" max="3089" width="15.44140625" style="62" customWidth="1"/>
    <col min="3090" max="3091" width="8.6640625" style="62" customWidth="1"/>
    <col min="3092" max="3092" width="15.44140625" style="62" customWidth="1"/>
    <col min="3093" max="3093" width="11.44140625" style="62" customWidth="1"/>
    <col min="3094" max="3326" width="10" style="62"/>
    <col min="3327" max="3327" width="16.33203125" style="62" customWidth="1"/>
    <col min="3328" max="3328" width="25.6640625" style="62" customWidth="1"/>
    <col min="3329" max="3329" width="8.109375" style="62" customWidth="1"/>
    <col min="3330" max="3330" width="21.88671875" style="62" customWidth="1"/>
    <col min="3331" max="3331" width="4.77734375" style="62" customWidth="1"/>
    <col min="3332" max="3332" width="14.109375" style="62" customWidth="1"/>
    <col min="3333" max="3333" width="9.109375" style="62" customWidth="1"/>
    <col min="3334" max="3334" width="6.77734375" style="62" customWidth="1"/>
    <col min="3335" max="3335" width="6.5546875" style="62" customWidth="1"/>
    <col min="3336" max="3336" width="7.21875" style="62" customWidth="1"/>
    <col min="3337" max="3337" width="8.5546875" style="62" customWidth="1"/>
    <col min="3338" max="3338" width="8.44140625" style="62" customWidth="1"/>
    <col min="3339" max="3339" width="6.77734375" style="62" customWidth="1"/>
    <col min="3340" max="3340" width="10.44140625" style="62" customWidth="1"/>
    <col min="3341" max="3341" width="12.21875" style="62" customWidth="1"/>
    <col min="3342" max="3342" width="6" style="62" customWidth="1"/>
    <col min="3343" max="3343" width="7.77734375" style="62" customWidth="1"/>
    <col min="3344" max="3344" width="9.5546875" style="62" customWidth="1"/>
    <col min="3345" max="3345" width="15.44140625" style="62" customWidth="1"/>
    <col min="3346" max="3347" width="8.6640625" style="62" customWidth="1"/>
    <col min="3348" max="3348" width="15.44140625" style="62" customWidth="1"/>
    <col min="3349" max="3349" width="11.44140625" style="62" customWidth="1"/>
    <col min="3350" max="3582" width="10" style="62"/>
    <col min="3583" max="3583" width="16.33203125" style="62" customWidth="1"/>
    <col min="3584" max="3584" width="25.6640625" style="62" customWidth="1"/>
    <col min="3585" max="3585" width="8.109375" style="62" customWidth="1"/>
    <col min="3586" max="3586" width="21.88671875" style="62" customWidth="1"/>
    <col min="3587" max="3587" width="4.77734375" style="62" customWidth="1"/>
    <col min="3588" max="3588" width="14.109375" style="62" customWidth="1"/>
    <col min="3589" max="3589" width="9.109375" style="62" customWidth="1"/>
    <col min="3590" max="3590" width="6.77734375" style="62" customWidth="1"/>
    <col min="3591" max="3591" width="6.5546875" style="62" customWidth="1"/>
    <col min="3592" max="3592" width="7.21875" style="62" customWidth="1"/>
    <col min="3593" max="3593" width="8.5546875" style="62" customWidth="1"/>
    <col min="3594" max="3594" width="8.44140625" style="62" customWidth="1"/>
    <col min="3595" max="3595" width="6.77734375" style="62" customWidth="1"/>
    <col min="3596" max="3596" width="10.44140625" style="62" customWidth="1"/>
    <col min="3597" max="3597" width="12.21875" style="62" customWidth="1"/>
    <col min="3598" max="3598" width="6" style="62" customWidth="1"/>
    <col min="3599" max="3599" width="7.77734375" style="62" customWidth="1"/>
    <col min="3600" max="3600" width="9.5546875" style="62" customWidth="1"/>
    <col min="3601" max="3601" width="15.44140625" style="62" customWidth="1"/>
    <col min="3602" max="3603" width="8.6640625" style="62" customWidth="1"/>
    <col min="3604" max="3604" width="15.44140625" style="62" customWidth="1"/>
    <col min="3605" max="3605" width="11.44140625" style="62" customWidth="1"/>
    <col min="3606" max="3838" width="10" style="62"/>
    <col min="3839" max="3839" width="16.33203125" style="62" customWidth="1"/>
    <col min="3840" max="3840" width="25.6640625" style="62" customWidth="1"/>
    <col min="3841" max="3841" width="8.109375" style="62" customWidth="1"/>
    <col min="3842" max="3842" width="21.88671875" style="62" customWidth="1"/>
    <col min="3843" max="3843" width="4.77734375" style="62" customWidth="1"/>
    <col min="3844" max="3844" width="14.109375" style="62" customWidth="1"/>
    <col min="3845" max="3845" width="9.109375" style="62" customWidth="1"/>
    <col min="3846" max="3846" width="6.77734375" style="62" customWidth="1"/>
    <col min="3847" max="3847" width="6.5546875" style="62" customWidth="1"/>
    <col min="3848" max="3848" width="7.21875" style="62" customWidth="1"/>
    <col min="3849" max="3849" width="8.5546875" style="62" customWidth="1"/>
    <col min="3850" max="3850" width="8.44140625" style="62" customWidth="1"/>
    <col min="3851" max="3851" width="6.77734375" style="62" customWidth="1"/>
    <col min="3852" max="3852" width="10.44140625" style="62" customWidth="1"/>
    <col min="3853" max="3853" width="12.21875" style="62" customWidth="1"/>
    <col min="3854" max="3854" width="6" style="62" customWidth="1"/>
    <col min="3855" max="3855" width="7.77734375" style="62" customWidth="1"/>
    <col min="3856" max="3856" width="9.5546875" style="62" customWidth="1"/>
    <col min="3857" max="3857" width="15.44140625" style="62" customWidth="1"/>
    <col min="3858" max="3859" width="8.6640625" style="62" customWidth="1"/>
    <col min="3860" max="3860" width="15.44140625" style="62" customWidth="1"/>
    <col min="3861" max="3861" width="11.44140625" style="62" customWidth="1"/>
    <col min="3862" max="4094" width="10" style="62"/>
    <col min="4095" max="4095" width="16.33203125" style="62" customWidth="1"/>
    <col min="4096" max="4096" width="25.6640625" style="62" customWidth="1"/>
    <col min="4097" max="4097" width="8.109375" style="62" customWidth="1"/>
    <col min="4098" max="4098" width="21.88671875" style="62" customWidth="1"/>
    <col min="4099" max="4099" width="4.77734375" style="62" customWidth="1"/>
    <col min="4100" max="4100" width="14.109375" style="62" customWidth="1"/>
    <col min="4101" max="4101" width="9.109375" style="62" customWidth="1"/>
    <col min="4102" max="4102" width="6.77734375" style="62" customWidth="1"/>
    <col min="4103" max="4103" width="6.5546875" style="62" customWidth="1"/>
    <col min="4104" max="4104" width="7.21875" style="62" customWidth="1"/>
    <col min="4105" max="4105" width="8.5546875" style="62" customWidth="1"/>
    <col min="4106" max="4106" width="8.44140625" style="62" customWidth="1"/>
    <col min="4107" max="4107" width="6.77734375" style="62" customWidth="1"/>
    <col min="4108" max="4108" width="10.44140625" style="62" customWidth="1"/>
    <col min="4109" max="4109" width="12.21875" style="62" customWidth="1"/>
    <col min="4110" max="4110" width="6" style="62" customWidth="1"/>
    <col min="4111" max="4111" width="7.77734375" style="62" customWidth="1"/>
    <col min="4112" max="4112" width="9.5546875" style="62" customWidth="1"/>
    <col min="4113" max="4113" width="15.44140625" style="62" customWidth="1"/>
    <col min="4114" max="4115" width="8.6640625" style="62" customWidth="1"/>
    <col min="4116" max="4116" width="15.44140625" style="62" customWidth="1"/>
    <col min="4117" max="4117" width="11.44140625" style="62" customWidth="1"/>
    <col min="4118" max="4350" width="10" style="62"/>
    <col min="4351" max="4351" width="16.33203125" style="62" customWidth="1"/>
    <col min="4352" max="4352" width="25.6640625" style="62" customWidth="1"/>
    <col min="4353" max="4353" width="8.109375" style="62" customWidth="1"/>
    <col min="4354" max="4354" width="21.88671875" style="62" customWidth="1"/>
    <col min="4355" max="4355" width="4.77734375" style="62" customWidth="1"/>
    <col min="4356" max="4356" width="14.109375" style="62" customWidth="1"/>
    <col min="4357" max="4357" width="9.109375" style="62" customWidth="1"/>
    <col min="4358" max="4358" width="6.77734375" style="62" customWidth="1"/>
    <col min="4359" max="4359" width="6.5546875" style="62" customWidth="1"/>
    <col min="4360" max="4360" width="7.21875" style="62" customWidth="1"/>
    <col min="4361" max="4361" width="8.5546875" style="62" customWidth="1"/>
    <col min="4362" max="4362" width="8.44140625" style="62" customWidth="1"/>
    <col min="4363" max="4363" width="6.77734375" style="62" customWidth="1"/>
    <col min="4364" max="4364" width="10.44140625" style="62" customWidth="1"/>
    <col min="4365" max="4365" width="12.21875" style="62" customWidth="1"/>
    <col min="4366" max="4366" width="6" style="62" customWidth="1"/>
    <col min="4367" max="4367" width="7.77734375" style="62" customWidth="1"/>
    <col min="4368" max="4368" width="9.5546875" style="62" customWidth="1"/>
    <col min="4369" max="4369" width="15.44140625" style="62" customWidth="1"/>
    <col min="4370" max="4371" width="8.6640625" style="62" customWidth="1"/>
    <col min="4372" max="4372" width="15.44140625" style="62" customWidth="1"/>
    <col min="4373" max="4373" width="11.44140625" style="62" customWidth="1"/>
    <col min="4374" max="4606" width="10" style="62"/>
    <col min="4607" max="4607" width="16.33203125" style="62" customWidth="1"/>
    <col min="4608" max="4608" width="25.6640625" style="62" customWidth="1"/>
    <col min="4609" max="4609" width="8.109375" style="62" customWidth="1"/>
    <col min="4610" max="4610" width="21.88671875" style="62" customWidth="1"/>
    <col min="4611" max="4611" width="4.77734375" style="62" customWidth="1"/>
    <col min="4612" max="4612" width="14.109375" style="62" customWidth="1"/>
    <col min="4613" max="4613" width="9.109375" style="62" customWidth="1"/>
    <col min="4614" max="4614" width="6.77734375" style="62" customWidth="1"/>
    <col min="4615" max="4615" width="6.5546875" style="62" customWidth="1"/>
    <col min="4616" max="4616" width="7.21875" style="62" customWidth="1"/>
    <col min="4617" max="4617" width="8.5546875" style="62" customWidth="1"/>
    <col min="4618" max="4618" width="8.44140625" style="62" customWidth="1"/>
    <col min="4619" max="4619" width="6.77734375" style="62" customWidth="1"/>
    <col min="4620" max="4620" width="10.44140625" style="62" customWidth="1"/>
    <col min="4621" max="4621" width="12.21875" style="62" customWidth="1"/>
    <col min="4622" max="4622" width="6" style="62" customWidth="1"/>
    <col min="4623" max="4623" width="7.77734375" style="62" customWidth="1"/>
    <col min="4624" max="4624" width="9.5546875" style="62" customWidth="1"/>
    <col min="4625" max="4625" width="15.44140625" style="62" customWidth="1"/>
    <col min="4626" max="4627" width="8.6640625" style="62" customWidth="1"/>
    <col min="4628" max="4628" width="15.44140625" style="62" customWidth="1"/>
    <col min="4629" max="4629" width="11.44140625" style="62" customWidth="1"/>
    <col min="4630" max="4862" width="10" style="62"/>
    <col min="4863" max="4863" width="16.33203125" style="62" customWidth="1"/>
    <col min="4864" max="4864" width="25.6640625" style="62" customWidth="1"/>
    <col min="4865" max="4865" width="8.109375" style="62" customWidth="1"/>
    <col min="4866" max="4866" width="21.88671875" style="62" customWidth="1"/>
    <col min="4867" max="4867" width="4.77734375" style="62" customWidth="1"/>
    <col min="4868" max="4868" width="14.109375" style="62" customWidth="1"/>
    <col min="4869" max="4869" width="9.109375" style="62" customWidth="1"/>
    <col min="4870" max="4870" width="6.77734375" style="62" customWidth="1"/>
    <col min="4871" max="4871" width="6.5546875" style="62" customWidth="1"/>
    <col min="4872" max="4872" width="7.21875" style="62" customWidth="1"/>
    <col min="4873" max="4873" width="8.5546875" style="62" customWidth="1"/>
    <col min="4874" max="4874" width="8.44140625" style="62" customWidth="1"/>
    <col min="4875" max="4875" width="6.77734375" style="62" customWidth="1"/>
    <col min="4876" max="4876" width="10.44140625" style="62" customWidth="1"/>
    <col min="4877" max="4877" width="12.21875" style="62" customWidth="1"/>
    <col min="4878" max="4878" width="6" style="62" customWidth="1"/>
    <col min="4879" max="4879" width="7.77734375" style="62" customWidth="1"/>
    <col min="4880" max="4880" width="9.5546875" style="62" customWidth="1"/>
    <col min="4881" max="4881" width="15.44140625" style="62" customWidth="1"/>
    <col min="4882" max="4883" width="8.6640625" style="62" customWidth="1"/>
    <col min="4884" max="4884" width="15.44140625" style="62" customWidth="1"/>
    <col min="4885" max="4885" width="11.44140625" style="62" customWidth="1"/>
    <col min="4886" max="5118" width="10" style="62"/>
    <col min="5119" max="5119" width="16.33203125" style="62" customWidth="1"/>
    <col min="5120" max="5120" width="25.6640625" style="62" customWidth="1"/>
    <col min="5121" max="5121" width="8.109375" style="62" customWidth="1"/>
    <col min="5122" max="5122" width="21.88671875" style="62" customWidth="1"/>
    <col min="5123" max="5123" width="4.77734375" style="62" customWidth="1"/>
    <col min="5124" max="5124" width="14.109375" style="62" customWidth="1"/>
    <col min="5125" max="5125" width="9.109375" style="62" customWidth="1"/>
    <col min="5126" max="5126" width="6.77734375" style="62" customWidth="1"/>
    <col min="5127" max="5127" width="6.5546875" style="62" customWidth="1"/>
    <col min="5128" max="5128" width="7.21875" style="62" customWidth="1"/>
    <col min="5129" max="5129" width="8.5546875" style="62" customWidth="1"/>
    <col min="5130" max="5130" width="8.44140625" style="62" customWidth="1"/>
    <col min="5131" max="5131" width="6.77734375" style="62" customWidth="1"/>
    <col min="5132" max="5132" width="10.44140625" style="62" customWidth="1"/>
    <col min="5133" max="5133" width="12.21875" style="62" customWidth="1"/>
    <col min="5134" max="5134" width="6" style="62" customWidth="1"/>
    <col min="5135" max="5135" width="7.77734375" style="62" customWidth="1"/>
    <col min="5136" max="5136" width="9.5546875" style="62" customWidth="1"/>
    <col min="5137" max="5137" width="15.44140625" style="62" customWidth="1"/>
    <col min="5138" max="5139" width="8.6640625" style="62" customWidth="1"/>
    <col min="5140" max="5140" width="15.44140625" style="62" customWidth="1"/>
    <col min="5141" max="5141" width="11.44140625" style="62" customWidth="1"/>
    <col min="5142" max="5374" width="10" style="62"/>
    <col min="5375" max="5375" width="16.33203125" style="62" customWidth="1"/>
    <col min="5376" max="5376" width="25.6640625" style="62" customWidth="1"/>
    <col min="5377" max="5377" width="8.109375" style="62" customWidth="1"/>
    <col min="5378" max="5378" width="21.88671875" style="62" customWidth="1"/>
    <col min="5379" max="5379" width="4.77734375" style="62" customWidth="1"/>
    <col min="5380" max="5380" width="14.109375" style="62" customWidth="1"/>
    <col min="5381" max="5381" width="9.109375" style="62" customWidth="1"/>
    <col min="5382" max="5382" width="6.77734375" style="62" customWidth="1"/>
    <col min="5383" max="5383" width="6.5546875" style="62" customWidth="1"/>
    <col min="5384" max="5384" width="7.21875" style="62" customWidth="1"/>
    <col min="5385" max="5385" width="8.5546875" style="62" customWidth="1"/>
    <col min="5386" max="5386" width="8.44140625" style="62" customWidth="1"/>
    <col min="5387" max="5387" width="6.77734375" style="62" customWidth="1"/>
    <col min="5388" max="5388" width="10.44140625" style="62" customWidth="1"/>
    <col min="5389" max="5389" width="12.21875" style="62" customWidth="1"/>
    <col min="5390" max="5390" width="6" style="62" customWidth="1"/>
    <col min="5391" max="5391" width="7.77734375" style="62" customWidth="1"/>
    <col min="5392" max="5392" width="9.5546875" style="62" customWidth="1"/>
    <col min="5393" max="5393" width="15.44140625" style="62" customWidth="1"/>
    <col min="5394" max="5395" width="8.6640625" style="62" customWidth="1"/>
    <col min="5396" max="5396" width="15.44140625" style="62" customWidth="1"/>
    <col min="5397" max="5397" width="11.44140625" style="62" customWidth="1"/>
    <col min="5398" max="5630" width="10" style="62"/>
    <col min="5631" max="5631" width="16.33203125" style="62" customWidth="1"/>
    <col min="5632" max="5632" width="25.6640625" style="62" customWidth="1"/>
    <col min="5633" max="5633" width="8.109375" style="62" customWidth="1"/>
    <col min="5634" max="5634" width="21.88671875" style="62" customWidth="1"/>
    <col min="5635" max="5635" width="4.77734375" style="62" customWidth="1"/>
    <col min="5636" max="5636" width="14.109375" style="62" customWidth="1"/>
    <col min="5637" max="5637" width="9.109375" style="62" customWidth="1"/>
    <col min="5638" max="5638" width="6.77734375" style="62" customWidth="1"/>
    <col min="5639" max="5639" width="6.5546875" style="62" customWidth="1"/>
    <col min="5640" max="5640" width="7.21875" style="62" customWidth="1"/>
    <col min="5641" max="5641" width="8.5546875" style="62" customWidth="1"/>
    <col min="5642" max="5642" width="8.44140625" style="62" customWidth="1"/>
    <col min="5643" max="5643" width="6.77734375" style="62" customWidth="1"/>
    <col min="5644" max="5644" width="10.44140625" style="62" customWidth="1"/>
    <col min="5645" max="5645" width="12.21875" style="62" customWidth="1"/>
    <col min="5646" max="5646" width="6" style="62" customWidth="1"/>
    <col min="5647" max="5647" width="7.77734375" style="62" customWidth="1"/>
    <col min="5648" max="5648" width="9.5546875" style="62" customWidth="1"/>
    <col min="5649" max="5649" width="15.44140625" style="62" customWidth="1"/>
    <col min="5650" max="5651" width="8.6640625" style="62" customWidth="1"/>
    <col min="5652" max="5652" width="15.44140625" style="62" customWidth="1"/>
    <col min="5653" max="5653" width="11.44140625" style="62" customWidth="1"/>
    <col min="5654" max="5886" width="10" style="62"/>
    <col min="5887" max="5887" width="16.33203125" style="62" customWidth="1"/>
    <col min="5888" max="5888" width="25.6640625" style="62" customWidth="1"/>
    <col min="5889" max="5889" width="8.109375" style="62" customWidth="1"/>
    <col min="5890" max="5890" width="21.88671875" style="62" customWidth="1"/>
    <col min="5891" max="5891" width="4.77734375" style="62" customWidth="1"/>
    <col min="5892" max="5892" width="14.109375" style="62" customWidth="1"/>
    <col min="5893" max="5893" width="9.109375" style="62" customWidth="1"/>
    <col min="5894" max="5894" width="6.77734375" style="62" customWidth="1"/>
    <col min="5895" max="5895" width="6.5546875" style="62" customWidth="1"/>
    <col min="5896" max="5896" width="7.21875" style="62" customWidth="1"/>
    <col min="5897" max="5897" width="8.5546875" style="62" customWidth="1"/>
    <col min="5898" max="5898" width="8.44140625" style="62" customWidth="1"/>
    <col min="5899" max="5899" width="6.77734375" style="62" customWidth="1"/>
    <col min="5900" max="5900" width="10.44140625" style="62" customWidth="1"/>
    <col min="5901" max="5901" width="12.21875" style="62" customWidth="1"/>
    <col min="5902" max="5902" width="6" style="62" customWidth="1"/>
    <col min="5903" max="5903" width="7.77734375" style="62" customWidth="1"/>
    <col min="5904" max="5904" width="9.5546875" style="62" customWidth="1"/>
    <col min="5905" max="5905" width="15.44140625" style="62" customWidth="1"/>
    <col min="5906" max="5907" width="8.6640625" style="62" customWidth="1"/>
    <col min="5908" max="5908" width="15.44140625" style="62" customWidth="1"/>
    <col min="5909" max="5909" width="11.44140625" style="62" customWidth="1"/>
    <col min="5910" max="6142" width="10" style="62"/>
    <col min="6143" max="6143" width="16.33203125" style="62" customWidth="1"/>
    <col min="6144" max="6144" width="25.6640625" style="62" customWidth="1"/>
    <col min="6145" max="6145" width="8.109375" style="62" customWidth="1"/>
    <col min="6146" max="6146" width="21.88671875" style="62" customWidth="1"/>
    <col min="6147" max="6147" width="4.77734375" style="62" customWidth="1"/>
    <col min="6148" max="6148" width="14.109375" style="62" customWidth="1"/>
    <col min="6149" max="6149" width="9.109375" style="62" customWidth="1"/>
    <col min="6150" max="6150" width="6.77734375" style="62" customWidth="1"/>
    <col min="6151" max="6151" width="6.5546875" style="62" customWidth="1"/>
    <col min="6152" max="6152" width="7.21875" style="62" customWidth="1"/>
    <col min="6153" max="6153" width="8.5546875" style="62" customWidth="1"/>
    <col min="6154" max="6154" width="8.44140625" style="62" customWidth="1"/>
    <col min="6155" max="6155" width="6.77734375" style="62" customWidth="1"/>
    <col min="6156" max="6156" width="10.44140625" style="62" customWidth="1"/>
    <col min="6157" max="6157" width="12.21875" style="62" customWidth="1"/>
    <col min="6158" max="6158" width="6" style="62" customWidth="1"/>
    <col min="6159" max="6159" width="7.77734375" style="62" customWidth="1"/>
    <col min="6160" max="6160" width="9.5546875" style="62" customWidth="1"/>
    <col min="6161" max="6161" width="15.44140625" style="62" customWidth="1"/>
    <col min="6162" max="6163" width="8.6640625" style="62" customWidth="1"/>
    <col min="6164" max="6164" width="15.44140625" style="62" customWidth="1"/>
    <col min="6165" max="6165" width="11.44140625" style="62" customWidth="1"/>
    <col min="6166" max="6398" width="10" style="62"/>
    <col min="6399" max="6399" width="16.33203125" style="62" customWidth="1"/>
    <col min="6400" max="6400" width="25.6640625" style="62" customWidth="1"/>
    <col min="6401" max="6401" width="8.109375" style="62" customWidth="1"/>
    <col min="6402" max="6402" width="21.88671875" style="62" customWidth="1"/>
    <col min="6403" max="6403" width="4.77734375" style="62" customWidth="1"/>
    <col min="6404" max="6404" width="14.109375" style="62" customWidth="1"/>
    <col min="6405" max="6405" width="9.109375" style="62" customWidth="1"/>
    <col min="6406" max="6406" width="6.77734375" style="62" customWidth="1"/>
    <col min="6407" max="6407" width="6.5546875" style="62" customWidth="1"/>
    <col min="6408" max="6408" width="7.21875" style="62" customWidth="1"/>
    <col min="6409" max="6409" width="8.5546875" style="62" customWidth="1"/>
    <col min="6410" max="6410" width="8.44140625" style="62" customWidth="1"/>
    <col min="6411" max="6411" width="6.77734375" style="62" customWidth="1"/>
    <col min="6412" max="6412" width="10.44140625" style="62" customWidth="1"/>
    <col min="6413" max="6413" width="12.21875" style="62" customWidth="1"/>
    <col min="6414" max="6414" width="6" style="62" customWidth="1"/>
    <col min="6415" max="6415" width="7.77734375" style="62" customWidth="1"/>
    <col min="6416" max="6416" width="9.5546875" style="62" customWidth="1"/>
    <col min="6417" max="6417" width="15.44140625" style="62" customWidth="1"/>
    <col min="6418" max="6419" width="8.6640625" style="62" customWidth="1"/>
    <col min="6420" max="6420" width="15.44140625" style="62" customWidth="1"/>
    <col min="6421" max="6421" width="11.44140625" style="62" customWidth="1"/>
    <col min="6422" max="6654" width="10" style="62"/>
    <col min="6655" max="6655" width="16.33203125" style="62" customWidth="1"/>
    <col min="6656" max="6656" width="25.6640625" style="62" customWidth="1"/>
    <col min="6657" max="6657" width="8.109375" style="62" customWidth="1"/>
    <col min="6658" max="6658" width="21.88671875" style="62" customWidth="1"/>
    <col min="6659" max="6659" width="4.77734375" style="62" customWidth="1"/>
    <col min="6660" max="6660" width="14.109375" style="62" customWidth="1"/>
    <col min="6661" max="6661" width="9.109375" style="62" customWidth="1"/>
    <col min="6662" max="6662" width="6.77734375" style="62" customWidth="1"/>
    <col min="6663" max="6663" width="6.5546875" style="62" customWidth="1"/>
    <col min="6664" max="6664" width="7.21875" style="62" customWidth="1"/>
    <col min="6665" max="6665" width="8.5546875" style="62" customWidth="1"/>
    <col min="6666" max="6666" width="8.44140625" style="62" customWidth="1"/>
    <col min="6667" max="6667" width="6.77734375" style="62" customWidth="1"/>
    <col min="6668" max="6668" width="10.44140625" style="62" customWidth="1"/>
    <col min="6669" max="6669" width="12.21875" style="62" customWidth="1"/>
    <col min="6670" max="6670" width="6" style="62" customWidth="1"/>
    <col min="6671" max="6671" width="7.77734375" style="62" customWidth="1"/>
    <col min="6672" max="6672" width="9.5546875" style="62" customWidth="1"/>
    <col min="6673" max="6673" width="15.44140625" style="62" customWidth="1"/>
    <col min="6674" max="6675" width="8.6640625" style="62" customWidth="1"/>
    <col min="6676" max="6676" width="15.44140625" style="62" customWidth="1"/>
    <col min="6677" max="6677" width="11.44140625" style="62" customWidth="1"/>
    <col min="6678" max="6910" width="10" style="62"/>
    <col min="6911" max="6911" width="16.33203125" style="62" customWidth="1"/>
    <col min="6912" max="6912" width="25.6640625" style="62" customWidth="1"/>
    <col min="6913" max="6913" width="8.109375" style="62" customWidth="1"/>
    <col min="6914" max="6914" width="21.88671875" style="62" customWidth="1"/>
    <col min="6915" max="6915" width="4.77734375" style="62" customWidth="1"/>
    <col min="6916" max="6916" width="14.109375" style="62" customWidth="1"/>
    <col min="6917" max="6917" width="9.109375" style="62" customWidth="1"/>
    <col min="6918" max="6918" width="6.77734375" style="62" customWidth="1"/>
    <col min="6919" max="6919" width="6.5546875" style="62" customWidth="1"/>
    <col min="6920" max="6920" width="7.21875" style="62" customWidth="1"/>
    <col min="6921" max="6921" width="8.5546875" style="62" customWidth="1"/>
    <col min="6922" max="6922" width="8.44140625" style="62" customWidth="1"/>
    <col min="6923" max="6923" width="6.77734375" style="62" customWidth="1"/>
    <col min="6924" max="6924" width="10.44140625" style="62" customWidth="1"/>
    <col min="6925" max="6925" width="12.21875" style="62" customWidth="1"/>
    <col min="6926" max="6926" width="6" style="62" customWidth="1"/>
    <col min="6927" max="6927" width="7.77734375" style="62" customWidth="1"/>
    <col min="6928" max="6928" width="9.5546875" style="62" customWidth="1"/>
    <col min="6929" max="6929" width="15.44140625" style="62" customWidth="1"/>
    <col min="6930" max="6931" width="8.6640625" style="62" customWidth="1"/>
    <col min="6932" max="6932" width="15.44140625" style="62" customWidth="1"/>
    <col min="6933" max="6933" width="11.44140625" style="62" customWidth="1"/>
    <col min="6934" max="7166" width="10" style="62"/>
    <col min="7167" max="7167" width="16.33203125" style="62" customWidth="1"/>
    <col min="7168" max="7168" width="25.6640625" style="62" customWidth="1"/>
    <col min="7169" max="7169" width="8.109375" style="62" customWidth="1"/>
    <col min="7170" max="7170" width="21.88671875" style="62" customWidth="1"/>
    <col min="7171" max="7171" width="4.77734375" style="62" customWidth="1"/>
    <col min="7172" max="7172" width="14.109375" style="62" customWidth="1"/>
    <col min="7173" max="7173" width="9.109375" style="62" customWidth="1"/>
    <col min="7174" max="7174" width="6.77734375" style="62" customWidth="1"/>
    <col min="7175" max="7175" width="6.5546875" style="62" customWidth="1"/>
    <col min="7176" max="7176" width="7.21875" style="62" customWidth="1"/>
    <col min="7177" max="7177" width="8.5546875" style="62" customWidth="1"/>
    <col min="7178" max="7178" width="8.44140625" style="62" customWidth="1"/>
    <col min="7179" max="7179" width="6.77734375" style="62" customWidth="1"/>
    <col min="7180" max="7180" width="10.44140625" style="62" customWidth="1"/>
    <col min="7181" max="7181" width="12.21875" style="62" customWidth="1"/>
    <col min="7182" max="7182" width="6" style="62" customWidth="1"/>
    <col min="7183" max="7183" width="7.77734375" style="62" customWidth="1"/>
    <col min="7184" max="7184" width="9.5546875" style="62" customWidth="1"/>
    <col min="7185" max="7185" width="15.44140625" style="62" customWidth="1"/>
    <col min="7186" max="7187" width="8.6640625" style="62" customWidth="1"/>
    <col min="7188" max="7188" width="15.44140625" style="62" customWidth="1"/>
    <col min="7189" max="7189" width="11.44140625" style="62" customWidth="1"/>
    <col min="7190" max="7422" width="10" style="62"/>
    <col min="7423" max="7423" width="16.33203125" style="62" customWidth="1"/>
    <col min="7424" max="7424" width="25.6640625" style="62" customWidth="1"/>
    <col min="7425" max="7425" width="8.109375" style="62" customWidth="1"/>
    <col min="7426" max="7426" width="21.88671875" style="62" customWidth="1"/>
    <col min="7427" max="7427" width="4.77734375" style="62" customWidth="1"/>
    <col min="7428" max="7428" width="14.109375" style="62" customWidth="1"/>
    <col min="7429" max="7429" width="9.109375" style="62" customWidth="1"/>
    <col min="7430" max="7430" width="6.77734375" style="62" customWidth="1"/>
    <col min="7431" max="7431" width="6.5546875" style="62" customWidth="1"/>
    <col min="7432" max="7432" width="7.21875" style="62" customWidth="1"/>
    <col min="7433" max="7433" width="8.5546875" style="62" customWidth="1"/>
    <col min="7434" max="7434" width="8.44140625" style="62" customWidth="1"/>
    <col min="7435" max="7435" width="6.77734375" style="62" customWidth="1"/>
    <col min="7436" max="7436" width="10.44140625" style="62" customWidth="1"/>
    <col min="7437" max="7437" width="12.21875" style="62" customWidth="1"/>
    <col min="7438" max="7438" width="6" style="62" customWidth="1"/>
    <col min="7439" max="7439" width="7.77734375" style="62" customWidth="1"/>
    <col min="7440" max="7440" width="9.5546875" style="62" customWidth="1"/>
    <col min="7441" max="7441" width="15.44140625" style="62" customWidth="1"/>
    <col min="7442" max="7443" width="8.6640625" style="62" customWidth="1"/>
    <col min="7444" max="7444" width="15.44140625" style="62" customWidth="1"/>
    <col min="7445" max="7445" width="11.44140625" style="62" customWidth="1"/>
    <col min="7446" max="7678" width="10" style="62"/>
    <col min="7679" max="7679" width="16.33203125" style="62" customWidth="1"/>
    <col min="7680" max="7680" width="25.6640625" style="62" customWidth="1"/>
    <col min="7681" max="7681" width="8.109375" style="62" customWidth="1"/>
    <col min="7682" max="7682" width="21.88671875" style="62" customWidth="1"/>
    <col min="7683" max="7683" width="4.77734375" style="62" customWidth="1"/>
    <col min="7684" max="7684" width="14.109375" style="62" customWidth="1"/>
    <col min="7685" max="7685" width="9.109375" style="62" customWidth="1"/>
    <col min="7686" max="7686" width="6.77734375" style="62" customWidth="1"/>
    <col min="7687" max="7687" width="6.5546875" style="62" customWidth="1"/>
    <col min="7688" max="7688" width="7.21875" style="62" customWidth="1"/>
    <col min="7689" max="7689" width="8.5546875" style="62" customWidth="1"/>
    <col min="7690" max="7690" width="8.44140625" style="62" customWidth="1"/>
    <col min="7691" max="7691" width="6.77734375" style="62" customWidth="1"/>
    <col min="7692" max="7692" width="10.44140625" style="62" customWidth="1"/>
    <col min="7693" max="7693" width="12.21875" style="62" customWidth="1"/>
    <col min="7694" max="7694" width="6" style="62" customWidth="1"/>
    <col min="7695" max="7695" width="7.77734375" style="62" customWidth="1"/>
    <col min="7696" max="7696" width="9.5546875" style="62" customWidth="1"/>
    <col min="7697" max="7697" width="15.44140625" style="62" customWidth="1"/>
    <col min="7698" max="7699" width="8.6640625" style="62" customWidth="1"/>
    <col min="7700" max="7700" width="15.44140625" style="62" customWidth="1"/>
    <col min="7701" max="7701" width="11.44140625" style="62" customWidth="1"/>
    <col min="7702" max="7934" width="10" style="62"/>
    <col min="7935" max="7935" width="16.33203125" style="62" customWidth="1"/>
    <col min="7936" max="7936" width="25.6640625" style="62" customWidth="1"/>
    <col min="7937" max="7937" width="8.109375" style="62" customWidth="1"/>
    <col min="7938" max="7938" width="21.88671875" style="62" customWidth="1"/>
    <col min="7939" max="7939" width="4.77734375" style="62" customWidth="1"/>
    <col min="7940" max="7940" width="14.109375" style="62" customWidth="1"/>
    <col min="7941" max="7941" width="9.109375" style="62" customWidth="1"/>
    <col min="7942" max="7942" width="6.77734375" style="62" customWidth="1"/>
    <col min="7943" max="7943" width="6.5546875" style="62" customWidth="1"/>
    <col min="7944" max="7944" width="7.21875" style="62" customWidth="1"/>
    <col min="7945" max="7945" width="8.5546875" style="62" customWidth="1"/>
    <col min="7946" max="7946" width="8.44140625" style="62" customWidth="1"/>
    <col min="7947" max="7947" width="6.77734375" style="62" customWidth="1"/>
    <col min="7948" max="7948" width="10.44140625" style="62" customWidth="1"/>
    <col min="7949" max="7949" width="12.21875" style="62" customWidth="1"/>
    <col min="7950" max="7950" width="6" style="62" customWidth="1"/>
    <col min="7951" max="7951" width="7.77734375" style="62" customWidth="1"/>
    <col min="7952" max="7952" width="9.5546875" style="62" customWidth="1"/>
    <col min="7953" max="7953" width="15.44140625" style="62" customWidth="1"/>
    <col min="7954" max="7955" width="8.6640625" style="62" customWidth="1"/>
    <col min="7956" max="7956" width="15.44140625" style="62" customWidth="1"/>
    <col min="7957" max="7957" width="11.44140625" style="62" customWidth="1"/>
    <col min="7958" max="8190" width="10" style="62"/>
    <col min="8191" max="8191" width="16.33203125" style="62" customWidth="1"/>
    <col min="8192" max="8192" width="25.6640625" style="62" customWidth="1"/>
    <col min="8193" max="8193" width="8.109375" style="62" customWidth="1"/>
    <col min="8194" max="8194" width="21.88671875" style="62" customWidth="1"/>
    <col min="8195" max="8195" width="4.77734375" style="62" customWidth="1"/>
    <col min="8196" max="8196" width="14.109375" style="62" customWidth="1"/>
    <col min="8197" max="8197" width="9.109375" style="62" customWidth="1"/>
    <col min="8198" max="8198" width="6.77734375" style="62" customWidth="1"/>
    <col min="8199" max="8199" width="6.5546875" style="62" customWidth="1"/>
    <col min="8200" max="8200" width="7.21875" style="62" customWidth="1"/>
    <col min="8201" max="8201" width="8.5546875" style="62" customWidth="1"/>
    <col min="8202" max="8202" width="8.44140625" style="62" customWidth="1"/>
    <col min="8203" max="8203" width="6.77734375" style="62" customWidth="1"/>
    <col min="8204" max="8204" width="10.44140625" style="62" customWidth="1"/>
    <col min="8205" max="8205" width="12.21875" style="62" customWidth="1"/>
    <col min="8206" max="8206" width="6" style="62" customWidth="1"/>
    <col min="8207" max="8207" width="7.77734375" style="62" customWidth="1"/>
    <col min="8208" max="8208" width="9.5546875" style="62" customWidth="1"/>
    <col min="8209" max="8209" width="15.44140625" style="62" customWidth="1"/>
    <col min="8210" max="8211" width="8.6640625" style="62" customWidth="1"/>
    <col min="8212" max="8212" width="15.44140625" style="62" customWidth="1"/>
    <col min="8213" max="8213" width="11.44140625" style="62" customWidth="1"/>
    <col min="8214" max="8446" width="10" style="62"/>
    <col min="8447" max="8447" width="16.33203125" style="62" customWidth="1"/>
    <col min="8448" max="8448" width="25.6640625" style="62" customWidth="1"/>
    <col min="8449" max="8449" width="8.109375" style="62" customWidth="1"/>
    <col min="8450" max="8450" width="21.88671875" style="62" customWidth="1"/>
    <col min="8451" max="8451" width="4.77734375" style="62" customWidth="1"/>
    <col min="8452" max="8452" width="14.109375" style="62" customWidth="1"/>
    <col min="8453" max="8453" width="9.109375" style="62" customWidth="1"/>
    <col min="8454" max="8454" width="6.77734375" style="62" customWidth="1"/>
    <col min="8455" max="8455" width="6.5546875" style="62" customWidth="1"/>
    <col min="8456" max="8456" width="7.21875" style="62" customWidth="1"/>
    <col min="8457" max="8457" width="8.5546875" style="62" customWidth="1"/>
    <col min="8458" max="8458" width="8.44140625" style="62" customWidth="1"/>
    <col min="8459" max="8459" width="6.77734375" style="62" customWidth="1"/>
    <col min="8460" max="8460" width="10.44140625" style="62" customWidth="1"/>
    <col min="8461" max="8461" width="12.21875" style="62" customWidth="1"/>
    <col min="8462" max="8462" width="6" style="62" customWidth="1"/>
    <col min="8463" max="8463" width="7.77734375" style="62" customWidth="1"/>
    <col min="8464" max="8464" width="9.5546875" style="62" customWidth="1"/>
    <col min="8465" max="8465" width="15.44140625" style="62" customWidth="1"/>
    <col min="8466" max="8467" width="8.6640625" style="62" customWidth="1"/>
    <col min="8468" max="8468" width="15.44140625" style="62" customWidth="1"/>
    <col min="8469" max="8469" width="11.44140625" style="62" customWidth="1"/>
    <col min="8470" max="8702" width="10" style="62"/>
    <col min="8703" max="8703" width="16.33203125" style="62" customWidth="1"/>
    <col min="8704" max="8704" width="25.6640625" style="62" customWidth="1"/>
    <col min="8705" max="8705" width="8.109375" style="62" customWidth="1"/>
    <col min="8706" max="8706" width="21.88671875" style="62" customWidth="1"/>
    <col min="8707" max="8707" width="4.77734375" style="62" customWidth="1"/>
    <col min="8708" max="8708" width="14.109375" style="62" customWidth="1"/>
    <col min="8709" max="8709" width="9.109375" style="62" customWidth="1"/>
    <col min="8710" max="8710" width="6.77734375" style="62" customWidth="1"/>
    <col min="8711" max="8711" width="6.5546875" style="62" customWidth="1"/>
    <col min="8712" max="8712" width="7.21875" style="62" customWidth="1"/>
    <col min="8713" max="8713" width="8.5546875" style="62" customWidth="1"/>
    <col min="8714" max="8714" width="8.44140625" style="62" customWidth="1"/>
    <col min="8715" max="8715" width="6.77734375" style="62" customWidth="1"/>
    <col min="8716" max="8716" width="10.44140625" style="62" customWidth="1"/>
    <col min="8717" max="8717" width="12.21875" style="62" customWidth="1"/>
    <col min="8718" max="8718" width="6" style="62" customWidth="1"/>
    <col min="8719" max="8719" width="7.77734375" style="62" customWidth="1"/>
    <col min="8720" max="8720" width="9.5546875" style="62" customWidth="1"/>
    <col min="8721" max="8721" width="15.44140625" style="62" customWidth="1"/>
    <col min="8722" max="8723" width="8.6640625" style="62" customWidth="1"/>
    <col min="8724" max="8724" width="15.44140625" style="62" customWidth="1"/>
    <col min="8725" max="8725" width="11.44140625" style="62" customWidth="1"/>
    <col min="8726" max="8958" width="10" style="62"/>
    <col min="8959" max="8959" width="16.33203125" style="62" customWidth="1"/>
    <col min="8960" max="8960" width="25.6640625" style="62" customWidth="1"/>
    <col min="8961" max="8961" width="8.109375" style="62" customWidth="1"/>
    <col min="8962" max="8962" width="21.88671875" style="62" customWidth="1"/>
    <col min="8963" max="8963" width="4.77734375" style="62" customWidth="1"/>
    <col min="8964" max="8964" width="14.109375" style="62" customWidth="1"/>
    <col min="8965" max="8965" width="9.109375" style="62" customWidth="1"/>
    <col min="8966" max="8966" width="6.77734375" style="62" customWidth="1"/>
    <col min="8967" max="8967" width="6.5546875" style="62" customWidth="1"/>
    <col min="8968" max="8968" width="7.21875" style="62" customWidth="1"/>
    <col min="8969" max="8969" width="8.5546875" style="62" customWidth="1"/>
    <col min="8970" max="8970" width="8.44140625" style="62" customWidth="1"/>
    <col min="8971" max="8971" width="6.77734375" style="62" customWidth="1"/>
    <col min="8972" max="8972" width="10.44140625" style="62" customWidth="1"/>
    <col min="8973" max="8973" width="12.21875" style="62" customWidth="1"/>
    <col min="8974" max="8974" width="6" style="62" customWidth="1"/>
    <col min="8975" max="8975" width="7.77734375" style="62" customWidth="1"/>
    <col min="8976" max="8976" width="9.5546875" style="62" customWidth="1"/>
    <col min="8977" max="8977" width="15.44140625" style="62" customWidth="1"/>
    <col min="8978" max="8979" width="8.6640625" style="62" customWidth="1"/>
    <col min="8980" max="8980" width="15.44140625" style="62" customWidth="1"/>
    <col min="8981" max="8981" width="11.44140625" style="62" customWidth="1"/>
    <col min="8982" max="9214" width="10" style="62"/>
    <col min="9215" max="9215" width="16.33203125" style="62" customWidth="1"/>
    <col min="9216" max="9216" width="25.6640625" style="62" customWidth="1"/>
    <col min="9217" max="9217" width="8.109375" style="62" customWidth="1"/>
    <col min="9218" max="9218" width="21.88671875" style="62" customWidth="1"/>
    <col min="9219" max="9219" width="4.77734375" style="62" customWidth="1"/>
    <col min="9220" max="9220" width="14.109375" style="62" customWidth="1"/>
    <col min="9221" max="9221" width="9.109375" style="62" customWidth="1"/>
    <col min="9222" max="9222" width="6.77734375" style="62" customWidth="1"/>
    <col min="9223" max="9223" width="6.5546875" style="62" customWidth="1"/>
    <col min="9224" max="9224" width="7.21875" style="62" customWidth="1"/>
    <col min="9225" max="9225" width="8.5546875" style="62" customWidth="1"/>
    <col min="9226" max="9226" width="8.44140625" style="62" customWidth="1"/>
    <col min="9227" max="9227" width="6.77734375" style="62" customWidth="1"/>
    <col min="9228" max="9228" width="10.44140625" style="62" customWidth="1"/>
    <col min="9229" max="9229" width="12.21875" style="62" customWidth="1"/>
    <col min="9230" max="9230" width="6" style="62" customWidth="1"/>
    <col min="9231" max="9231" width="7.77734375" style="62" customWidth="1"/>
    <col min="9232" max="9232" width="9.5546875" style="62" customWidth="1"/>
    <col min="9233" max="9233" width="15.44140625" style="62" customWidth="1"/>
    <col min="9234" max="9235" width="8.6640625" style="62" customWidth="1"/>
    <col min="9236" max="9236" width="15.44140625" style="62" customWidth="1"/>
    <col min="9237" max="9237" width="11.44140625" style="62" customWidth="1"/>
    <col min="9238" max="9470" width="10" style="62"/>
    <col min="9471" max="9471" width="16.33203125" style="62" customWidth="1"/>
    <col min="9472" max="9472" width="25.6640625" style="62" customWidth="1"/>
    <col min="9473" max="9473" width="8.109375" style="62" customWidth="1"/>
    <col min="9474" max="9474" width="21.88671875" style="62" customWidth="1"/>
    <col min="9475" max="9475" width="4.77734375" style="62" customWidth="1"/>
    <col min="9476" max="9476" width="14.109375" style="62" customWidth="1"/>
    <col min="9477" max="9477" width="9.109375" style="62" customWidth="1"/>
    <col min="9478" max="9478" width="6.77734375" style="62" customWidth="1"/>
    <col min="9479" max="9479" width="6.5546875" style="62" customWidth="1"/>
    <col min="9480" max="9480" width="7.21875" style="62" customWidth="1"/>
    <col min="9481" max="9481" width="8.5546875" style="62" customWidth="1"/>
    <col min="9482" max="9482" width="8.44140625" style="62" customWidth="1"/>
    <col min="9483" max="9483" width="6.77734375" style="62" customWidth="1"/>
    <col min="9484" max="9484" width="10.44140625" style="62" customWidth="1"/>
    <col min="9485" max="9485" width="12.21875" style="62" customWidth="1"/>
    <col min="9486" max="9486" width="6" style="62" customWidth="1"/>
    <col min="9487" max="9487" width="7.77734375" style="62" customWidth="1"/>
    <col min="9488" max="9488" width="9.5546875" style="62" customWidth="1"/>
    <col min="9489" max="9489" width="15.44140625" style="62" customWidth="1"/>
    <col min="9490" max="9491" width="8.6640625" style="62" customWidth="1"/>
    <col min="9492" max="9492" width="15.44140625" style="62" customWidth="1"/>
    <col min="9493" max="9493" width="11.44140625" style="62" customWidth="1"/>
    <col min="9494" max="9726" width="10" style="62"/>
    <col min="9727" max="9727" width="16.33203125" style="62" customWidth="1"/>
    <col min="9728" max="9728" width="25.6640625" style="62" customWidth="1"/>
    <col min="9729" max="9729" width="8.109375" style="62" customWidth="1"/>
    <col min="9730" max="9730" width="21.88671875" style="62" customWidth="1"/>
    <col min="9731" max="9731" width="4.77734375" style="62" customWidth="1"/>
    <col min="9732" max="9732" width="14.109375" style="62" customWidth="1"/>
    <col min="9733" max="9733" width="9.109375" style="62" customWidth="1"/>
    <col min="9734" max="9734" width="6.77734375" style="62" customWidth="1"/>
    <col min="9735" max="9735" width="6.5546875" style="62" customWidth="1"/>
    <col min="9736" max="9736" width="7.21875" style="62" customWidth="1"/>
    <col min="9737" max="9737" width="8.5546875" style="62" customWidth="1"/>
    <col min="9738" max="9738" width="8.44140625" style="62" customWidth="1"/>
    <col min="9739" max="9739" width="6.77734375" style="62" customWidth="1"/>
    <col min="9740" max="9740" width="10.44140625" style="62" customWidth="1"/>
    <col min="9741" max="9741" width="12.21875" style="62" customWidth="1"/>
    <col min="9742" max="9742" width="6" style="62" customWidth="1"/>
    <col min="9743" max="9743" width="7.77734375" style="62" customWidth="1"/>
    <col min="9744" max="9744" width="9.5546875" style="62" customWidth="1"/>
    <col min="9745" max="9745" width="15.44140625" style="62" customWidth="1"/>
    <col min="9746" max="9747" width="8.6640625" style="62" customWidth="1"/>
    <col min="9748" max="9748" width="15.44140625" style="62" customWidth="1"/>
    <col min="9749" max="9749" width="11.44140625" style="62" customWidth="1"/>
    <col min="9750" max="9982" width="10" style="62"/>
    <col min="9983" max="9983" width="16.33203125" style="62" customWidth="1"/>
    <col min="9984" max="9984" width="25.6640625" style="62" customWidth="1"/>
    <col min="9985" max="9985" width="8.109375" style="62" customWidth="1"/>
    <col min="9986" max="9986" width="21.88671875" style="62" customWidth="1"/>
    <col min="9987" max="9987" width="4.77734375" style="62" customWidth="1"/>
    <col min="9988" max="9988" width="14.109375" style="62" customWidth="1"/>
    <col min="9989" max="9989" width="9.109375" style="62" customWidth="1"/>
    <col min="9990" max="9990" width="6.77734375" style="62" customWidth="1"/>
    <col min="9991" max="9991" width="6.5546875" style="62" customWidth="1"/>
    <col min="9992" max="9992" width="7.21875" style="62" customWidth="1"/>
    <col min="9993" max="9993" width="8.5546875" style="62" customWidth="1"/>
    <col min="9994" max="9994" width="8.44140625" style="62" customWidth="1"/>
    <col min="9995" max="9995" width="6.77734375" style="62" customWidth="1"/>
    <col min="9996" max="9996" width="10.44140625" style="62" customWidth="1"/>
    <col min="9997" max="9997" width="12.21875" style="62" customWidth="1"/>
    <col min="9998" max="9998" width="6" style="62" customWidth="1"/>
    <col min="9999" max="9999" width="7.77734375" style="62" customWidth="1"/>
    <col min="10000" max="10000" width="9.5546875" style="62" customWidth="1"/>
    <col min="10001" max="10001" width="15.44140625" style="62" customWidth="1"/>
    <col min="10002" max="10003" width="8.6640625" style="62" customWidth="1"/>
    <col min="10004" max="10004" width="15.44140625" style="62" customWidth="1"/>
    <col min="10005" max="10005" width="11.44140625" style="62" customWidth="1"/>
    <col min="10006" max="10238" width="10" style="62"/>
    <col min="10239" max="10239" width="16.33203125" style="62" customWidth="1"/>
    <col min="10240" max="10240" width="25.6640625" style="62" customWidth="1"/>
    <col min="10241" max="10241" width="8.109375" style="62" customWidth="1"/>
    <col min="10242" max="10242" width="21.88671875" style="62" customWidth="1"/>
    <col min="10243" max="10243" width="4.77734375" style="62" customWidth="1"/>
    <col min="10244" max="10244" width="14.109375" style="62" customWidth="1"/>
    <col min="10245" max="10245" width="9.109375" style="62" customWidth="1"/>
    <col min="10246" max="10246" width="6.77734375" style="62" customWidth="1"/>
    <col min="10247" max="10247" width="6.5546875" style="62" customWidth="1"/>
    <col min="10248" max="10248" width="7.21875" style="62" customWidth="1"/>
    <col min="10249" max="10249" width="8.5546875" style="62" customWidth="1"/>
    <col min="10250" max="10250" width="8.44140625" style="62" customWidth="1"/>
    <col min="10251" max="10251" width="6.77734375" style="62" customWidth="1"/>
    <col min="10252" max="10252" width="10.44140625" style="62" customWidth="1"/>
    <col min="10253" max="10253" width="12.21875" style="62" customWidth="1"/>
    <col min="10254" max="10254" width="6" style="62" customWidth="1"/>
    <col min="10255" max="10255" width="7.77734375" style="62" customWidth="1"/>
    <col min="10256" max="10256" width="9.5546875" style="62" customWidth="1"/>
    <col min="10257" max="10257" width="15.44140625" style="62" customWidth="1"/>
    <col min="10258" max="10259" width="8.6640625" style="62" customWidth="1"/>
    <col min="10260" max="10260" width="15.44140625" style="62" customWidth="1"/>
    <col min="10261" max="10261" width="11.44140625" style="62" customWidth="1"/>
    <col min="10262" max="10494" width="10" style="62"/>
    <col min="10495" max="10495" width="16.33203125" style="62" customWidth="1"/>
    <col min="10496" max="10496" width="25.6640625" style="62" customWidth="1"/>
    <col min="10497" max="10497" width="8.109375" style="62" customWidth="1"/>
    <col min="10498" max="10498" width="21.88671875" style="62" customWidth="1"/>
    <col min="10499" max="10499" width="4.77734375" style="62" customWidth="1"/>
    <col min="10500" max="10500" width="14.109375" style="62" customWidth="1"/>
    <col min="10501" max="10501" width="9.109375" style="62" customWidth="1"/>
    <col min="10502" max="10502" width="6.77734375" style="62" customWidth="1"/>
    <col min="10503" max="10503" width="6.5546875" style="62" customWidth="1"/>
    <col min="10504" max="10504" width="7.21875" style="62" customWidth="1"/>
    <col min="10505" max="10505" width="8.5546875" style="62" customWidth="1"/>
    <col min="10506" max="10506" width="8.44140625" style="62" customWidth="1"/>
    <col min="10507" max="10507" width="6.77734375" style="62" customWidth="1"/>
    <col min="10508" max="10508" width="10.44140625" style="62" customWidth="1"/>
    <col min="10509" max="10509" width="12.21875" style="62" customWidth="1"/>
    <col min="10510" max="10510" width="6" style="62" customWidth="1"/>
    <col min="10511" max="10511" width="7.77734375" style="62" customWidth="1"/>
    <col min="10512" max="10512" width="9.5546875" style="62" customWidth="1"/>
    <col min="10513" max="10513" width="15.44140625" style="62" customWidth="1"/>
    <col min="10514" max="10515" width="8.6640625" style="62" customWidth="1"/>
    <col min="10516" max="10516" width="15.44140625" style="62" customWidth="1"/>
    <col min="10517" max="10517" width="11.44140625" style="62" customWidth="1"/>
    <col min="10518" max="10750" width="10" style="62"/>
    <col min="10751" max="10751" width="16.33203125" style="62" customWidth="1"/>
    <col min="10752" max="10752" width="25.6640625" style="62" customWidth="1"/>
    <col min="10753" max="10753" width="8.109375" style="62" customWidth="1"/>
    <col min="10754" max="10754" width="21.88671875" style="62" customWidth="1"/>
    <col min="10755" max="10755" width="4.77734375" style="62" customWidth="1"/>
    <col min="10756" max="10756" width="14.109375" style="62" customWidth="1"/>
    <col min="10757" max="10757" width="9.109375" style="62" customWidth="1"/>
    <col min="10758" max="10758" width="6.77734375" style="62" customWidth="1"/>
    <col min="10759" max="10759" width="6.5546875" style="62" customWidth="1"/>
    <col min="10760" max="10760" width="7.21875" style="62" customWidth="1"/>
    <col min="10761" max="10761" width="8.5546875" style="62" customWidth="1"/>
    <col min="10762" max="10762" width="8.44140625" style="62" customWidth="1"/>
    <col min="10763" max="10763" width="6.77734375" style="62" customWidth="1"/>
    <col min="10764" max="10764" width="10.44140625" style="62" customWidth="1"/>
    <col min="10765" max="10765" width="12.21875" style="62" customWidth="1"/>
    <col min="10766" max="10766" width="6" style="62" customWidth="1"/>
    <col min="10767" max="10767" width="7.77734375" style="62" customWidth="1"/>
    <col min="10768" max="10768" width="9.5546875" style="62" customWidth="1"/>
    <col min="10769" max="10769" width="15.44140625" style="62" customWidth="1"/>
    <col min="10770" max="10771" width="8.6640625" style="62" customWidth="1"/>
    <col min="10772" max="10772" width="15.44140625" style="62" customWidth="1"/>
    <col min="10773" max="10773" width="11.44140625" style="62" customWidth="1"/>
    <col min="10774" max="11006" width="10" style="62"/>
    <col min="11007" max="11007" width="16.33203125" style="62" customWidth="1"/>
    <col min="11008" max="11008" width="25.6640625" style="62" customWidth="1"/>
    <col min="11009" max="11009" width="8.109375" style="62" customWidth="1"/>
    <col min="11010" max="11010" width="21.88671875" style="62" customWidth="1"/>
    <col min="11011" max="11011" width="4.77734375" style="62" customWidth="1"/>
    <col min="11012" max="11012" width="14.109375" style="62" customWidth="1"/>
    <col min="11013" max="11013" width="9.109375" style="62" customWidth="1"/>
    <col min="11014" max="11014" width="6.77734375" style="62" customWidth="1"/>
    <col min="11015" max="11015" width="6.5546875" style="62" customWidth="1"/>
    <col min="11016" max="11016" width="7.21875" style="62" customWidth="1"/>
    <col min="11017" max="11017" width="8.5546875" style="62" customWidth="1"/>
    <col min="11018" max="11018" width="8.44140625" style="62" customWidth="1"/>
    <col min="11019" max="11019" width="6.77734375" style="62" customWidth="1"/>
    <col min="11020" max="11020" width="10.44140625" style="62" customWidth="1"/>
    <col min="11021" max="11021" width="12.21875" style="62" customWidth="1"/>
    <col min="11022" max="11022" width="6" style="62" customWidth="1"/>
    <col min="11023" max="11023" width="7.77734375" style="62" customWidth="1"/>
    <col min="11024" max="11024" width="9.5546875" style="62" customWidth="1"/>
    <col min="11025" max="11025" width="15.44140625" style="62" customWidth="1"/>
    <col min="11026" max="11027" width="8.6640625" style="62" customWidth="1"/>
    <col min="11028" max="11028" width="15.44140625" style="62" customWidth="1"/>
    <col min="11029" max="11029" width="11.44140625" style="62" customWidth="1"/>
    <col min="11030" max="11262" width="10" style="62"/>
    <col min="11263" max="11263" width="16.33203125" style="62" customWidth="1"/>
    <col min="11264" max="11264" width="25.6640625" style="62" customWidth="1"/>
    <col min="11265" max="11265" width="8.109375" style="62" customWidth="1"/>
    <col min="11266" max="11266" width="21.88671875" style="62" customWidth="1"/>
    <col min="11267" max="11267" width="4.77734375" style="62" customWidth="1"/>
    <col min="11268" max="11268" width="14.109375" style="62" customWidth="1"/>
    <col min="11269" max="11269" width="9.109375" style="62" customWidth="1"/>
    <col min="11270" max="11270" width="6.77734375" style="62" customWidth="1"/>
    <col min="11271" max="11271" width="6.5546875" style="62" customWidth="1"/>
    <col min="11272" max="11272" width="7.21875" style="62" customWidth="1"/>
    <col min="11273" max="11273" width="8.5546875" style="62" customWidth="1"/>
    <col min="11274" max="11274" width="8.44140625" style="62" customWidth="1"/>
    <col min="11275" max="11275" width="6.77734375" style="62" customWidth="1"/>
    <col min="11276" max="11276" width="10.44140625" style="62" customWidth="1"/>
    <col min="11277" max="11277" width="12.21875" style="62" customWidth="1"/>
    <col min="11278" max="11278" width="6" style="62" customWidth="1"/>
    <col min="11279" max="11279" width="7.77734375" style="62" customWidth="1"/>
    <col min="11280" max="11280" width="9.5546875" style="62" customWidth="1"/>
    <col min="11281" max="11281" width="15.44140625" style="62" customWidth="1"/>
    <col min="11282" max="11283" width="8.6640625" style="62" customWidth="1"/>
    <col min="11284" max="11284" width="15.44140625" style="62" customWidth="1"/>
    <col min="11285" max="11285" width="11.44140625" style="62" customWidth="1"/>
    <col min="11286" max="11518" width="10" style="62"/>
    <col min="11519" max="11519" width="16.33203125" style="62" customWidth="1"/>
    <col min="11520" max="11520" width="25.6640625" style="62" customWidth="1"/>
    <col min="11521" max="11521" width="8.109375" style="62" customWidth="1"/>
    <col min="11522" max="11522" width="21.88671875" style="62" customWidth="1"/>
    <col min="11523" max="11523" width="4.77734375" style="62" customWidth="1"/>
    <col min="11524" max="11524" width="14.109375" style="62" customWidth="1"/>
    <col min="11525" max="11525" width="9.109375" style="62" customWidth="1"/>
    <col min="11526" max="11526" width="6.77734375" style="62" customWidth="1"/>
    <col min="11527" max="11527" width="6.5546875" style="62" customWidth="1"/>
    <col min="11528" max="11528" width="7.21875" style="62" customWidth="1"/>
    <col min="11529" max="11529" width="8.5546875" style="62" customWidth="1"/>
    <col min="11530" max="11530" width="8.44140625" style="62" customWidth="1"/>
    <col min="11531" max="11531" width="6.77734375" style="62" customWidth="1"/>
    <col min="11532" max="11532" width="10.44140625" style="62" customWidth="1"/>
    <col min="11533" max="11533" width="12.21875" style="62" customWidth="1"/>
    <col min="11534" max="11534" width="6" style="62" customWidth="1"/>
    <col min="11535" max="11535" width="7.77734375" style="62" customWidth="1"/>
    <col min="11536" max="11536" width="9.5546875" style="62" customWidth="1"/>
    <col min="11537" max="11537" width="15.44140625" style="62" customWidth="1"/>
    <col min="11538" max="11539" width="8.6640625" style="62" customWidth="1"/>
    <col min="11540" max="11540" width="15.44140625" style="62" customWidth="1"/>
    <col min="11541" max="11541" width="11.44140625" style="62" customWidth="1"/>
    <col min="11542" max="11774" width="10" style="62"/>
    <col min="11775" max="11775" width="16.33203125" style="62" customWidth="1"/>
    <col min="11776" max="11776" width="25.6640625" style="62" customWidth="1"/>
    <col min="11777" max="11777" width="8.109375" style="62" customWidth="1"/>
    <col min="11778" max="11778" width="21.88671875" style="62" customWidth="1"/>
    <col min="11779" max="11779" width="4.77734375" style="62" customWidth="1"/>
    <col min="11780" max="11780" width="14.109375" style="62" customWidth="1"/>
    <col min="11781" max="11781" width="9.109375" style="62" customWidth="1"/>
    <col min="11782" max="11782" width="6.77734375" style="62" customWidth="1"/>
    <col min="11783" max="11783" width="6.5546875" style="62" customWidth="1"/>
    <col min="11784" max="11784" width="7.21875" style="62" customWidth="1"/>
    <col min="11785" max="11785" width="8.5546875" style="62" customWidth="1"/>
    <col min="11786" max="11786" width="8.44140625" style="62" customWidth="1"/>
    <col min="11787" max="11787" width="6.77734375" style="62" customWidth="1"/>
    <col min="11788" max="11788" width="10.44140625" style="62" customWidth="1"/>
    <col min="11789" max="11789" width="12.21875" style="62" customWidth="1"/>
    <col min="11790" max="11790" width="6" style="62" customWidth="1"/>
    <col min="11791" max="11791" width="7.77734375" style="62" customWidth="1"/>
    <col min="11792" max="11792" width="9.5546875" style="62" customWidth="1"/>
    <col min="11793" max="11793" width="15.44140625" style="62" customWidth="1"/>
    <col min="11794" max="11795" width="8.6640625" style="62" customWidth="1"/>
    <col min="11796" max="11796" width="15.44140625" style="62" customWidth="1"/>
    <col min="11797" max="11797" width="11.44140625" style="62" customWidth="1"/>
    <col min="11798" max="12030" width="10" style="62"/>
    <col min="12031" max="12031" width="16.33203125" style="62" customWidth="1"/>
    <col min="12032" max="12032" width="25.6640625" style="62" customWidth="1"/>
    <col min="12033" max="12033" width="8.109375" style="62" customWidth="1"/>
    <col min="12034" max="12034" width="21.88671875" style="62" customWidth="1"/>
    <col min="12035" max="12035" width="4.77734375" style="62" customWidth="1"/>
    <col min="12036" max="12036" width="14.109375" style="62" customWidth="1"/>
    <col min="12037" max="12037" width="9.109375" style="62" customWidth="1"/>
    <col min="12038" max="12038" width="6.77734375" style="62" customWidth="1"/>
    <col min="12039" max="12039" width="6.5546875" style="62" customWidth="1"/>
    <col min="12040" max="12040" width="7.21875" style="62" customWidth="1"/>
    <col min="12041" max="12041" width="8.5546875" style="62" customWidth="1"/>
    <col min="12042" max="12042" width="8.44140625" style="62" customWidth="1"/>
    <col min="12043" max="12043" width="6.77734375" style="62" customWidth="1"/>
    <col min="12044" max="12044" width="10.44140625" style="62" customWidth="1"/>
    <col min="12045" max="12045" width="12.21875" style="62" customWidth="1"/>
    <col min="12046" max="12046" width="6" style="62" customWidth="1"/>
    <col min="12047" max="12047" width="7.77734375" style="62" customWidth="1"/>
    <col min="12048" max="12048" width="9.5546875" style="62" customWidth="1"/>
    <col min="12049" max="12049" width="15.44140625" style="62" customWidth="1"/>
    <col min="12050" max="12051" width="8.6640625" style="62" customWidth="1"/>
    <col min="12052" max="12052" width="15.44140625" style="62" customWidth="1"/>
    <col min="12053" max="12053" width="11.44140625" style="62" customWidth="1"/>
    <col min="12054" max="12286" width="10" style="62"/>
    <col min="12287" max="12287" width="16.33203125" style="62" customWidth="1"/>
    <col min="12288" max="12288" width="25.6640625" style="62" customWidth="1"/>
    <col min="12289" max="12289" width="8.109375" style="62" customWidth="1"/>
    <col min="12290" max="12290" width="21.88671875" style="62" customWidth="1"/>
    <col min="12291" max="12291" width="4.77734375" style="62" customWidth="1"/>
    <col min="12292" max="12292" width="14.109375" style="62" customWidth="1"/>
    <col min="12293" max="12293" width="9.109375" style="62" customWidth="1"/>
    <col min="12294" max="12294" width="6.77734375" style="62" customWidth="1"/>
    <col min="12295" max="12295" width="6.5546875" style="62" customWidth="1"/>
    <col min="12296" max="12296" width="7.21875" style="62" customWidth="1"/>
    <col min="12297" max="12297" width="8.5546875" style="62" customWidth="1"/>
    <col min="12298" max="12298" width="8.44140625" style="62" customWidth="1"/>
    <col min="12299" max="12299" width="6.77734375" style="62" customWidth="1"/>
    <col min="12300" max="12300" width="10.44140625" style="62" customWidth="1"/>
    <col min="12301" max="12301" width="12.21875" style="62" customWidth="1"/>
    <col min="12302" max="12302" width="6" style="62" customWidth="1"/>
    <col min="12303" max="12303" width="7.77734375" style="62" customWidth="1"/>
    <col min="12304" max="12304" width="9.5546875" style="62" customWidth="1"/>
    <col min="12305" max="12305" width="15.44140625" style="62" customWidth="1"/>
    <col min="12306" max="12307" width="8.6640625" style="62" customWidth="1"/>
    <col min="12308" max="12308" width="15.44140625" style="62" customWidth="1"/>
    <col min="12309" max="12309" width="11.44140625" style="62" customWidth="1"/>
    <col min="12310" max="12542" width="10" style="62"/>
    <col min="12543" max="12543" width="16.33203125" style="62" customWidth="1"/>
    <col min="12544" max="12544" width="25.6640625" style="62" customWidth="1"/>
    <col min="12545" max="12545" width="8.109375" style="62" customWidth="1"/>
    <col min="12546" max="12546" width="21.88671875" style="62" customWidth="1"/>
    <col min="12547" max="12547" width="4.77734375" style="62" customWidth="1"/>
    <col min="12548" max="12548" width="14.109375" style="62" customWidth="1"/>
    <col min="12549" max="12549" width="9.109375" style="62" customWidth="1"/>
    <col min="12550" max="12550" width="6.77734375" style="62" customWidth="1"/>
    <col min="12551" max="12551" width="6.5546875" style="62" customWidth="1"/>
    <col min="12552" max="12552" width="7.21875" style="62" customWidth="1"/>
    <col min="12553" max="12553" width="8.5546875" style="62" customWidth="1"/>
    <col min="12554" max="12554" width="8.44140625" style="62" customWidth="1"/>
    <col min="12555" max="12555" width="6.77734375" style="62" customWidth="1"/>
    <col min="12556" max="12556" width="10.44140625" style="62" customWidth="1"/>
    <col min="12557" max="12557" width="12.21875" style="62" customWidth="1"/>
    <col min="12558" max="12558" width="6" style="62" customWidth="1"/>
    <col min="12559" max="12559" width="7.77734375" style="62" customWidth="1"/>
    <col min="12560" max="12560" width="9.5546875" style="62" customWidth="1"/>
    <col min="12561" max="12561" width="15.44140625" style="62" customWidth="1"/>
    <col min="12562" max="12563" width="8.6640625" style="62" customWidth="1"/>
    <col min="12564" max="12564" width="15.44140625" style="62" customWidth="1"/>
    <col min="12565" max="12565" width="11.44140625" style="62" customWidth="1"/>
    <col min="12566" max="12798" width="10" style="62"/>
    <col min="12799" max="12799" width="16.33203125" style="62" customWidth="1"/>
    <col min="12800" max="12800" width="25.6640625" style="62" customWidth="1"/>
    <col min="12801" max="12801" width="8.109375" style="62" customWidth="1"/>
    <col min="12802" max="12802" width="21.88671875" style="62" customWidth="1"/>
    <col min="12803" max="12803" width="4.77734375" style="62" customWidth="1"/>
    <col min="12804" max="12804" width="14.109375" style="62" customWidth="1"/>
    <col min="12805" max="12805" width="9.109375" style="62" customWidth="1"/>
    <col min="12806" max="12806" width="6.77734375" style="62" customWidth="1"/>
    <col min="12807" max="12807" width="6.5546875" style="62" customWidth="1"/>
    <col min="12808" max="12808" width="7.21875" style="62" customWidth="1"/>
    <col min="12809" max="12809" width="8.5546875" style="62" customWidth="1"/>
    <col min="12810" max="12810" width="8.44140625" style="62" customWidth="1"/>
    <col min="12811" max="12811" width="6.77734375" style="62" customWidth="1"/>
    <col min="12812" max="12812" width="10.44140625" style="62" customWidth="1"/>
    <col min="12813" max="12813" width="12.21875" style="62" customWidth="1"/>
    <col min="12814" max="12814" width="6" style="62" customWidth="1"/>
    <col min="12815" max="12815" width="7.77734375" style="62" customWidth="1"/>
    <col min="12816" max="12816" width="9.5546875" style="62" customWidth="1"/>
    <col min="12817" max="12817" width="15.44140625" style="62" customWidth="1"/>
    <col min="12818" max="12819" width="8.6640625" style="62" customWidth="1"/>
    <col min="12820" max="12820" width="15.44140625" style="62" customWidth="1"/>
    <col min="12821" max="12821" width="11.44140625" style="62" customWidth="1"/>
    <col min="12822" max="13054" width="10" style="62"/>
    <col min="13055" max="13055" width="16.33203125" style="62" customWidth="1"/>
    <col min="13056" max="13056" width="25.6640625" style="62" customWidth="1"/>
    <col min="13057" max="13057" width="8.109375" style="62" customWidth="1"/>
    <col min="13058" max="13058" width="21.88671875" style="62" customWidth="1"/>
    <col min="13059" max="13059" width="4.77734375" style="62" customWidth="1"/>
    <col min="13060" max="13060" width="14.109375" style="62" customWidth="1"/>
    <col min="13061" max="13061" width="9.109375" style="62" customWidth="1"/>
    <col min="13062" max="13062" width="6.77734375" style="62" customWidth="1"/>
    <col min="13063" max="13063" width="6.5546875" style="62" customWidth="1"/>
    <col min="13064" max="13064" width="7.21875" style="62" customWidth="1"/>
    <col min="13065" max="13065" width="8.5546875" style="62" customWidth="1"/>
    <col min="13066" max="13066" width="8.44140625" style="62" customWidth="1"/>
    <col min="13067" max="13067" width="6.77734375" style="62" customWidth="1"/>
    <col min="13068" max="13068" width="10.44140625" style="62" customWidth="1"/>
    <col min="13069" max="13069" width="12.21875" style="62" customWidth="1"/>
    <col min="13070" max="13070" width="6" style="62" customWidth="1"/>
    <col min="13071" max="13071" width="7.77734375" style="62" customWidth="1"/>
    <col min="13072" max="13072" width="9.5546875" style="62" customWidth="1"/>
    <col min="13073" max="13073" width="15.44140625" style="62" customWidth="1"/>
    <col min="13074" max="13075" width="8.6640625" style="62" customWidth="1"/>
    <col min="13076" max="13076" width="15.44140625" style="62" customWidth="1"/>
    <col min="13077" max="13077" width="11.44140625" style="62" customWidth="1"/>
    <col min="13078" max="13310" width="10" style="62"/>
    <col min="13311" max="13311" width="16.33203125" style="62" customWidth="1"/>
    <col min="13312" max="13312" width="25.6640625" style="62" customWidth="1"/>
    <col min="13313" max="13313" width="8.109375" style="62" customWidth="1"/>
    <col min="13314" max="13314" width="21.88671875" style="62" customWidth="1"/>
    <col min="13315" max="13315" width="4.77734375" style="62" customWidth="1"/>
    <col min="13316" max="13316" width="14.109375" style="62" customWidth="1"/>
    <col min="13317" max="13317" width="9.109375" style="62" customWidth="1"/>
    <col min="13318" max="13318" width="6.77734375" style="62" customWidth="1"/>
    <col min="13319" max="13319" width="6.5546875" style="62" customWidth="1"/>
    <col min="13320" max="13320" width="7.21875" style="62" customWidth="1"/>
    <col min="13321" max="13321" width="8.5546875" style="62" customWidth="1"/>
    <col min="13322" max="13322" width="8.44140625" style="62" customWidth="1"/>
    <col min="13323" max="13323" width="6.77734375" style="62" customWidth="1"/>
    <col min="13324" max="13324" width="10.44140625" style="62" customWidth="1"/>
    <col min="13325" max="13325" width="12.21875" style="62" customWidth="1"/>
    <col min="13326" max="13326" width="6" style="62" customWidth="1"/>
    <col min="13327" max="13327" width="7.77734375" style="62" customWidth="1"/>
    <col min="13328" max="13328" width="9.5546875" style="62" customWidth="1"/>
    <col min="13329" max="13329" width="15.44140625" style="62" customWidth="1"/>
    <col min="13330" max="13331" width="8.6640625" style="62" customWidth="1"/>
    <col min="13332" max="13332" width="15.44140625" style="62" customWidth="1"/>
    <col min="13333" max="13333" width="11.44140625" style="62" customWidth="1"/>
    <col min="13334" max="13566" width="10" style="62"/>
    <col min="13567" max="13567" width="16.33203125" style="62" customWidth="1"/>
    <col min="13568" max="13568" width="25.6640625" style="62" customWidth="1"/>
    <col min="13569" max="13569" width="8.109375" style="62" customWidth="1"/>
    <col min="13570" max="13570" width="21.88671875" style="62" customWidth="1"/>
    <col min="13571" max="13571" width="4.77734375" style="62" customWidth="1"/>
    <col min="13572" max="13572" width="14.109375" style="62" customWidth="1"/>
    <col min="13573" max="13573" width="9.109375" style="62" customWidth="1"/>
    <col min="13574" max="13574" width="6.77734375" style="62" customWidth="1"/>
    <col min="13575" max="13575" width="6.5546875" style="62" customWidth="1"/>
    <col min="13576" max="13576" width="7.21875" style="62" customWidth="1"/>
    <col min="13577" max="13577" width="8.5546875" style="62" customWidth="1"/>
    <col min="13578" max="13578" width="8.44140625" style="62" customWidth="1"/>
    <col min="13579" max="13579" width="6.77734375" style="62" customWidth="1"/>
    <col min="13580" max="13580" width="10.44140625" style="62" customWidth="1"/>
    <col min="13581" max="13581" width="12.21875" style="62" customWidth="1"/>
    <col min="13582" max="13582" width="6" style="62" customWidth="1"/>
    <col min="13583" max="13583" width="7.77734375" style="62" customWidth="1"/>
    <col min="13584" max="13584" width="9.5546875" style="62" customWidth="1"/>
    <col min="13585" max="13585" width="15.44140625" style="62" customWidth="1"/>
    <col min="13586" max="13587" width="8.6640625" style="62" customWidth="1"/>
    <col min="13588" max="13588" width="15.44140625" style="62" customWidth="1"/>
    <col min="13589" max="13589" width="11.44140625" style="62" customWidth="1"/>
    <col min="13590" max="13822" width="10" style="62"/>
    <col min="13823" max="13823" width="16.33203125" style="62" customWidth="1"/>
    <col min="13824" max="13824" width="25.6640625" style="62" customWidth="1"/>
    <col min="13825" max="13825" width="8.109375" style="62" customWidth="1"/>
    <col min="13826" max="13826" width="21.88671875" style="62" customWidth="1"/>
    <col min="13827" max="13827" width="4.77734375" style="62" customWidth="1"/>
    <col min="13828" max="13828" width="14.109375" style="62" customWidth="1"/>
    <col min="13829" max="13829" width="9.109375" style="62" customWidth="1"/>
    <col min="13830" max="13830" width="6.77734375" style="62" customWidth="1"/>
    <col min="13831" max="13831" width="6.5546875" style="62" customWidth="1"/>
    <col min="13832" max="13832" width="7.21875" style="62" customWidth="1"/>
    <col min="13833" max="13833" width="8.5546875" style="62" customWidth="1"/>
    <col min="13834" max="13834" width="8.44140625" style="62" customWidth="1"/>
    <col min="13835" max="13835" width="6.77734375" style="62" customWidth="1"/>
    <col min="13836" max="13836" width="10.44140625" style="62" customWidth="1"/>
    <col min="13837" max="13837" width="12.21875" style="62" customWidth="1"/>
    <col min="13838" max="13838" width="6" style="62" customWidth="1"/>
    <col min="13839" max="13839" width="7.77734375" style="62" customWidth="1"/>
    <col min="13840" max="13840" width="9.5546875" style="62" customWidth="1"/>
    <col min="13841" max="13841" width="15.44140625" style="62" customWidth="1"/>
    <col min="13842" max="13843" width="8.6640625" style="62" customWidth="1"/>
    <col min="13844" max="13844" width="15.44140625" style="62" customWidth="1"/>
    <col min="13845" max="13845" width="11.44140625" style="62" customWidth="1"/>
    <col min="13846" max="14078" width="10" style="62"/>
    <col min="14079" max="14079" width="16.33203125" style="62" customWidth="1"/>
    <col min="14080" max="14080" width="25.6640625" style="62" customWidth="1"/>
    <col min="14081" max="14081" width="8.109375" style="62" customWidth="1"/>
    <col min="14082" max="14082" width="21.88671875" style="62" customWidth="1"/>
    <col min="14083" max="14083" width="4.77734375" style="62" customWidth="1"/>
    <col min="14084" max="14084" width="14.109375" style="62" customWidth="1"/>
    <col min="14085" max="14085" width="9.109375" style="62" customWidth="1"/>
    <col min="14086" max="14086" width="6.77734375" style="62" customWidth="1"/>
    <col min="14087" max="14087" width="6.5546875" style="62" customWidth="1"/>
    <col min="14088" max="14088" width="7.21875" style="62" customWidth="1"/>
    <col min="14089" max="14089" width="8.5546875" style="62" customWidth="1"/>
    <col min="14090" max="14090" width="8.44140625" style="62" customWidth="1"/>
    <col min="14091" max="14091" width="6.77734375" style="62" customWidth="1"/>
    <col min="14092" max="14092" width="10.44140625" style="62" customWidth="1"/>
    <col min="14093" max="14093" width="12.21875" style="62" customWidth="1"/>
    <col min="14094" max="14094" width="6" style="62" customWidth="1"/>
    <col min="14095" max="14095" width="7.77734375" style="62" customWidth="1"/>
    <col min="14096" max="14096" width="9.5546875" style="62" customWidth="1"/>
    <col min="14097" max="14097" width="15.44140625" style="62" customWidth="1"/>
    <col min="14098" max="14099" width="8.6640625" style="62" customWidth="1"/>
    <col min="14100" max="14100" width="15.44140625" style="62" customWidth="1"/>
    <col min="14101" max="14101" width="11.44140625" style="62" customWidth="1"/>
    <col min="14102" max="14334" width="10" style="62"/>
    <col min="14335" max="14335" width="16.33203125" style="62" customWidth="1"/>
    <col min="14336" max="14336" width="25.6640625" style="62" customWidth="1"/>
    <col min="14337" max="14337" width="8.109375" style="62" customWidth="1"/>
    <col min="14338" max="14338" width="21.88671875" style="62" customWidth="1"/>
    <col min="14339" max="14339" width="4.77734375" style="62" customWidth="1"/>
    <col min="14340" max="14340" width="14.109375" style="62" customWidth="1"/>
    <col min="14341" max="14341" width="9.109375" style="62" customWidth="1"/>
    <col min="14342" max="14342" width="6.77734375" style="62" customWidth="1"/>
    <col min="14343" max="14343" width="6.5546875" style="62" customWidth="1"/>
    <col min="14344" max="14344" width="7.21875" style="62" customWidth="1"/>
    <col min="14345" max="14345" width="8.5546875" style="62" customWidth="1"/>
    <col min="14346" max="14346" width="8.44140625" style="62" customWidth="1"/>
    <col min="14347" max="14347" width="6.77734375" style="62" customWidth="1"/>
    <col min="14348" max="14348" width="10.44140625" style="62" customWidth="1"/>
    <col min="14349" max="14349" width="12.21875" style="62" customWidth="1"/>
    <col min="14350" max="14350" width="6" style="62" customWidth="1"/>
    <col min="14351" max="14351" width="7.77734375" style="62" customWidth="1"/>
    <col min="14352" max="14352" width="9.5546875" style="62" customWidth="1"/>
    <col min="14353" max="14353" width="15.44140625" style="62" customWidth="1"/>
    <col min="14354" max="14355" width="8.6640625" style="62" customWidth="1"/>
    <col min="14356" max="14356" width="15.44140625" style="62" customWidth="1"/>
    <col min="14357" max="14357" width="11.44140625" style="62" customWidth="1"/>
    <col min="14358" max="14590" width="10" style="62"/>
    <col min="14591" max="14591" width="16.33203125" style="62" customWidth="1"/>
    <col min="14592" max="14592" width="25.6640625" style="62" customWidth="1"/>
    <col min="14593" max="14593" width="8.109375" style="62" customWidth="1"/>
    <col min="14594" max="14594" width="21.88671875" style="62" customWidth="1"/>
    <col min="14595" max="14595" width="4.77734375" style="62" customWidth="1"/>
    <col min="14596" max="14596" width="14.109375" style="62" customWidth="1"/>
    <col min="14597" max="14597" width="9.109375" style="62" customWidth="1"/>
    <col min="14598" max="14598" width="6.77734375" style="62" customWidth="1"/>
    <col min="14599" max="14599" width="6.5546875" style="62" customWidth="1"/>
    <col min="14600" max="14600" width="7.21875" style="62" customWidth="1"/>
    <col min="14601" max="14601" width="8.5546875" style="62" customWidth="1"/>
    <col min="14602" max="14602" width="8.44140625" style="62" customWidth="1"/>
    <col min="14603" max="14603" width="6.77734375" style="62" customWidth="1"/>
    <col min="14604" max="14604" width="10.44140625" style="62" customWidth="1"/>
    <col min="14605" max="14605" width="12.21875" style="62" customWidth="1"/>
    <col min="14606" max="14606" width="6" style="62" customWidth="1"/>
    <col min="14607" max="14607" width="7.77734375" style="62" customWidth="1"/>
    <col min="14608" max="14608" width="9.5546875" style="62" customWidth="1"/>
    <col min="14609" max="14609" width="15.44140625" style="62" customWidth="1"/>
    <col min="14610" max="14611" width="8.6640625" style="62" customWidth="1"/>
    <col min="14612" max="14612" width="15.44140625" style="62" customWidth="1"/>
    <col min="14613" max="14613" width="11.44140625" style="62" customWidth="1"/>
    <col min="14614" max="14846" width="10" style="62"/>
    <col min="14847" max="14847" width="16.33203125" style="62" customWidth="1"/>
    <col min="14848" max="14848" width="25.6640625" style="62" customWidth="1"/>
    <col min="14849" max="14849" width="8.109375" style="62" customWidth="1"/>
    <col min="14850" max="14850" width="21.88671875" style="62" customWidth="1"/>
    <col min="14851" max="14851" width="4.77734375" style="62" customWidth="1"/>
    <col min="14852" max="14852" width="14.109375" style="62" customWidth="1"/>
    <col min="14853" max="14853" width="9.109375" style="62" customWidth="1"/>
    <col min="14854" max="14854" width="6.77734375" style="62" customWidth="1"/>
    <col min="14855" max="14855" width="6.5546875" style="62" customWidth="1"/>
    <col min="14856" max="14856" width="7.21875" style="62" customWidth="1"/>
    <col min="14857" max="14857" width="8.5546875" style="62" customWidth="1"/>
    <col min="14858" max="14858" width="8.44140625" style="62" customWidth="1"/>
    <col min="14859" max="14859" width="6.77734375" style="62" customWidth="1"/>
    <col min="14860" max="14860" width="10.44140625" style="62" customWidth="1"/>
    <col min="14861" max="14861" width="12.21875" style="62" customWidth="1"/>
    <col min="14862" max="14862" width="6" style="62" customWidth="1"/>
    <col min="14863" max="14863" width="7.77734375" style="62" customWidth="1"/>
    <col min="14864" max="14864" width="9.5546875" style="62" customWidth="1"/>
    <col min="14865" max="14865" width="15.44140625" style="62" customWidth="1"/>
    <col min="14866" max="14867" width="8.6640625" style="62" customWidth="1"/>
    <col min="14868" max="14868" width="15.44140625" style="62" customWidth="1"/>
    <col min="14869" max="14869" width="11.44140625" style="62" customWidth="1"/>
    <col min="14870" max="15102" width="10" style="62"/>
    <col min="15103" max="15103" width="16.33203125" style="62" customWidth="1"/>
    <col min="15104" max="15104" width="25.6640625" style="62" customWidth="1"/>
    <col min="15105" max="15105" width="8.109375" style="62" customWidth="1"/>
    <col min="15106" max="15106" width="21.88671875" style="62" customWidth="1"/>
    <col min="15107" max="15107" width="4.77734375" style="62" customWidth="1"/>
    <col min="15108" max="15108" width="14.109375" style="62" customWidth="1"/>
    <col min="15109" max="15109" width="9.109375" style="62" customWidth="1"/>
    <col min="15110" max="15110" width="6.77734375" style="62" customWidth="1"/>
    <col min="15111" max="15111" width="6.5546875" style="62" customWidth="1"/>
    <col min="15112" max="15112" width="7.21875" style="62" customWidth="1"/>
    <col min="15113" max="15113" width="8.5546875" style="62" customWidth="1"/>
    <col min="15114" max="15114" width="8.44140625" style="62" customWidth="1"/>
    <col min="15115" max="15115" width="6.77734375" style="62" customWidth="1"/>
    <col min="15116" max="15116" width="10.44140625" style="62" customWidth="1"/>
    <col min="15117" max="15117" width="12.21875" style="62" customWidth="1"/>
    <col min="15118" max="15118" width="6" style="62" customWidth="1"/>
    <col min="15119" max="15119" width="7.77734375" style="62" customWidth="1"/>
    <col min="15120" max="15120" width="9.5546875" style="62" customWidth="1"/>
    <col min="15121" max="15121" width="15.44140625" style="62" customWidth="1"/>
    <col min="15122" max="15123" width="8.6640625" style="62" customWidth="1"/>
    <col min="15124" max="15124" width="15.44140625" style="62" customWidth="1"/>
    <col min="15125" max="15125" width="11.44140625" style="62" customWidth="1"/>
    <col min="15126" max="15358" width="10" style="62"/>
    <col min="15359" max="15359" width="16.33203125" style="62" customWidth="1"/>
    <col min="15360" max="15360" width="25.6640625" style="62" customWidth="1"/>
    <col min="15361" max="15361" width="8.109375" style="62" customWidth="1"/>
    <col min="15362" max="15362" width="21.88671875" style="62" customWidth="1"/>
    <col min="15363" max="15363" width="4.77734375" style="62" customWidth="1"/>
    <col min="15364" max="15364" width="14.109375" style="62" customWidth="1"/>
    <col min="15365" max="15365" width="9.109375" style="62" customWidth="1"/>
    <col min="15366" max="15366" width="6.77734375" style="62" customWidth="1"/>
    <col min="15367" max="15367" width="6.5546875" style="62" customWidth="1"/>
    <col min="15368" max="15368" width="7.21875" style="62" customWidth="1"/>
    <col min="15369" max="15369" width="8.5546875" style="62" customWidth="1"/>
    <col min="15370" max="15370" width="8.44140625" style="62" customWidth="1"/>
    <col min="15371" max="15371" width="6.77734375" style="62" customWidth="1"/>
    <col min="15372" max="15372" width="10.44140625" style="62" customWidth="1"/>
    <col min="15373" max="15373" width="12.21875" style="62" customWidth="1"/>
    <col min="15374" max="15374" width="6" style="62" customWidth="1"/>
    <col min="15375" max="15375" width="7.77734375" style="62" customWidth="1"/>
    <col min="15376" max="15376" width="9.5546875" style="62" customWidth="1"/>
    <col min="15377" max="15377" width="15.44140625" style="62" customWidth="1"/>
    <col min="15378" max="15379" width="8.6640625" style="62" customWidth="1"/>
    <col min="15380" max="15380" width="15.44140625" style="62" customWidth="1"/>
    <col min="15381" max="15381" width="11.44140625" style="62" customWidth="1"/>
    <col min="15382" max="15614" width="10" style="62"/>
    <col min="15615" max="15615" width="16.33203125" style="62" customWidth="1"/>
    <col min="15616" max="15616" width="25.6640625" style="62" customWidth="1"/>
    <col min="15617" max="15617" width="8.109375" style="62" customWidth="1"/>
    <col min="15618" max="15618" width="21.88671875" style="62" customWidth="1"/>
    <col min="15619" max="15619" width="4.77734375" style="62" customWidth="1"/>
    <col min="15620" max="15620" width="14.109375" style="62" customWidth="1"/>
    <col min="15621" max="15621" width="9.109375" style="62" customWidth="1"/>
    <col min="15622" max="15622" width="6.77734375" style="62" customWidth="1"/>
    <col min="15623" max="15623" width="6.5546875" style="62" customWidth="1"/>
    <col min="15624" max="15624" width="7.21875" style="62" customWidth="1"/>
    <col min="15625" max="15625" width="8.5546875" style="62" customWidth="1"/>
    <col min="15626" max="15626" width="8.44140625" style="62" customWidth="1"/>
    <col min="15627" max="15627" width="6.77734375" style="62" customWidth="1"/>
    <col min="15628" max="15628" width="10.44140625" style="62" customWidth="1"/>
    <col min="15629" max="15629" width="12.21875" style="62" customWidth="1"/>
    <col min="15630" max="15630" width="6" style="62" customWidth="1"/>
    <col min="15631" max="15631" width="7.77734375" style="62" customWidth="1"/>
    <col min="15632" max="15632" width="9.5546875" style="62" customWidth="1"/>
    <col min="15633" max="15633" width="15.44140625" style="62" customWidth="1"/>
    <col min="15634" max="15635" width="8.6640625" style="62" customWidth="1"/>
    <col min="15636" max="15636" width="15.44140625" style="62" customWidth="1"/>
    <col min="15637" max="15637" width="11.44140625" style="62" customWidth="1"/>
    <col min="15638" max="15870" width="10" style="62"/>
    <col min="15871" max="15871" width="16.33203125" style="62" customWidth="1"/>
    <col min="15872" max="15872" width="25.6640625" style="62" customWidth="1"/>
    <col min="15873" max="15873" width="8.109375" style="62" customWidth="1"/>
    <col min="15874" max="15874" width="21.88671875" style="62" customWidth="1"/>
    <col min="15875" max="15875" width="4.77734375" style="62" customWidth="1"/>
    <col min="15876" max="15876" width="14.109375" style="62" customWidth="1"/>
    <col min="15877" max="15877" width="9.109375" style="62" customWidth="1"/>
    <col min="15878" max="15878" width="6.77734375" style="62" customWidth="1"/>
    <col min="15879" max="15879" width="6.5546875" style="62" customWidth="1"/>
    <col min="15880" max="15880" width="7.21875" style="62" customWidth="1"/>
    <col min="15881" max="15881" width="8.5546875" style="62" customWidth="1"/>
    <col min="15882" max="15882" width="8.44140625" style="62" customWidth="1"/>
    <col min="15883" max="15883" width="6.77734375" style="62" customWidth="1"/>
    <col min="15884" max="15884" width="10.44140625" style="62" customWidth="1"/>
    <col min="15885" max="15885" width="12.21875" style="62" customWidth="1"/>
    <col min="15886" max="15886" width="6" style="62" customWidth="1"/>
    <col min="15887" max="15887" width="7.77734375" style="62" customWidth="1"/>
    <col min="15888" max="15888" width="9.5546875" style="62" customWidth="1"/>
    <col min="15889" max="15889" width="15.44140625" style="62" customWidth="1"/>
    <col min="15890" max="15891" width="8.6640625" style="62" customWidth="1"/>
    <col min="15892" max="15892" width="15.44140625" style="62" customWidth="1"/>
    <col min="15893" max="15893" width="11.44140625" style="62" customWidth="1"/>
    <col min="15894" max="16126" width="10" style="62"/>
    <col min="16127" max="16127" width="16.33203125" style="62" customWidth="1"/>
    <col min="16128" max="16128" width="25.6640625" style="62" customWidth="1"/>
    <col min="16129" max="16129" width="8.109375" style="62" customWidth="1"/>
    <col min="16130" max="16130" width="21.88671875" style="62" customWidth="1"/>
    <col min="16131" max="16131" width="4.77734375" style="62" customWidth="1"/>
    <col min="16132" max="16132" width="14.109375" style="62" customWidth="1"/>
    <col min="16133" max="16133" width="9.109375" style="62" customWidth="1"/>
    <col min="16134" max="16134" width="6.77734375" style="62" customWidth="1"/>
    <col min="16135" max="16135" width="6.5546875" style="62" customWidth="1"/>
    <col min="16136" max="16136" width="7.21875" style="62" customWidth="1"/>
    <col min="16137" max="16137" width="8.5546875" style="62" customWidth="1"/>
    <col min="16138" max="16138" width="8.44140625" style="62" customWidth="1"/>
    <col min="16139" max="16139" width="6.77734375" style="62" customWidth="1"/>
    <col min="16140" max="16140" width="10.44140625" style="62" customWidth="1"/>
    <col min="16141" max="16141" width="12.21875" style="62" customWidth="1"/>
    <col min="16142" max="16142" width="6" style="62" customWidth="1"/>
    <col min="16143" max="16143" width="7.77734375" style="62" customWidth="1"/>
    <col min="16144" max="16144" width="9.5546875" style="62" customWidth="1"/>
    <col min="16145" max="16145" width="15.44140625" style="62" customWidth="1"/>
    <col min="16146" max="16147" width="8.6640625" style="62" customWidth="1"/>
    <col min="16148" max="16148" width="15.44140625" style="62" customWidth="1"/>
    <col min="16149" max="16149" width="11.44140625" style="62" customWidth="1"/>
    <col min="16150" max="16384" width="10" style="62"/>
  </cols>
  <sheetData>
    <row r="1" spans="1:21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63"/>
      <c r="T1" s="63"/>
      <c r="U1" s="63"/>
    </row>
    <row r="2" spans="1:21" ht="12" customHeight="1" x14ac:dyDescent="0.25">
      <c r="A2" s="196" t="s">
        <v>212</v>
      </c>
      <c r="B2" s="198" t="s">
        <v>2</v>
      </c>
      <c r="C2" s="196" t="s">
        <v>213</v>
      </c>
      <c r="D2" s="199" t="s">
        <v>214</v>
      </c>
      <c r="E2" s="200" t="s">
        <v>3</v>
      </c>
      <c r="F2" s="199" t="s">
        <v>5</v>
      </c>
      <c r="G2" s="200" t="s">
        <v>215</v>
      </c>
      <c r="H2" s="189" t="s">
        <v>9</v>
      </c>
      <c r="I2" s="189"/>
      <c r="J2" s="190" t="s">
        <v>182</v>
      </c>
      <c r="K2" s="190"/>
      <c r="L2" s="190"/>
      <c r="M2" s="189" t="s">
        <v>183</v>
      </c>
      <c r="N2" s="191" t="s">
        <v>184</v>
      </c>
      <c r="O2" s="192"/>
      <c r="P2" s="192"/>
      <c r="Q2" s="192"/>
      <c r="R2" s="192"/>
      <c r="S2" s="202" t="s">
        <v>216</v>
      </c>
      <c r="T2" s="207" t="s">
        <v>217</v>
      </c>
      <c r="U2" s="200" t="s">
        <v>218</v>
      </c>
    </row>
    <row r="3" spans="1:21" x14ac:dyDescent="0.25">
      <c r="A3" s="197"/>
      <c r="B3" s="198"/>
      <c r="C3" s="197"/>
      <c r="D3" s="199"/>
      <c r="E3" s="201"/>
      <c r="F3" s="199" t="s">
        <v>5</v>
      </c>
      <c r="G3" s="201"/>
      <c r="H3" s="66" t="s">
        <v>185</v>
      </c>
      <c r="I3" s="66" t="s">
        <v>186</v>
      </c>
      <c r="J3" s="74" t="s">
        <v>187</v>
      </c>
      <c r="K3" s="75" t="s">
        <v>188</v>
      </c>
      <c r="L3" s="74" t="s">
        <v>186</v>
      </c>
      <c r="M3" s="189"/>
      <c r="N3" s="76" t="s">
        <v>189</v>
      </c>
      <c r="O3" s="76" t="s">
        <v>190</v>
      </c>
      <c r="P3" s="76" t="s">
        <v>191</v>
      </c>
      <c r="Q3" s="82" t="s">
        <v>192</v>
      </c>
      <c r="R3" s="82" t="s">
        <v>193</v>
      </c>
      <c r="S3" s="203"/>
      <c r="T3" s="208"/>
      <c r="U3" s="201"/>
    </row>
    <row r="4" spans="1:21" ht="20.399999999999999" customHeight="1" x14ac:dyDescent="0.25">
      <c r="A4" s="198" t="s">
        <v>121</v>
      </c>
      <c r="B4" s="198" t="s">
        <v>219</v>
      </c>
      <c r="C4" s="64"/>
      <c r="D4" s="67" t="s">
        <v>220</v>
      </c>
      <c r="E4" s="67">
        <v>2</v>
      </c>
      <c r="F4" s="64" t="s">
        <v>221</v>
      </c>
      <c r="G4" s="64" t="s">
        <v>222</v>
      </c>
      <c r="H4" s="64">
        <v>5.7</v>
      </c>
      <c r="I4" s="64"/>
      <c r="J4" s="64">
        <f>K4/0.8</f>
        <v>4.2625000000000003E-2</v>
      </c>
      <c r="K4" s="64">
        <v>3.4099999999999998E-2</v>
      </c>
      <c r="L4" s="64"/>
      <c r="M4" s="64">
        <f>(H4*J4-2.8*(J4-K4))*E4</f>
        <v>0.43818499999999999</v>
      </c>
      <c r="N4" s="77" t="s">
        <v>223</v>
      </c>
      <c r="O4" s="76"/>
      <c r="P4" s="76">
        <v>2</v>
      </c>
      <c r="Q4" s="66">
        <f>0.1934/2*1+0.1</f>
        <v>0.19670000000000001</v>
      </c>
      <c r="R4" s="66">
        <f>P4*Q4</f>
        <v>0.39340000000000003</v>
      </c>
      <c r="S4" s="204">
        <v>0.12</v>
      </c>
      <c r="T4" s="209">
        <f>SUM(M15:S15)</f>
        <v>18.505826628318601</v>
      </c>
      <c r="U4" s="83" t="s">
        <v>224</v>
      </c>
    </row>
    <row r="5" spans="1:21" ht="40.799999999999997" customHeight="1" x14ac:dyDescent="0.25">
      <c r="A5" s="198"/>
      <c r="B5" s="198"/>
      <c r="C5" s="65"/>
      <c r="D5" s="68" t="s">
        <v>225</v>
      </c>
      <c r="E5" s="68">
        <v>1</v>
      </c>
      <c r="F5" s="69" t="s">
        <v>226</v>
      </c>
      <c r="G5" s="64" t="s">
        <v>222</v>
      </c>
      <c r="H5" s="70">
        <f>9/1.13</f>
        <v>7.9646017699115097</v>
      </c>
      <c r="I5" s="70"/>
      <c r="J5" s="78"/>
      <c r="K5" s="67">
        <v>6.2199999999999998E-2</v>
      </c>
      <c r="L5" s="78"/>
      <c r="M5" s="70">
        <f>H5*K5*E5</f>
        <v>0.49539823008849598</v>
      </c>
      <c r="N5" s="73" t="s">
        <v>227</v>
      </c>
      <c r="O5" s="73"/>
      <c r="P5" s="73">
        <v>2</v>
      </c>
      <c r="Q5" s="73">
        <v>0.03</v>
      </c>
      <c r="R5" s="73">
        <f>P5*Q5</f>
        <v>0.06</v>
      </c>
      <c r="S5" s="205"/>
      <c r="T5" s="210"/>
      <c r="U5" s="83" t="s">
        <v>228</v>
      </c>
    </row>
    <row r="6" spans="1:21" ht="20.399999999999999" customHeight="1" x14ac:dyDescent="0.25">
      <c r="A6" s="198"/>
      <c r="B6" s="198"/>
      <c r="C6" s="65"/>
      <c r="D6" s="68" t="s">
        <v>229</v>
      </c>
      <c r="E6" s="71">
        <v>1</v>
      </c>
      <c r="F6" s="69" t="s">
        <v>226</v>
      </c>
      <c r="G6" s="64" t="s">
        <v>222</v>
      </c>
      <c r="H6" s="70">
        <f t="shared" ref="H6:H14" si="0">9/1.13</f>
        <v>7.9646017699115097</v>
      </c>
      <c r="I6" s="70"/>
      <c r="J6" s="74"/>
      <c r="K6" s="73">
        <v>5.9400000000000001E-2</v>
      </c>
      <c r="L6" s="74"/>
      <c r="M6" s="70">
        <f t="shared" ref="M6:M14" si="1">H6*K6*E6</f>
        <v>0.47309734513274299</v>
      </c>
      <c r="N6" s="73" t="s">
        <v>230</v>
      </c>
      <c r="O6" s="73"/>
      <c r="P6" s="73"/>
      <c r="Q6" s="73"/>
      <c r="R6" s="66">
        <v>0.2</v>
      </c>
      <c r="S6" s="205"/>
      <c r="T6" s="210"/>
      <c r="U6" s="83" t="s">
        <v>231</v>
      </c>
    </row>
    <row r="7" spans="1:21" ht="20.399999999999999" customHeight="1" x14ac:dyDescent="0.25">
      <c r="A7" s="198"/>
      <c r="B7" s="198"/>
      <c r="C7" s="65"/>
      <c r="D7" s="68" t="s">
        <v>232</v>
      </c>
      <c r="E7" s="71">
        <v>1</v>
      </c>
      <c r="F7" s="69" t="s">
        <v>226</v>
      </c>
      <c r="G7" s="64" t="s">
        <v>222</v>
      </c>
      <c r="H7" s="70">
        <f t="shared" si="0"/>
        <v>7.9646017699115097</v>
      </c>
      <c r="I7" s="70"/>
      <c r="J7" s="74"/>
      <c r="K7" s="73">
        <v>9.2700000000000005E-2</v>
      </c>
      <c r="L7" s="74"/>
      <c r="M7" s="70">
        <f t="shared" si="1"/>
        <v>0.73831858407079698</v>
      </c>
      <c r="N7" s="76" t="s">
        <v>195</v>
      </c>
      <c r="O7" s="79" t="s">
        <v>233</v>
      </c>
      <c r="P7" s="76">
        <f>10*1.5+6*2+4*2.5+4*0.5</f>
        <v>39</v>
      </c>
      <c r="Q7" s="66">
        <v>0.08</v>
      </c>
      <c r="R7" s="66">
        <f>P7*Q7</f>
        <v>3.12</v>
      </c>
      <c r="S7" s="205"/>
      <c r="T7" s="210"/>
      <c r="U7" s="83"/>
    </row>
    <row r="8" spans="1:21" ht="20.399999999999999" customHeight="1" x14ac:dyDescent="0.25">
      <c r="A8" s="198"/>
      <c r="B8" s="198"/>
      <c r="C8" s="65"/>
      <c r="D8" s="68" t="s">
        <v>234</v>
      </c>
      <c r="E8" s="72">
        <v>1</v>
      </c>
      <c r="F8" s="69" t="s">
        <v>226</v>
      </c>
      <c r="G8" s="64" t="s">
        <v>222</v>
      </c>
      <c r="H8" s="70">
        <f t="shared" si="0"/>
        <v>7.9646017699115097</v>
      </c>
      <c r="I8" s="73"/>
      <c r="J8" s="73"/>
      <c r="K8" s="73">
        <v>9.3299999999999994E-2</v>
      </c>
      <c r="L8" s="73"/>
      <c r="M8" s="70">
        <f t="shared" si="1"/>
        <v>0.74309734513274295</v>
      </c>
      <c r="N8" s="76" t="s">
        <v>235</v>
      </c>
      <c r="O8" s="76"/>
      <c r="P8" s="76">
        <v>1</v>
      </c>
      <c r="Q8" s="84">
        <f>15/30+4000/26/8/3600*60</f>
        <v>0.82051282051282004</v>
      </c>
      <c r="R8" s="66">
        <f>P8*2</f>
        <v>2</v>
      </c>
      <c r="S8" s="205"/>
      <c r="T8" s="210"/>
      <c r="U8" s="83"/>
    </row>
    <row r="9" spans="1:21" ht="20.399999999999999" customHeight="1" x14ac:dyDescent="0.25">
      <c r="A9" s="198"/>
      <c r="B9" s="198"/>
      <c r="C9" s="65"/>
      <c r="D9" s="68" t="s">
        <v>236</v>
      </c>
      <c r="E9" s="72">
        <v>1</v>
      </c>
      <c r="F9" s="69" t="s">
        <v>226</v>
      </c>
      <c r="G9" s="64" t="s">
        <v>222</v>
      </c>
      <c r="H9" s="70">
        <f t="shared" si="0"/>
        <v>7.9646017699115097</v>
      </c>
      <c r="I9" s="73"/>
      <c r="J9" s="73"/>
      <c r="K9" s="73">
        <v>4.7100000000000003E-2</v>
      </c>
      <c r="L9" s="73"/>
      <c r="M9" s="70">
        <f t="shared" si="1"/>
        <v>0.37513274336283198</v>
      </c>
      <c r="N9" s="76" t="s">
        <v>237</v>
      </c>
      <c r="O9" s="76"/>
      <c r="P9" s="76"/>
      <c r="Q9" s="66"/>
      <c r="R9" s="66">
        <v>0.2</v>
      </c>
      <c r="S9" s="205"/>
      <c r="T9" s="210"/>
      <c r="U9" s="83"/>
    </row>
    <row r="10" spans="1:21" ht="20.399999999999999" customHeight="1" x14ac:dyDescent="0.25">
      <c r="A10" s="198"/>
      <c r="B10" s="198"/>
      <c r="C10" s="65"/>
      <c r="D10" s="68" t="s">
        <v>238</v>
      </c>
      <c r="E10" s="72">
        <v>1</v>
      </c>
      <c r="F10" s="69" t="s">
        <v>226</v>
      </c>
      <c r="G10" s="64" t="s">
        <v>222</v>
      </c>
      <c r="H10" s="70">
        <f t="shared" si="0"/>
        <v>7.9646017699115097</v>
      </c>
      <c r="I10" s="73"/>
      <c r="J10" s="73"/>
      <c r="K10" s="73">
        <v>8.8800000000000004E-2</v>
      </c>
      <c r="L10" s="73"/>
      <c r="M10" s="70">
        <f t="shared" si="1"/>
        <v>0.70725663716814202</v>
      </c>
      <c r="N10" s="76"/>
      <c r="O10" s="76"/>
      <c r="P10" s="76"/>
      <c r="Q10" s="76"/>
      <c r="R10" s="66"/>
      <c r="S10" s="205"/>
      <c r="T10" s="210"/>
      <c r="U10" s="83"/>
    </row>
    <row r="11" spans="1:21" ht="20.399999999999999" customHeight="1" x14ac:dyDescent="0.25">
      <c r="A11" s="198"/>
      <c r="B11" s="198"/>
      <c r="C11" s="65"/>
      <c r="D11" s="68" t="s">
        <v>239</v>
      </c>
      <c r="E11" s="72">
        <v>1</v>
      </c>
      <c r="F11" s="69" t="s">
        <v>226</v>
      </c>
      <c r="G11" s="64" t="s">
        <v>222</v>
      </c>
      <c r="H11" s="70">
        <f t="shared" si="0"/>
        <v>7.9646017699115097</v>
      </c>
      <c r="I11" s="73"/>
      <c r="J11" s="73"/>
      <c r="K11" s="73">
        <v>8.8800000000000004E-2</v>
      </c>
      <c r="L11" s="73"/>
      <c r="M11" s="70">
        <f t="shared" si="1"/>
        <v>0.70725663716814202</v>
      </c>
      <c r="N11" s="76"/>
      <c r="O11" s="76"/>
      <c r="P11" s="76"/>
      <c r="Q11" s="66"/>
      <c r="R11" s="66"/>
      <c r="S11" s="205"/>
      <c r="T11" s="210"/>
      <c r="U11" s="83"/>
    </row>
    <row r="12" spans="1:21" ht="20.399999999999999" customHeight="1" x14ac:dyDescent="0.25">
      <c r="A12" s="198"/>
      <c r="B12" s="198"/>
      <c r="C12" s="65"/>
      <c r="D12" s="68" t="s">
        <v>240</v>
      </c>
      <c r="E12" s="73">
        <v>1</v>
      </c>
      <c r="F12" s="73" t="s">
        <v>241</v>
      </c>
      <c r="G12" s="64" t="s">
        <v>222</v>
      </c>
      <c r="H12" s="70">
        <f t="shared" si="0"/>
        <v>7.9646017699115097</v>
      </c>
      <c r="I12" s="73"/>
      <c r="J12" s="73"/>
      <c r="K12" s="73">
        <v>0.19339999999999999</v>
      </c>
      <c r="L12" s="73"/>
      <c r="M12" s="70">
        <f t="shared" si="1"/>
        <v>1.5403539823008801</v>
      </c>
      <c r="N12" s="73"/>
      <c r="O12" s="73"/>
      <c r="P12" s="73"/>
      <c r="Q12" s="73"/>
      <c r="R12" s="73"/>
      <c r="S12" s="205"/>
      <c r="T12" s="210"/>
      <c r="U12" s="83"/>
    </row>
    <row r="13" spans="1:21" ht="20.399999999999999" customHeight="1" x14ac:dyDescent="0.25">
      <c r="A13" s="198"/>
      <c r="B13" s="198"/>
      <c r="C13" s="65"/>
      <c r="D13" s="68" t="s">
        <v>242</v>
      </c>
      <c r="E13" s="71">
        <v>2</v>
      </c>
      <c r="F13" s="73" t="s">
        <v>241</v>
      </c>
      <c r="G13" s="64" t="s">
        <v>222</v>
      </c>
      <c r="H13" s="70">
        <f t="shared" si="0"/>
        <v>7.9646017699115097</v>
      </c>
      <c r="I13" s="73"/>
      <c r="J13" s="73"/>
      <c r="K13" s="73">
        <v>0.19339999999999999</v>
      </c>
      <c r="L13" s="73"/>
      <c r="M13" s="70">
        <f t="shared" si="1"/>
        <v>3.0807079646017699</v>
      </c>
      <c r="N13" s="73"/>
      <c r="O13" s="73"/>
      <c r="P13" s="73"/>
      <c r="Q13" s="73"/>
      <c r="R13" s="73"/>
      <c r="S13" s="205"/>
      <c r="T13" s="210"/>
      <c r="U13" s="83"/>
    </row>
    <row r="14" spans="1:21" ht="20.399999999999999" customHeight="1" x14ac:dyDescent="0.25">
      <c r="A14" s="198"/>
      <c r="B14" s="198"/>
      <c r="C14" s="73"/>
      <c r="D14" s="68" t="s">
        <v>243</v>
      </c>
      <c r="E14" s="73">
        <v>4</v>
      </c>
      <c r="F14" s="73" t="s">
        <v>244</v>
      </c>
      <c r="G14" s="73" t="s">
        <v>245</v>
      </c>
      <c r="H14" s="70">
        <f t="shared" si="0"/>
        <v>7.9646017699115097</v>
      </c>
      <c r="I14" s="73"/>
      <c r="J14" s="73"/>
      <c r="K14" s="73">
        <v>7.9000000000000001E-2</v>
      </c>
      <c r="L14" s="73"/>
      <c r="M14" s="70">
        <f t="shared" si="1"/>
        <v>2.5168141592920401</v>
      </c>
      <c r="N14" s="73"/>
      <c r="O14" s="73"/>
      <c r="P14" s="73"/>
      <c r="Q14" s="73"/>
      <c r="R14" s="73"/>
      <c r="S14" s="206"/>
      <c r="T14" s="211"/>
      <c r="U14" s="83"/>
    </row>
    <row r="15" spans="1:21" ht="16.2" customHeight="1" x14ac:dyDescent="0.25">
      <c r="A15" s="198"/>
      <c r="B15" s="198"/>
      <c r="C15" s="193" t="s">
        <v>246</v>
      </c>
      <c r="D15" s="194"/>
      <c r="E15" s="194"/>
      <c r="F15" s="194"/>
      <c r="G15" s="194"/>
      <c r="H15" s="194"/>
      <c r="I15" s="194"/>
      <c r="J15" s="194"/>
      <c r="K15" s="194"/>
      <c r="L15" s="195"/>
      <c r="M15" s="80">
        <f>SUM(M4:M14)</f>
        <v>11.8156186283186</v>
      </c>
      <c r="N15" s="81"/>
      <c r="O15" s="81"/>
      <c r="P15" s="81"/>
      <c r="Q15" s="81"/>
      <c r="R15" s="80">
        <f>SUM(R4:R14)</f>
        <v>5.9734000000000007</v>
      </c>
      <c r="S15" s="85">
        <f>R15*S4</f>
        <v>0.71680800000000011</v>
      </c>
      <c r="T15" s="80">
        <f>T4</f>
        <v>18.505826628318601</v>
      </c>
      <c r="U15" s="85">
        <v>1.5</v>
      </c>
    </row>
  </sheetData>
  <autoFilter ref="A3:T15" xr:uid="{00000000-0009-0000-0000-000002000000}"/>
  <mergeCells count="20">
    <mergeCell ref="S2:S3"/>
    <mergeCell ref="S4:S14"/>
    <mergeCell ref="T2:T3"/>
    <mergeCell ref="T4:T14"/>
    <mergeCell ref="U2:U3"/>
    <mergeCell ref="A1:R1"/>
    <mergeCell ref="H2:I2"/>
    <mergeCell ref="J2:L2"/>
    <mergeCell ref="N2:R2"/>
    <mergeCell ref="C15:L15"/>
    <mergeCell ref="A2:A3"/>
    <mergeCell ref="A4:A15"/>
    <mergeCell ref="B2:B3"/>
    <mergeCell ref="B4:B15"/>
    <mergeCell ref="C2:C3"/>
    <mergeCell ref="D2:D3"/>
    <mergeCell ref="E2:E3"/>
    <mergeCell ref="F2:F3"/>
    <mergeCell ref="G2:G3"/>
    <mergeCell ref="M2:M3"/>
  </mergeCells>
  <phoneticPr fontId="26" type="noConversion"/>
  <pageMargins left="0.156944444444444" right="0.196527777777778" top="0.23611111111111099" bottom="0.156944444444444" header="0.156944444444444" footer="0.118055555555556"/>
  <pageSetup paperSize="9" scale="58" orientation="landscape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zoomScale="90" zoomScaleNormal="90" workbookViewId="0">
      <pane xSplit="18" ySplit="1" topLeftCell="S17" activePane="bottomRight" state="frozen"/>
      <selection pane="topRight"/>
      <selection pane="bottomLeft"/>
      <selection pane="bottomRight" activeCell="R40" sqref="R40"/>
    </sheetView>
  </sheetViews>
  <sheetFormatPr defaultColWidth="8.88671875" defaultRowHeight="14.4" x14ac:dyDescent="0.25"/>
  <cols>
    <col min="1" max="1" width="8.88671875" style="52"/>
    <col min="2" max="2" width="13.33203125" style="52" customWidth="1"/>
    <col min="3" max="3" width="14.109375" style="52" customWidth="1"/>
    <col min="4" max="4" width="11.109375" style="52" customWidth="1"/>
    <col min="5" max="5" width="17.21875" style="52" customWidth="1"/>
    <col min="6" max="6" width="11.44140625" style="52" customWidth="1"/>
    <col min="7" max="8" width="12.109375" style="52" customWidth="1"/>
    <col min="9" max="9" width="8.88671875" style="52" customWidth="1"/>
    <col min="10" max="10" width="6.5546875" style="52" customWidth="1"/>
    <col min="11" max="11" width="12.6640625" style="52" customWidth="1"/>
    <col min="12" max="13" width="10.5546875" style="52" customWidth="1"/>
    <col min="14" max="16" width="10.109375" style="52" customWidth="1"/>
    <col min="17" max="17" width="12.109375" style="52" customWidth="1"/>
    <col min="18" max="18" width="11.77734375" style="52" customWidth="1"/>
    <col min="19" max="16384" width="8.88671875" style="52"/>
  </cols>
  <sheetData>
    <row r="1" spans="1:18" ht="48" customHeight="1" x14ac:dyDescent="0.25">
      <c r="A1" s="53" t="s">
        <v>0</v>
      </c>
      <c r="B1" s="53" t="s">
        <v>212</v>
      </c>
      <c r="C1" s="53" t="s">
        <v>247</v>
      </c>
      <c r="D1" s="53" t="s">
        <v>248</v>
      </c>
      <c r="E1" s="53" t="s">
        <v>249</v>
      </c>
      <c r="F1" s="53" t="s">
        <v>250</v>
      </c>
      <c r="G1" s="53" t="s">
        <v>251</v>
      </c>
      <c r="H1" s="53" t="s">
        <v>252</v>
      </c>
      <c r="I1" s="60" t="s">
        <v>253</v>
      </c>
      <c r="J1" s="60" t="s">
        <v>254</v>
      </c>
      <c r="K1" s="60" t="s">
        <v>255</v>
      </c>
      <c r="L1" s="60" t="s">
        <v>256</v>
      </c>
      <c r="M1" s="60" t="s">
        <v>257</v>
      </c>
      <c r="N1" s="53" t="s">
        <v>258</v>
      </c>
      <c r="O1" s="53" t="s">
        <v>400</v>
      </c>
      <c r="P1" s="53" t="s">
        <v>259</v>
      </c>
      <c r="Q1" s="53" t="s">
        <v>260</v>
      </c>
      <c r="R1" s="53" t="s">
        <v>246</v>
      </c>
    </row>
    <row r="2" spans="1:18" x14ac:dyDescent="0.25">
      <c r="A2" s="54">
        <v>1</v>
      </c>
      <c r="B2" s="55" t="s">
        <v>46</v>
      </c>
      <c r="C2" s="55" t="s">
        <v>261</v>
      </c>
      <c r="D2" s="54" t="s">
        <v>262</v>
      </c>
      <c r="E2" s="56">
        <v>22.6</v>
      </c>
      <c r="F2" s="55" t="s">
        <v>263</v>
      </c>
      <c r="G2" s="55">
        <v>1.6639999999999999</v>
      </c>
      <c r="H2" s="56">
        <f>G2*9/1.13</f>
        <v>13.2530973451327</v>
      </c>
      <c r="I2" s="55">
        <v>20</v>
      </c>
      <c r="J2" s="55">
        <v>1</v>
      </c>
      <c r="K2" s="54">
        <v>0.08</v>
      </c>
      <c r="L2" s="55">
        <f>I2*J2*K2/10</f>
        <v>0.16</v>
      </c>
      <c r="M2" s="212">
        <v>0</v>
      </c>
      <c r="N2" s="215">
        <f>2*3.14*0.0045*0.3*9*2</f>
        <v>0.15260399999999999</v>
      </c>
      <c r="O2" s="215">
        <f>20/3600*30</f>
        <v>0.16666666666666669</v>
      </c>
      <c r="P2" s="212">
        <v>0.4</v>
      </c>
      <c r="Q2" s="212">
        <v>1.1200000000000001</v>
      </c>
      <c r="R2" s="212"/>
    </row>
    <row r="3" spans="1:18" x14ac:dyDescent="0.25">
      <c r="A3" s="55"/>
      <c r="B3" s="55"/>
      <c r="C3" s="55"/>
      <c r="D3" s="55"/>
      <c r="E3" s="55"/>
      <c r="F3" s="55"/>
      <c r="G3" s="55"/>
      <c r="H3" s="55"/>
      <c r="I3" s="55">
        <v>10</v>
      </c>
      <c r="J3" s="55">
        <v>1</v>
      </c>
      <c r="K3" s="54">
        <v>0.08</v>
      </c>
      <c r="L3" s="55">
        <f t="shared" ref="L3:L39" si="0">I3*J3*K3/10</f>
        <v>0.08</v>
      </c>
      <c r="M3" s="213"/>
      <c r="N3" s="216"/>
      <c r="O3" s="216"/>
      <c r="P3" s="213"/>
      <c r="Q3" s="213"/>
      <c r="R3" s="213"/>
    </row>
    <row r="4" spans="1:18" x14ac:dyDescent="0.25">
      <c r="A4" s="55"/>
      <c r="B4" s="55"/>
      <c r="C4" s="55"/>
      <c r="D4" s="55"/>
      <c r="E4" s="55"/>
      <c r="F4" s="55"/>
      <c r="G4" s="55"/>
      <c r="H4" s="55"/>
      <c r="I4" s="55">
        <v>20</v>
      </c>
      <c r="J4" s="55">
        <v>1</v>
      </c>
      <c r="K4" s="54">
        <v>0.08</v>
      </c>
      <c r="L4" s="55">
        <f t="shared" si="0"/>
        <v>0.16</v>
      </c>
      <c r="M4" s="213"/>
      <c r="N4" s="216"/>
      <c r="O4" s="216"/>
      <c r="P4" s="213"/>
      <c r="Q4" s="213"/>
      <c r="R4" s="213"/>
    </row>
    <row r="5" spans="1:18" x14ac:dyDescent="0.25">
      <c r="A5" s="55"/>
      <c r="B5" s="55"/>
      <c r="C5" s="55"/>
      <c r="D5" s="55"/>
      <c r="E5" s="55"/>
      <c r="F5" s="55"/>
      <c r="G5" s="55"/>
      <c r="H5" s="55"/>
      <c r="I5" s="55">
        <v>20</v>
      </c>
      <c r="J5" s="55">
        <v>1</v>
      </c>
      <c r="K5" s="54">
        <v>0.08</v>
      </c>
      <c r="L5" s="55">
        <f t="shared" si="0"/>
        <v>0.16</v>
      </c>
      <c r="M5" s="213"/>
      <c r="N5" s="216"/>
      <c r="O5" s="216"/>
      <c r="P5" s="213"/>
      <c r="Q5" s="213"/>
      <c r="R5" s="213"/>
    </row>
    <row r="6" spans="1:18" x14ac:dyDescent="0.25">
      <c r="A6" s="55"/>
      <c r="B6" s="55"/>
      <c r="C6" s="55"/>
      <c r="D6" s="55"/>
      <c r="E6" s="55"/>
      <c r="F6" s="55"/>
      <c r="G6" s="55"/>
      <c r="H6" s="55"/>
      <c r="I6" s="55">
        <v>15</v>
      </c>
      <c r="J6" s="55">
        <v>1</v>
      </c>
      <c r="K6" s="54">
        <v>0.08</v>
      </c>
      <c r="L6" s="55">
        <f t="shared" si="0"/>
        <v>0.12</v>
      </c>
      <c r="M6" s="213"/>
      <c r="N6" s="216"/>
      <c r="O6" s="216"/>
      <c r="P6" s="213"/>
      <c r="Q6" s="213"/>
      <c r="R6" s="213"/>
    </row>
    <row r="7" spans="1:18" x14ac:dyDescent="0.25">
      <c r="A7" s="55"/>
      <c r="B7" s="55"/>
      <c r="C7" s="55"/>
      <c r="D7" s="55"/>
      <c r="E7" s="55"/>
      <c r="F7" s="55"/>
      <c r="G7" s="55"/>
      <c r="H7" s="55"/>
      <c r="I7" s="55">
        <v>15</v>
      </c>
      <c r="J7" s="55">
        <v>1</v>
      </c>
      <c r="K7" s="54">
        <v>0.08</v>
      </c>
      <c r="L7" s="55">
        <f t="shared" si="0"/>
        <v>0.12</v>
      </c>
      <c r="M7" s="213"/>
      <c r="N7" s="216"/>
      <c r="O7" s="216"/>
      <c r="P7" s="213"/>
      <c r="Q7" s="213"/>
      <c r="R7" s="213"/>
    </row>
    <row r="8" spans="1:18" x14ac:dyDescent="0.25">
      <c r="A8" s="55"/>
      <c r="B8" s="55"/>
      <c r="C8" s="55"/>
      <c r="D8" s="55"/>
      <c r="E8" s="55"/>
      <c r="F8" s="55"/>
      <c r="G8" s="55"/>
      <c r="H8" s="55"/>
      <c r="I8" s="55">
        <v>10</v>
      </c>
      <c r="J8" s="55">
        <v>1</v>
      </c>
      <c r="K8" s="54">
        <v>0.08</v>
      </c>
      <c r="L8" s="55">
        <f t="shared" si="0"/>
        <v>0.08</v>
      </c>
      <c r="M8" s="213"/>
      <c r="N8" s="216"/>
      <c r="O8" s="216"/>
      <c r="P8" s="213"/>
      <c r="Q8" s="213"/>
      <c r="R8" s="213"/>
    </row>
    <row r="9" spans="1:18" x14ac:dyDescent="0.25">
      <c r="A9" s="55"/>
      <c r="B9" s="55"/>
      <c r="C9" s="55"/>
      <c r="D9" s="55"/>
      <c r="E9" s="55"/>
      <c r="F9" s="55"/>
      <c r="G9" s="55"/>
      <c r="H9" s="55"/>
      <c r="I9" s="55">
        <v>10</v>
      </c>
      <c r="J9" s="55">
        <v>1</v>
      </c>
      <c r="K9" s="54">
        <v>0.08</v>
      </c>
      <c r="L9" s="55">
        <f t="shared" si="0"/>
        <v>0.08</v>
      </c>
      <c r="M9" s="213"/>
      <c r="N9" s="216"/>
      <c r="O9" s="216"/>
      <c r="P9" s="213"/>
      <c r="Q9" s="213"/>
      <c r="R9" s="213"/>
    </row>
    <row r="10" spans="1:18" x14ac:dyDescent="0.25">
      <c r="A10" s="55"/>
      <c r="B10" s="55"/>
      <c r="C10" s="55"/>
      <c r="D10" s="55"/>
      <c r="E10" s="55"/>
      <c r="F10" s="55"/>
      <c r="G10" s="55"/>
      <c r="H10" s="55"/>
      <c r="I10" s="55">
        <v>15</v>
      </c>
      <c r="J10" s="55">
        <v>1</v>
      </c>
      <c r="K10" s="54">
        <v>0.08</v>
      </c>
      <c r="L10" s="55">
        <f t="shared" si="0"/>
        <v>0.12</v>
      </c>
      <c r="M10" s="213"/>
      <c r="N10" s="216"/>
      <c r="O10" s="216"/>
      <c r="P10" s="213"/>
      <c r="Q10" s="213"/>
      <c r="R10" s="213"/>
    </row>
    <row r="11" spans="1:18" x14ac:dyDescent="0.25">
      <c r="A11" s="55"/>
      <c r="B11" s="55"/>
      <c r="C11" s="55"/>
      <c r="D11" s="55"/>
      <c r="E11" s="55"/>
      <c r="F11" s="55"/>
      <c r="G11" s="55"/>
      <c r="H11" s="55"/>
      <c r="I11" s="55">
        <v>10</v>
      </c>
      <c r="J11" s="55">
        <v>1</v>
      </c>
      <c r="K11" s="54">
        <v>0.08</v>
      </c>
      <c r="L11" s="55">
        <f t="shared" si="0"/>
        <v>0.08</v>
      </c>
      <c r="M11" s="213"/>
      <c r="N11" s="216"/>
      <c r="O11" s="216"/>
      <c r="P11" s="213"/>
      <c r="Q11" s="213"/>
      <c r="R11" s="213"/>
    </row>
    <row r="12" spans="1:18" x14ac:dyDescent="0.25">
      <c r="A12" s="55"/>
      <c r="B12" s="55"/>
      <c r="C12" s="55"/>
      <c r="D12" s="55"/>
      <c r="E12" s="55"/>
      <c r="F12" s="55"/>
      <c r="G12" s="55"/>
      <c r="H12" s="55"/>
      <c r="I12" s="55">
        <v>15</v>
      </c>
      <c r="J12" s="55">
        <v>1</v>
      </c>
      <c r="K12" s="54">
        <v>0.08</v>
      </c>
      <c r="L12" s="55">
        <f t="shared" si="0"/>
        <v>0.12</v>
      </c>
      <c r="M12" s="213"/>
      <c r="N12" s="216"/>
      <c r="O12" s="216"/>
      <c r="P12" s="213"/>
      <c r="Q12" s="213"/>
      <c r="R12" s="213"/>
    </row>
    <row r="13" spans="1:18" x14ac:dyDescent="0.25">
      <c r="A13" s="55"/>
      <c r="B13" s="55"/>
      <c r="C13" s="55"/>
      <c r="D13" s="55"/>
      <c r="E13" s="55"/>
      <c r="F13" s="55"/>
      <c r="G13" s="55"/>
      <c r="H13" s="55"/>
      <c r="I13" s="55">
        <v>10</v>
      </c>
      <c r="J13" s="55">
        <v>1</v>
      </c>
      <c r="K13" s="54">
        <v>0.08</v>
      </c>
      <c r="L13" s="55">
        <f t="shared" si="0"/>
        <v>0.08</v>
      </c>
      <c r="M13" s="213"/>
      <c r="N13" s="216"/>
      <c r="O13" s="216"/>
      <c r="P13" s="213"/>
      <c r="Q13" s="213"/>
      <c r="R13" s="213"/>
    </row>
    <row r="14" spans="1:18" x14ac:dyDescent="0.25">
      <c r="A14" s="55"/>
      <c r="B14" s="55"/>
      <c r="C14" s="55"/>
      <c r="D14" s="55"/>
      <c r="E14" s="55"/>
      <c r="F14" s="55"/>
      <c r="G14" s="55"/>
      <c r="H14" s="55"/>
      <c r="I14" s="55">
        <v>10</v>
      </c>
      <c r="J14" s="55">
        <v>1</v>
      </c>
      <c r="K14" s="54">
        <v>0.08</v>
      </c>
      <c r="L14" s="55">
        <f t="shared" si="0"/>
        <v>0.08</v>
      </c>
      <c r="M14" s="213"/>
      <c r="N14" s="216"/>
      <c r="O14" s="216"/>
      <c r="P14" s="213"/>
      <c r="Q14" s="213"/>
      <c r="R14" s="213"/>
    </row>
    <row r="15" spans="1:18" x14ac:dyDescent="0.25">
      <c r="A15" s="55"/>
      <c r="B15" s="55"/>
      <c r="C15" s="55"/>
      <c r="D15" s="55"/>
      <c r="E15" s="55"/>
      <c r="F15" s="55"/>
      <c r="G15" s="55"/>
      <c r="H15" s="55"/>
      <c r="I15" s="55">
        <v>10</v>
      </c>
      <c r="J15" s="55">
        <v>1</v>
      </c>
      <c r="K15" s="54">
        <v>0.08</v>
      </c>
      <c r="L15" s="55">
        <f t="shared" si="0"/>
        <v>0.08</v>
      </c>
      <c r="M15" s="213"/>
      <c r="N15" s="216"/>
      <c r="O15" s="216"/>
      <c r="P15" s="213"/>
      <c r="Q15" s="213"/>
      <c r="R15" s="213"/>
    </row>
    <row r="16" spans="1:18" x14ac:dyDescent="0.25">
      <c r="A16" s="55"/>
      <c r="B16" s="55"/>
      <c r="C16" s="55"/>
      <c r="D16" s="55"/>
      <c r="E16" s="55"/>
      <c r="F16" s="55"/>
      <c r="G16" s="55"/>
      <c r="H16" s="55"/>
      <c r="I16" s="55">
        <v>15</v>
      </c>
      <c r="J16" s="55">
        <v>1</v>
      </c>
      <c r="K16" s="54">
        <v>0.08</v>
      </c>
      <c r="L16" s="55">
        <f t="shared" si="0"/>
        <v>0.12</v>
      </c>
      <c r="M16" s="213"/>
      <c r="N16" s="216"/>
      <c r="O16" s="216"/>
      <c r="P16" s="213"/>
      <c r="Q16" s="213"/>
      <c r="R16" s="213"/>
    </row>
    <row r="17" spans="1:18" x14ac:dyDescent="0.25">
      <c r="A17" s="55"/>
      <c r="B17" s="55"/>
      <c r="C17" s="55"/>
      <c r="D17" s="55"/>
      <c r="E17" s="55"/>
      <c r="F17" s="55"/>
      <c r="G17" s="55"/>
      <c r="H17" s="55"/>
      <c r="I17" s="55">
        <v>10</v>
      </c>
      <c r="J17" s="55">
        <v>1</v>
      </c>
      <c r="K17" s="54">
        <v>0.08</v>
      </c>
      <c r="L17" s="55">
        <f t="shared" si="0"/>
        <v>0.08</v>
      </c>
      <c r="M17" s="213"/>
      <c r="N17" s="216"/>
      <c r="O17" s="216"/>
      <c r="P17" s="213"/>
      <c r="Q17" s="213"/>
      <c r="R17" s="213"/>
    </row>
    <row r="18" spans="1:18" x14ac:dyDescent="0.25">
      <c r="A18" s="55"/>
      <c r="B18" s="55"/>
      <c r="C18" s="55"/>
      <c r="D18" s="55"/>
      <c r="E18" s="55"/>
      <c r="F18" s="55"/>
      <c r="G18" s="55"/>
      <c r="H18" s="55"/>
      <c r="I18" s="55">
        <v>10</v>
      </c>
      <c r="J18" s="55">
        <v>1</v>
      </c>
      <c r="K18" s="54">
        <v>0.08</v>
      </c>
      <c r="L18" s="55">
        <f t="shared" si="0"/>
        <v>0.08</v>
      </c>
      <c r="M18" s="213"/>
      <c r="N18" s="216"/>
      <c r="O18" s="216"/>
      <c r="P18" s="213"/>
      <c r="Q18" s="213"/>
      <c r="R18" s="213"/>
    </row>
    <row r="19" spans="1:18" x14ac:dyDescent="0.25">
      <c r="A19" s="55"/>
      <c r="B19" s="55"/>
      <c r="C19" s="55"/>
      <c r="D19" s="55"/>
      <c r="E19" s="55"/>
      <c r="F19" s="55"/>
      <c r="G19" s="55"/>
      <c r="H19" s="55"/>
      <c r="I19" s="55">
        <v>15</v>
      </c>
      <c r="J19" s="55">
        <v>1</v>
      </c>
      <c r="K19" s="54">
        <v>0.08</v>
      </c>
      <c r="L19" s="55">
        <f t="shared" si="0"/>
        <v>0.12</v>
      </c>
      <c r="M19" s="213"/>
      <c r="N19" s="216"/>
      <c r="O19" s="216"/>
      <c r="P19" s="213"/>
      <c r="Q19" s="213"/>
      <c r="R19" s="213"/>
    </row>
    <row r="20" spans="1:18" x14ac:dyDescent="0.25">
      <c r="A20" s="55"/>
      <c r="B20" s="55"/>
      <c r="C20" s="55"/>
      <c r="D20" s="55"/>
      <c r="E20" s="55"/>
      <c r="F20" s="55"/>
      <c r="G20" s="55"/>
      <c r="H20" s="55"/>
      <c r="I20" s="55">
        <v>10</v>
      </c>
      <c r="J20" s="55">
        <v>1</v>
      </c>
      <c r="K20" s="54">
        <v>0.08</v>
      </c>
      <c r="L20" s="55">
        <f t="shared" si="0"/>
        <v>0.08</v>
      </c>
      <c r="M20" s="213"/>
      <c r="N20" s="216"/>
      <c r="O20" s="216"/>
      <c r="P20" s="213"/>
      <c r="Q20" s="213"/>
      <c r="R20" s="213"/>
    </row>
    <row r="21" spans="1:18" x14ac:dyDescent="0.25">
      <c r="A21" s="55"/>
      <c r="B21" s="55"/>
      <c r="C21" s="55"/>
      <c r="D21" s="55"/>
      <c r="E21" s="55"/>
      <c r="F21" s="55"/>
      <c r="G21" s="55"/>
      <c r="H21" s="55"/>
      <c r="I21" s="55">
        <v>20</v>
      </c>
      <c r="J21" s="55">
        <v>1</v>
      </c>
      <c r="K21" s="54">
        <v>0.08</v>
      </c>
      <c r="L21" s="55">
        <f t="shared" si="0"/>
        <v>0.16</v>
      </c>
      <c r="M21" s="213"/>
      <c r="N21" s="216"/>
      <c r="O21" s="216"/>
      <c r="P21" s="213"/>
      <c r="Q21" s="213"/>
      <c r="R21" s="213"/>
    </row>
    <row r="22" spans="1:18" x14ac:dyDescent="0.25">
      <c r="A22" s="55"/>
      <c r="B22" s="55"/>
      <c r="C22" s="55"/>
      <c r="D22" s="55"/>
      <c r="E22" s="55"/>
      <c r="F22" s="55"/>
      <c r="G22" s="55"/>
      <c r="H22" s="55"/>
      <c r="I22" s="55">
        <v>15</v>
      </c>
      <c r="J22" s="55">
        <v>1</v>
      </c>
      <c r="K22" s="54">
        <v>0.08</v>
      </c>
      <c r="L22" s="55">
        <f t="shared" si="0"/>
        <v>0.12</v>
      </c>
      <c r="M22" s="213"/>
      <c r="N22" s="216"/>
      <c r="O22" s="216"/>
      <c r="P22" s="213"/>
      <c r="Q22" s="213"/>
      <c r="R22" s="213"/>
    </row>
    <row r="23" spans="1:18" x14ac:dyDescent="0.25">
      <c r="A23" s="55"/>
      <c r="B23" s="55"/>
      <c r="C23" s="55"/>
      <c r="D23" s="55"/>
      <c r="E23" s="55"/>
      <c r="F23" s="55"/>
      <c r="G23" s="55"/>
      <c r="H23" s="55"/>
      <c r="I23" s="55">
        <v>10</v>
      </c>
      <c r="J23" s="55">
        <v>1</v>
      </c>
      <c r="K23" s="54">
        <v>0.08</v>
      </c>
      <c r="L23" s="55">
        <f t="shared" si="0"/>
        <v>0.08</v>
      </c>
      <c r="M23" s="213"/>
      <c r="N23" s="216"/>
      <c r="O23" s="216"/>
      <c r="P23" s="213"/>
      <c r="Q23" s="213"/>
      <c r="R23" s="213"/>
    </row>
    <row r="24" spans="1:18" x14ac:dyDescent="0.25">
      <c r="A24" s="55"/>
      <c r="B24" s="55"/>
      <c r="C24" s="55"/>
      <c r="D24" s="55"/>
      <c r="E24" s="55"/>
      <c r="F24" s="55"/>
      <c r="G24" s="55"/>
      <c r="H24" s="55"/>
      <c r="I24" s="55">
        <v>10</v>
      </c>
      <c r="J24" s="55">
        <v>1</v>
      </c>
      <c r="K24" s="54">
        <v>0.08</v>
      </c>
      <c r="L24" s="55">
        <f t="shared" si="0"/>
        <v>0.08</v>
      </c>
      <c r="M24" s="213"/>
      <c r="N24" s="216"/>
      <c r="O24" s="216"/>
      <c r="P24" s="213"/>
      <c r="Q24" s="213"/>
      <c r="R24" s="213"/>
    </row>
    <row r="25" spans="1:18" x14ac:dyDescent="0.25">
      <c r="A25" s="55"/>
      <c r="B25" s="55"/>
      <c r="C25" s="55"/>
      <c r="D25" s="55"/>
      <c r="E25" s="55"/>
      <c r="F25" s="55"/>
      <c r="G25" s="55"/>
      <c r="H25" s="55"/>
      <c r="I25" s="55">
        <v>10</v>
      </c>
      <c r="J25" s="55">
        <v>1</v>
      </c>
      <c r="K25" s="54">
        <v>0.08</v>
      </c>
      <c r="L25" s="55">
        <f t="shared" si="0"/>
        <v>0.08</v>
      </c>
      <c r="M25" s="213"/>
      <c r="N25" s="216"/>
      <c r="O25" s="216"/>
      <c r="P25" s="213"/>
      <c r="Q25" s="213"/>
      <c r="R25" s="213"/>
    </row>
    <row r="26" spans="1:18" x14ac:dyDescent="0.25">
      <c r="A26" s="55"/>
      <c r="B26" s="55"/>
      <c r="C26" s="55"/>
      <c r="D26" s="55"/>
      <c r="E26" s="55"/>
      <c r="F26" s="55"/>
      <c r="G26" s="55"/>
      <c r="H26" s="55"/>
      <c r="I26" s="55">
        <v>10</v>
      </c>
      <c r="J26" s="55">
        <v>1</v>
      </c>
      <c r="K26" s="54">
        <v>0.08</v>
      </c>
      <c r="L26" s="55">
        <f t="shared" si="0"/>
        <v>0.08</v>
      </c>
      <c r="M26" s="213"/>
      <c r="N26" s="216"/>
      <c r="O26" s="216"/>
      <c r="P26" s="213"/>
      <c r="Q26" s="213"/>
      <c r="R26" s="213"/>
    </row>
    <row r="27" spans="1:18" x14ac:dyDescent="0.25">
      <c r="A27" s="55"/>
      <c r="B27" s="55"/>
      <c r="C27" s="55"/>
      <c r="D27" s="55"/>
      <c r="E27" s="55"/>
      <c r="F27" s="55"/>
      <c r="G27" s="55"/>
      <c r="H27" s="55"/>
      <c r="I27" s="55">
        <v>10</v>
      </c>
      <c r="J27" s="55">
        <v>1</v>
      </c>
      <c r="K27" s="54">
        <v>0.08</v>
      </c>
      <c r="L27" s="55">
        <f t="shared" si="0"/>
        <v>0.08</v>
      </c>
      <c r="M27" s="213"/>
      <c r="N27" s="216"/>
      <c r="O27" s="216"/>
      <c r="P27" s="213"/>
      <c r="Q27" s="213"/>
      <c r="R27" s="213"/>
    </row>
    <row r="28" spans="1:18" x14ac:dyDescent="0.25">
      <c r="A28" s="55"/>
      <c r="B28" s="55"/>
      <c r="C28" s="55"/>
      <c r="D28" s="55"/>
      <c r="E28" s="55"/>
      <c r="F28" s="55"/>
      <c r="G28" s="55"/>
      <c r="H28" s="55"/>
      <c r="I28" s="55">
        <v>20</v>
      </c>
      <c r="J28" s="55">
        <v>1</v>
      </c>
      <c r="K28" s="54">
        <v>0.08</v>
      </c>
      <c r="L28" s="55">
        <f t="shared" si="0"/>
        <v>0.16</v>
      </c>
      <c r="M28" s="213"/>
      <c r="N28" s="216"/>
      <c r="O28" s="216"/>
      <c r="P28" s="213"/>
      <c r="Q28" s="213"/>
      <c r="R28" s="213"/>
    </row>
    <row r="29" spans="1:18" x14ac:dyDescent="0.25">
      <c r="A29" s="55"/>
      <c r="B29" s="55"/>
      <c r="C29" s="55"/>
      <c r="D29" s="55"/>
      <c r="E29" s="55"/>
      <c r="F29" s="55"/>
      <c r="G29" s="55"/>
      <c r="H29" s="55"/>
      <c r="I29" s="55">
        <v>10</v>
      </c>
      <c r="J29" s="55">
        <v>1</v>
      </c>
      <c r="K29" s="54">
        <v>0.08</v>
      </c>
      <c r="L29" s="55">
        <f t="shared" si="0"/>
        <v>0.08</v>
      </c>
      <c r="M29" s="213"/>
      <c r="N29" s="216"/>
      <c r="O29" s="216"/>
      <c r="P29" s="213"/>
      <c r="Q29" s="213"/>
      <c r="R29" s="213"/>
    </row>
    <row r="30" spans="1:18" x14ac:dyDescent="0.25">
      <c r="A30" s="55"/>
      <c r="B30" s="55"/>
      <c r="C30" s="55"/>
      <c r="D30" s="55"/>
      <c r="E30" s="55"/>
      <c r="F30" s="55"/>
      <c r="G30" s="55"/>
      <c r="H30" s="55"/>
      <c r="I30" s="55">
        <v>10</v>
      </c>
      <c r="J30" s="55">
        <v>1</v>
      </c>
      <c r="K30" s="54">
        <v>0.08</v>
      </c>
      <c r="L30" s="55">
        <f t="shared" si="0"/>
        <v>0.08</v>
      </c>
      <c r="M30" s="213"/>
      <c r="N30" s="216"/>
      <c r="O30" s="216"/>
      <c r="P30" s="213"/>
      <c r="Q30" s="213"/>
      <c r="R30" s="213"/>
    </row>
    <row r="31" spans="1:18" x14ac:dyDescent="0.25">
      <c r="A31" s="55"/>
      <c r="B31" s="55"/>
      <c r="C31" s="55"/>
      <c r="D31" s="55"/>
      <c r="E31" s="55"/>
      <c r="F31" s="55"/>
      <c r="G31" s="55"/>
      <c r="H31" s="55"/>
      <c r="I31" s="55">
        <v>10</v>
      </c>
      <c r="J31" s="55">
        <v>1</v>
      </c>
      <c r="K31" s="54">
        <v>0.08</v>
      </c>
      <c r="L31" s="55">
        <f t="shared" si="0"/>
        <v>0.08</v>
      </c>
      <c r="M31" s="213"/>
      <c r="N31" s="216"/>
      <c r="O31" s="216"/>
      <c r="P31" s="213"/>
      <c r="Q31" s="213"/>
      <c r="R31" s="213"/>
    </row>
    <row r="32" spans="1:18" x14ac:dyDescent="0.25">
      <c r="A32" s="55"/>
      <c r="B32" s="55"/>
      <c r="C32" s="55"/>
      <c r="D32" s="55"/>
      <c r="E32" s="55"/>
      <c r="F32" s="55"/>
      <c r="G32" s="55"/>
      <c r="H32" s="55"/>
      <c r="I32" s="55">
        <v>10</v>
      </c>
      <c r="J32" s="55">
        <v>1</v>
      </c>
      <c r="K32" s="54">
        <v>0.08</v>
      </c>
      <c r="L32" s="55">
        <f t="shared" si="0"/>
        <v>0.08</v>
      </c>
      <c r="M32" s="213"/>
      <c r="N32" s="216"/>
      <c r="O32" s="216"/>
      <c r="P32" s="213"/>
      <c r="Q32" s="213"/>
      <c r="R32" s="213"/>
    </row>
    <row r="33" spans="1:18" x14ac:dyDescent="0.25">
      <c r="A33" s="55"/>
      <c r="B33" s="55"/>
      <c r="C33" s="55"/>
      <c r="D33" s="55"/>
      <c r="E33" s="55"/>
      <c r="F33" s="55"/>
      <c r="G33" s="55"/>
      <c r="H33" s="55"/>
      <c r="I33" s="55">
        <v>10</v>
      </c>
      <c r="J33" s="55">
        <v>1</v>
      </c>
      <c r="K33" s="54">
        <v>0.08</v>
      </c>
      <c r="L33" s="55">
        <f t="shared" si="0"/>
        <v>0.08</v>
      </c>
      <c r="M33" s="213"/>
      <c r="N33" s="216"/>
      <c r="O33" s="216"/>
      <c r="P33" s="213"/>
      <c r="Q33" s="213"/>
      <c r="R33" s="213"/>
    </row>
    <row r="34" spans="1:18" x14ac:dyDescent="0.25">
      <c r="A34" s="55"/>
      <c r="B34" s="55"/>
      <c r="C34" s="55"/>
      <c r="D34" s="55"/>
      <c r="E34" s="55"/>
      <c r="F34" s="55"/>
      <c r="G34" s="55"/>
      <c r="H34" s="55"/>
      <c r="I34" s="55">
        <v>10</v>
      </c>
      <c r="J34" s="55">
        <v>1</v>
      </c>
      <c r="K34" s="54">
        <v>0.08</v>
      </c>
      <c r="L34" s="55">
        <f t="shared" si="0"/>
        <v>0.08</v>
      </c>
      <c r="M34" s="213"/>
      <c r="N34" s="216"/>
      <c r="O34" s="216"/>
      <c r="P34" s="213"/>
      <c r="Q34" s="213"/>
      <c r="R34" s="213"/>
    </row>
    <row r="35" spans="1:18" x14ac:dyDescent="0.25">
      <c r="A35" s="55"/>
      <c r="B35" s="55"/>
      <c r="C35" s="55"/>
      <c r="D35" s="55"/>
      <c r="E35" s="55"/>
      <c r="F35" s="55"/>
      <c r="G35" s="55"/>
      <c r="H35" s="55"/>
      <c r="I35" s="55">
        <v>20</v>
      </c>
      <c r="J35" s="55">
        <v>1</v>
      </c>
      <c r="K35" s="54">
        <v>0.08</v>
      </c>
      <c r="L35" s="55">
        <f t="shared" si="0"/>
        <v>0.16</v>
      </c>
      <c r="M35" s="213"/>
      <c r="N35" s="216"/>
      <c r="O35" s="216"/>
      <c r="P35" s="213"/>
      <c r="Q35" s="213"/>
      <c r="R35" s="213"/>
    </row>
    <row r="36" spans="1:18" x14ac:dyDescent="0.25">
      <c r="A36" s="55"/>
      <c r="B36" s="55"/>
      <c r="C36" s="55"/>
      <c r="D36" s="55"/>
      <c r="E36" s="55"/>
      <c r="F36" s="55"/>
      <c r="G36" s="55"/>
      <c r="H36" s="55"/>
      <c r="I36" s="55">
        <v>10</v>
      </c>
      <c r="J36" s="55">
        <v>1</v>
      </c>
      <c r="K36" s="54">
        <v>0.08</v>
      </c>
      <c r="L36" s="55">
        <f t="shared" si="0"/>
        <v>0.08</v>
      </c>
      <c r="M36" s="213"/>
      <c r="N36" s="216"/>
      <c r="O36" s="216"/>
      <c r="P36" s="213"/>
      <c r="Q36" s="213"/>
      <c r="R36" s="213"/>
    </row>
    <row r="37" spans="1:18" x14ac:dyDescent="0.25">
      <c r="A37" s="55"/>
      <c r="B37" s="55"/>
      <c r="C37" s="55"/>
      <c r="D37" s="55"/>
      <c r="E37" s="55"/>
      <c r="F37" s="55"/>
      <c r="G37" s="55"/>
      <c r="H37" s="55"/>
      <c r="I37" s="55">
        <v>10</v>
      </c>
      <c r="J37" s="55">
        <v>1</v>
      </c>
      <c r="K37" s="54">
        <v>0.08</v>
      </c>
      <c r="L37" s="55">
        <f t="shared" si="0"/>
        <v>0.08</v>
      </c>
      <c r="M37" s="213"/>
      <c r="N37" s="216"/>
      <c r="O37" s="216"/>
      <c r="P37" s="213"/>
      <c r="Q37" s="213"/>
      <c r="R37" s="213"/>
    </row>
    <row r="38" spans="1:18" x14ac:dyDescent="0.25">
      <c r="A38" s="55"/>
      <c r="B38" s="55"/>
      <c r="C38" s="55"/>
      <c r="D38" s="55"/>
      <c r="E38" s="55"/>
      <c r="F38" s="55"/>
      <c r="G38" s="55"/>
      <c r="H38" s="55"/>
      <c r="I38" s="55">
        <v>10</v>
      </c>
      <c r="J38" s="55">
        <v>1</v>
      </c>
      <c r="K38" s="54">
        <v>0.08</v>
      </c>
      <c r="L38" s="55">
        <f t="shared" si="0"/>
        <v>0.08</v>
      </c>
      <c r="M38" s="213"/>
      <c r="N38" s="216"/>
      <c r="O38" s="216"/>
      <c r="P38" s="213"/>
      <c r="Q38" s="213"/>
      <c r="R38" s="213"/>
    </row>
    <row r="39" spans="1:18" x14ac:dyDescent="0.25">
      <c r="A39" s="55"/>
      <c r="B39" s="55"/>
      <c r="C39" s="55"/>
      <c r="D39" s="55"/>
      <c r="E39" s="55"/>
      <c r="F39" s="55"/>
      <c r="G39" s="55"/>
      <c r="H39" s="55"/>
      <c r="I39" s="55">
        <v>10</v>
      </c>
      <c r="J39" s="55">
        <v>1</v>
      </c>
      <c r="K39" s="54">
        <v>0.08</v>
      </c>
      <c r="L39" s="55">
        <f t="shared" si="0"/>
        <v>0.08</v>
      </c>
      <c r="M39" s="214"/>
      <c r="N39" s="217"/>
      <c r="O39" s="217"/>
      <c r="P39" s="214"/>
      <c r="Q39" s="214"/>
      <c r="R39" s="214"/>
    </row>
    <row r="40" spans="1:18" s="51" customFormat="1" x14ac:dyDescent="0.25">
      <c r="A40" s="57"/>
      <c r="B40" s="58"/>
      <c r="C40" s="58"/>
      <c r="D40" s="57"/>
      <c r="E40" s="59"/>
      <c r="F40" s="58"/>
      <c r="G40" s="58"/>
      <c r="H40" s="59">
        <f>SUM(H2:H39)</f>
        <v>13.2530973451327</v>
      </c>
      <c r="I40" s="58"/>
      <c r="J40" s="58"/>
      <c r="K40" s="58"/>
      <c r="L40" s="61">
        <f>SUM(L2:L39)</f>
        <v>3.8000000000000025</v>
      </c>
      <c r="M40" s="57">
        <f>SUM(M2)</f>
        <v>0</v>
      </c>
      <c r="N40" s="59">
        <f t="shared" ref="N40:P40" si="1">SUM(N2)</f>
        <v>0.15260399999999999</v>
      </c>
      <c r="O40" s="59">
        <f t="shared" si="1"/>
        <v>0.16666666666666669</v>
      </c>
      <c r="P40" s="57">
        <f t="shared" si="1"/>
        <v>0.4</v>
      </c>
      <c r="Q40" s="59">
        <f>Q2</f>
        <v>1.1200000000000001</v>
      </c>
      <c r="R40" s="59">
        <f>H40+(L40+M40+N40+P40+O40)*Q40</f>
        <v>18.314680491799372</v>
      </c>
    </row>
  </sheetData>
  <mergeCells count="6">
    <mergeCell ref="R2:R39"/>
    <mergeCell ref="M2:M39"/>
    <mergeCell ref="N2:N39"/>
    <mergeCell ref="O2:O39"/>
    <mergeCell ref="P2:P39"/>
    <mergeCell ref="Q2:Q39"/>
  </mergeCells>
  <phoneticPr fontId="26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"/>
  <sheetViews>
    <sheetView workbookViewId="0">
      <selection activeCell="M3" sqref="M3"/>
    </sheetView>
  </sheetViews>
  <sheetFormatPr defaultColWidth="9" defaultRowHeight="14.4" x14ac:dyDescent="0.25"/>
  <cols>
    <col min="2" max="2" width="13.109375" customWidth="1"/>
    <col min="4" max="4" width="17.21875" customWidth="1"/>
    <col min="5" max="6" width="13.6640625" customWidth="1"/>
    <col min="14" max="14" width="10.5546875" customWidth="1"/>
  </cols>
  <sheetData>
    <row r="1" spans="1:14" ht="25.8" x14ac:dyDescent="0.25">
      <c r="A1" s="218" t="s">
        <v>264</v>
      </c>
      <c r="B1" s="218"/>
      <c r="C1" s="218"/>
      <c r="D1" s="218"/>
      <c r="E1" s="218"/>
      <c r="F1" s="39"/>
      <c r="G1" s="219" t="s">
        <v>265</v>
      </c>
      <c r="H1" s="219"/>
      <c r="I1" s="219"/>
      <c r="J1" s="219" t="s">
        <v>266</v>
      </c>
      <c r="K1" s="219"/>
      <c r="L1" s="220"/>
      <c r="M1" s="220" t="s">
        <v>267</v>
      </c>
      <c r="N1" s="221"/>
    </row>
    <row r="2" spans="1:14" ht="28.8" x14ac:dyDescent="0.25">
      <c r="A2" s="38" t="s">
        <v>0</v>
      </c>
      <c r="B2" s="38" t="s">
        <v>2</v>
      </c>
      <c r="C2" s="38" t="s">
        <v>268</v>
      </c>
      <c r="D2" s="38" t="s">
        <v>269</v>
      </c>
      <c r="E2" s="41" t="s">
        <v>270</v>
      </c>
      <c r="F2" s="41" t="s">
        <v>183</v>
      </c>
      <c r="G2" s="40" t="s">
        <v>271</v>
      </c>
      <c r="H2" s="40" t="s">
        <v>272</v>
      </c>
      <c r="I2" s="40" t="s">
        <v>273</v>
      </c>
      <c r="J2" s="40" t="s">
        <v>271</v>
      </c>
      <c r="K2" s="40" t="s">
        <v>272</v>
      </c>
      <c r="L2" s="46" t="s">
        <v>273</v>
      </c>
      <c r="M2" s="47" t="s">
        <v>274</v>
      </c>
      <c r="N2" s="40" t="s">
        <v>275</v>
      </c>
    </row>
    <row r="3" spans="1:14" ht="79.2" customHeight="1" x14ac:dyDescent="0.25">
      <c r="A3" s="38">
        <v>1</v>
      </c>
      <c r="B3" s="42" t="s">
        <v>276</v>
      </c>
      <c r="C3" s="41" t="s">
        <v>26</v>
      </c>
      <c r="D3" s="43"/>
      <c r="E3" s="44">
        <f>100*2+140*2+47+15.6</f>
        <v>542.6</v>
      </c>
      <c r="F3" s="45">
        <f>0.1026*4</f>
        <v>0.41039999999999999</v>
      </c>
      <c r="G3" s="40">
        <v>1</v>
      </c>
      <c r="H3" s="40">
        <v>0.28000000000000003</v>
      </c>
      <c r="I3" s="40">
        <v>0.1</v>
      </c>
      <c r="J3" s="40">
        <f>E3/1000</f>
        <v>0.54259999999999997</v>
      </c>
      <c r="K3" s="48">
        <v>1.5</v>
      </c>
      <c r="L3" s="40">
        <v>4</v>
      </c>
      <c r="M3" s="49">
        <f>G3*J3+H3*K3+I3*L3</f>
        <v>1.3626</v>
      </c>
      <c r="N3" s="50">
        <f>F3+M3</f>
        <v>1.7729999999999999</v>
      </c>
    </row>
  </sheetData>
  <mergeCells count="4">
    <mergeCell ref="A1:E1"/>
    <mergeCell ref="G1:I1"/>
    <mergeCell ref="J1:L1"/>
    <mergeCell ref="M1:N1"/>
  </mergeCells>
  <phoneticPr fontId="26" type="noConversion"/>
  <conditionalFormatting sqref="D3">
    <cfRule type="duplicateValues" dxfId="2" priority="1"/>
    <cfRule type="duplicateValues" dxfId="1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topLeftCell="A4" zoomScaleNormal="100" workbookViewId="0">
      <selection activeCell="M5" sqref="M5"/>
    </sheetView>
  </sheetViews>
  <sheetFormatPr defaultColWidth="9" defaultRowHeight="14.4" x14ac:dyDescent="0.25"/>
  <cols>
    <col min="2" max="2" width="19.77734375" customWidth="1"/>
    <col min="3" max="3" width="21.109375" customWidth="1"/>
    <col min="4" max="4" width="27" customWidth="1"/>
    <col min="7" max="7" width="14.6640625" customWidth="1"/>
    <col min="8" max="8" width="16" customWidth="1"/>
    <col min="9" max="9" width="22" customWidth="1"/>
  </cols>
  <sheetData>
    <row r="1" spans="1:9" ht="57" customHeight="1" x14ac:dyDescent="0.25">
      <c r="B1" s="222" t="s">
        <v>277</v>
      </c>
      <c r="C1" s="222"/>
      <c r="D1" s="222"/>
      <c r="E1" s="222"/>
      <c r="F1" s="222"/>
      <c r="G1" s="222"/>
      <c r="H1" s="222"/>
    </row>
    <row r="2" spans="1:9" ht="48" customHeight="1" x14ac:dyDescent="0.25">
      <c r="A2" s="30" t="s">
        <v>0</v>
      </c>
      <c r="B2" s="30" t="s">
        <v>278</v>
      </c>
      <c r="C2" s="30" t="s">
        <v>2</v>
      </c>
      <c r="D2" s="30" t="s">
        <v>269</v>
      </c>
      <c r="E2" s="31" t="s">
        <v>279</v>
      </c>
      <c r="F2" s="32" t="s">
        <v>280</v>
      </c>
      <c r="G2" s="30" t="s">
        <v>185</v>
      </c>
      <c r="H2" s="30" t="s">
        <v>281</v>
      </c>
    </row>
    <row r="3" spans="1:9" ht="79.05" customHeight="1" x14ac:dyDescent="0.25">
      <c r="A3" s="33">
        <v>1</v>
      </c>
      <c r="B3" s="34" t="s">
        <v>282</v>
      </c>
      <c r="C3" s="35" t="s">
        <v>283</v>
      </c>
      <c r="D3" s="36"/>
      <c r="E3" s="36">
        <v>5</v>
      </c>
      <c r="F3" s="36">
        <v>0.55900000000000005</v>
      </c>
      <c r="G3" s="36" t="s">
        <v>27</v>
      </c>
      <c r="H3" s="37">
        <v>4.45</v>
      </c>
      <c r="I3" s="142" t="s">
        <v>381</v>
      </c>
    </row>
    <row r="4" spans="1:9" ht="79.05" customHeight="1" x14ac:dyDescent="0.25">
      <c r="A4" s="33">
        <v>2</v>
      </c>
      <c r="B4" s="34" t="s">
        <v>284</v>
      </c>
      <c r="C4" s="35" t="s">
        <v>285</v>
      </c>
      <c r="D4" s="36"/>
      <c r="E4" s="36">
        <v>1</v>
      </c>
      <c r="F4" s="36">
        <v>0.188</v>
      </c>
      <c r="G4" s="36" t="s">
        <v>286</v>
      </c>
      <c r="H4" s="37">
        <v>1.65</v>
      </c>
      <c r="I4" s="142" t="s">
        <v>380</v>
      </c>
    </row>
    <row r="5" spans="1:9" ht="79.05" customHeight="1" x14ac:dyDescent="0.25">
      <c r="A5" s="33">
        <v>3</v>
      </c>
      <c r="B5" s="223" t="s">
        <v>195</v>
      </c>
      <c r="C5" s="224"/>
      <c r="D5" s="36"/>
      <c r="E5" s="36">
        <v>1</v>
      </c>
      <c r="F5" s="36" t="s">
        <v>287</v>
      </c>
      <c r="G5" s="36" t="s">
        <v>287</v>
      </c>
      <c r="H5" s="37">
        <v>1.44</v>
      </c>
      <c r="I5" s="142" t="s">
        <v>382</v>
      </c>
    </row>
    <row r="6" spans="1:9" ht="33" customHeight="1" x14ac:dyDescent="0.25">
      <c r="A6" s="225" t="s">
        <v>288</v>
      </c>
      <c r="B6" s="225"/>
      <c r="C6" s="225"/>
      <c r="D6" s="225"/>
      <c r="E6" s="225"/>
      <c r="F6" s="225"/>
      <c r="G6" s="225"/>
      <c r="H6" s="38">
        <f>SUM(H3:H5)</f>
        <v>7.54</v>
      </c>
    </row>
    <row r="7" spans="1:9" ht="42" customHeight="1" x14ac:dyDescent="0.25">
      <c r="A7" s="226" t="s">
        <v>289</v>
      </c>
      <c r="B7" s="227"/>
      <c r="C7" s="227"/>
      <c r="D7" s="227"/>
      <c r="E7" s="227"/>
      <c r="F7" s="227"/>
      <c r="G7" s="227"/>
      <c r="H7" s="227"/>
    </row>
    <row r="8" spans="1:9" ht="33" customHeight="1" x14ac:dyDescent="0.25"/>
  </sheetData>
  <mergeCells count="4">
    <mergeCell ref="B1:H1"/>
    <mergeCell ref="B5:C5"/>
    <mergeCell ref="A6:G6"/>
    <mergeCell ref="A7:H7"/>
  </mergeCells>
  <phoneticPr fontId="26" type="noConversion"/>
  <pageMargins left="0.75" right="0.75" top="1" bottom="1" header="0.5" footer="0.5"/>
  <pageSetup paperSize="9" scale="8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topLeftCell="A4" workbookViewId="0">
      <selection activeCell="L3" sqref="L3"/>
    </sheetView>
  </sheetViews>
  <sheetFormatPr defaultColWidth="9" defaultRowHeight="14.4" x14ac:dyDescent="0.25"/>
  <cols>
    <col min="2" max="2" width="19.77734375" customWidth="1"/>
    <col min="3" max="3" width="21.109375" customWidth="1"/>
    <col min="4" max="4" width="27" customWidth="1"/>
    <col min="7" max="7" width="14.6640625" customWidth="1"/>
    <col min="8" max="8" width="16" customWidth="1"/>
    <col min="9" max="10" width="12.6640625"/>
  </cols>
  <sheetData>
    <row r="1" spans="1:8" ht="57" customHeight="1" x14ac:dyDescent="0.25">
      <c r="B1" s="222" t="s">
        <v>277</v>
      </c>
      <c r="C1" s="222"/>
      <c r="D1" s="222"/>
      <c r="E1" s="222"/>
      <c r="F1" s="222"/>
      <c r="G1" s="222"/>
      <c r="H1" s="222"/>
    </row>
    <row r="2" spans="1:8" ht="48" customHeight="1" x14ac:dyDescent="0.25">
      <c r="A2" s="30" t="s">
        <v>0</v>
      </c>
      <c r="B2" s="30" t="s">
        <v>278</v>
      </c>
      <c r="C2" s="30" t="s">
        <v>2</v>
      </c>
      <c r="D2" s="30" t="s">
        <v>269</v>
      </c>
      <c r="E2" s="31" t="s">
        <v>279</v>
      </c>
      <c r="F2" s="32" t="s">
        <v>280</v>
      </c>
      <c r="G2" s="30" t="s">
        <v>185</v>
      </c>
      <c r="H2" s="30" t="s">
        <v>281</v>
      </c>
    </row>
    <row r="3" spans="1:8" ht="79.05" customHeight="1" x14ac:dyDescent="0.25">
      <c r="A3" s="33">
        <v>1</v>
      </c>
      <c r="B3" s="34" t="s">
        <v>290</v>
      </c>
      <c r="C3" s="35" t="s">
        <v>291</v>
      </c>
      <c r="D3" s="36"/>
      <c r="E3" s="36">
        <v>5</v>
      </c>
      <c r="F3" s="36">
        <v>0.372</v>
      </c>
      <c r="G3" s="36" t="s">
        <v>27</v>
      </c>
      <c r="H3" s="37">
        <v>2.96</v>
      </c>
    </row>
    <row r="4" spans="1:8" ht="79.05" customHeight="1" x14ac:dyDescent="0.25">
      <c r="A4" s="33">
        <v>2</v>
      </c>
      <c r="B4" s="34" t="s">
        <v>26</v>
      </c>
      <c r="C4" s="35" t="s">
        <v>285</v>
      </c>
      <c r="D4" s="36"/>
      <c r="E4" s="36">
        <v>1</v>
      </c>
      <c r="F4" s="36">
        <v>0.188</v>
      </c>
      <c r="G4" s="36" t="s">
        <v>286</v>
      </c>
      <c r="H4" s="37">
        <v>1.65</v>
      </c>
    </row>
    <row r="5" spans="1:8" ht="79.05" customHeight="1" x14ac:dyDescent="0.25">
      <c r="A5" s="33">
        <v>3</v>
      </c>
      <c r="B5" s="223" t="s">
        <v>195</v>
      </c>
      <c r="C5" s="224"/>
      <c r="D5" s="36"/>
      <c r="E5" s="36">
        <v>1</v>
      </c>
      <c r="F5" s="36" t="s">
        <v>287</v>
      </c>
      <c r="G5" s="36" t="s">
        <v>287</v>
      </c>
      <c r="H5" s="37">
        <v>1.17</v>
      </c>
    </row>
    <row r="6" spans="1:8" ht="33" customHeight="1" x14ac:dyDescent="0.25">
      <c r="A6" s="225" t="s">
        <v>288</v>
      </c>
      <c r="B6" s="225"/>
      <c r="C6" s="225"/>
      <c r="D6" s="225"/>
      <c r="E6" s="225"/>
      <c r="F6" s="225"/>
      <c r="G6" s="225"/>
      <c r="H6" s="38">
        <f>SUM(H3:H5)</f>
        <v>5.78</v>
      </c>
    </row>
    <row r="7" spans="1:8" ht="42" customHeight="1" x14ac:dyDescent="0.25">
      <c r="A7" s="226" t="s">
        <v>292</v>
      </c>
      <c r="B7" s="227"/>
      <c r="C7" s="227"/>
      <c r="D7" s="227"/>
      <c r="E7" s="227"/>
      <c r="F7" s="227"/>
      <c r="G7" s="227"/>
      <c r="H7" s="227"/>
    </row>
    <row r="8" spans="1:8" ht="33" customHeight="1" x14ac:dyDescent="0.25">
      <c r="C8" t="s">
        <v>293</v>
      </c>
    </row>
  </sheetData>
  <mergeCells count="4">
    <mergeCell ref="B1:H1"/>
    <mergeCell ref="B5:C5"/>
    <mergeCell ref="A6:G6"/>
    <mergeCell ref="A7:H7"/>
  </mergeCells>
  <phoneticPr fontId="26" type="noConversion"/>
  <pageMargins left="0.75" right="0.75" top="1" bottom="1" header="0.5" footer="0.5"/>
  <pageSetup paperSize="9" scale="82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topLeftCell="A10" workbookViewId="0">
      <selection activeCell="P17" sqref="P17"/>
    </sheetView>
  </sheetViews>
  <sheetFormatPr defaultColWidth="9" defaultRowHeight="14.4" x14ac:dyDescent="0.25"/>
  <cols>
    <col min="3" max="3" width="10.33203125"/>
    <col min="5" max="5" width="11.44140625" customWidth="1"/>
    <col min="8" max="8" width="9.33203125"/>
    <col min="12" max="12" width="9.33203125"/>
  </cols>
  <sheetData>
    <row r="1" spans="1:15" x14ac:dyDescent="0.25">
      <c r="A1" s="255" t="s">
        <v>294</v>
      </c>
      <c r="B1" s="256"/>
      <c r="C1" s="256"/>
      <c r="D1" s="256"/>
      <c r="E1" s="256"/>
      <c r="F1" s="256"/>
      <c r="G1" s="256"/>
      <c r="H1" s="257"/>
      <c r="I1" s="228" t="s">
        <v>295</v>
      </c>
      <c r="J1" s="229"/>
      <c r="K1" s="229"/>
      <c r="L1" s="229"/>
      <c r="M1" s="229"/>
      <c r="N1" s="229"/>
      <c r="O1" s="230"/>
    </row>
    <row r="2" spans="1:15" x14ac:dyDescent="0.25">
      <c r="A2" s="258"/>
      <c r="B2" s="259"/>
      <c r="C2" s="259"/>
      <c r="D2" s="259"/>
      <c r="E2" s="259"/>
      <c r="F2" s="259"/>
      <c r="G2" s="259"/>
      <c r="H2" s="260"/>
      <c r="I2" s="20" t="s">
        <v>296</v>
      </c>
      <c r="J2" s="231" t="s">
        <v>297</v>
      </c>
      <c r="K2" s="232"/>
      <c r="L2" s="232"/>
      <c r="M2" s="232"/>
      <c r="N2" s="232"/>
      <c r="O2" s="233"/>
    </row>
    <row r="3" spans="1:15" x14ac:dyDescent="0.25">
      <c r="A3" s="258"/>
      <c r="B3" s="259"/>
      <c r="C3" s="259"/>
      <c r="D3" s="259"/>
      <c r="E3" s="259"/>
      <c r="F3" s="259"/>
      <c r="G3" s="259"/>
      <c r="H3" s="260"/>
      <c r="I3" s="20" t="s">
        <v>298</v>
      </c>
      <c r="J3" s="231" t="s">
        <v>299</v>
      </c>
      <c r="K3" s="232"/>
      <c r="L3" s="232"/>
      <c r="M3" s="232"/>
      <c r="N3" s="232"/>
      <c r="O3" s="233"/>
    </row>
    <row r="4" spans="1:15" x14ac:dyDescent="0.25">
      <c r="A4" s="261"/>
      <c r="B4" s="262"/>
      <c r="C4" s="262"/>
      <c r="D4" s="262"/>
      <c r="E4" s="262"/>
      <c r="F4" s="262"/>
      <c r="G4" s="262"/>
      <c r="H4" s="263"/>
      <c r="I4" s="20" t="s">
        <v>300</v>
      </c>
      <c r="J4" s="234" t="s">
        <v>301</v>
      </c>
      <c r="K4" s="234"/>
      <c r="L4" s="20" t="s">
        <v>302</v>
      </c>
      <c r="M4" s="235">
        <v>13313276238</v>
      </c>
      <c r="N4" s="236"/>
      <c r="O4" s="237"/>
    </row>
    <row r="5" spans="1:15" x14ac:dyDescent="0.25">
      <c r="A5" s="1"/>
      <c r="B5" s="1"/>
      <c r="C5" s="238"/>
      <c r="D5" s="242"/>
      <c r="E5" s="239"/>
      <c r="F5" s="238"/>
      <c r="G5" s="239"/>
      <c r="H5" s="238"/>
      <c r="I5" s="239"/>
      <c r="J5" s="21"/>
      <c r="K5" s="3" t="s">
        <v>303</v>
      </c>
      <c r="L5" s="243">
        <v>45470</v>
      </c>
      <c r="M5" s="239"/>
      <c r="N5" s="4" t="s">
        <v>304</v>
      </c>
      <c r="O5" s="1" t="s">
        <v>305</v>
      </c>
    </row>
    <row r="6" spans="1:15" x14ac:dyDescent="0.25">
      <c r="A6" s="1"/>
      <c r="B6" s="4"/>
      <c r="C6" s="238"/>
      <c r="D6" s="242"/>
      <c r="E6" s="239"/>
      <c r="F6" s="238"/>
      <c r="G6" s="239"/>
      <c r="H6" s="238"/>
      <c r="I6" s="239"/>
      <c r="J6" s="21"/>
      <c r="K6" s="3" t="s">
        <v>306</v>
      </c>
      <c r="L6" s="244" t="s">
        <v>307</v>
      </c>
      <c r="M6" s="245"/>
      <c r="N6" s="4" t="s">
        <v>308</v>
      </c>
      <c r="O6" s="1" t="s">
        <v>309</v>
      </c>
    </row>
    <row r="7" spans="1:15" ht="31.05" customHeight="1" x14ac:dyDescent="0.25">
      <c r="A7" s="1"/>
      <c r="B7" s="4"/>
      <c r="C7" s="238"/>
      <c r="D7" s="242"/>
      <c r="E7" s="239"/>
      <c r="F7" s="238"/>
      <c r="G7" s="239"/>
      <c r="H7" s="238"/>
      <c r="I7" s="239"/>
      <c r="J7" s="21"/>
      <c r="K7" s="4" t="s">
        <v>310</v>
      </c>
      <c r="L7" s="264" t="s">
        <v>311</v>
      </c>
      <c r="M7" s="265"/>
      <c r="N7" s="4" t="s">
        <v>312</v>
      </c>
      <c r="O7" s="22" t="s">
        <v>313</v>
      </c>
    </row>
    <row r="8" spans="1:15" x14ac:dyDescent="0.25">
      <c r="A8" s="4" t="s">
        <v>0</v>
      </c>
      <c r="B8" s="4" t="s">
        <v>314</v>
      </c>
      <c r="C8" s="247" t="s">
        <v>315</v>
      </c>
      <c r="D8" s="247"/>
      <c r="E8" s="247"/>
      <c r="F8" s="238" t="s">
        <v>316</v>
      </c>
      <c r="G8" s="239"/>
      <c r="H8" s="240" t="s">
        <v>317</v>
      </c>
      <c r="I8" s="241"/>
      <c r="J8" s="21"/>
      <c r="K8" s="7" t="s">
        <v>318</v>
      </c>
      <c r="L8" s="238"/>
      <c r="M8" s="239"/>
      <c r="N8" s="4" t="s">
        <v>319</v>
      </c>
      <c r="O8" s="22"/>
    </row>
    <row r="9" spans="1:15" x14ac:dyDescent="0.25">
      <c r="A9" s="2"/>
      <c r="B9" s="2"/>
      <c r="C9" s="2"/>
      <c r="D9" s="2"/>
      <c r="E9" s="2"/>
      <c r="F9" s="6"/>
      <c r="G9" s="6"/>
      <c r="H9" s="6"/>
      <c r="I9" s="2"/>
      <c r="J9" s="23"/>
      <c r="K9" s="2"/>
      <c r="L9" s="2"/>
      <c r="M9" s="2"/>
      <c r="N9" s="2"/>
      <c r="O9" s="24"/>
    </row>
    <row r="10" spans="1:15" x14ac:dyDescent="0.25">
      <c r="A10" s="246" t="s">
        <v>0</v>
      </c>
      <c r="B10" s="248" t="s">
        <v>320</v>
      </c>
      <c r="C10" s="249" t="s">
        <v>321</v>
      </c>
      <c r="D10" s="249" t="s">
        <v>0</v>
      </c>
      <c r="E10" s="238" t="s">
        <v>322</v>
      </c>
      <c r="F10" s="242"/>
      <c r="G10" s="242"/>
      <c r="H10" s="242"/>
      <c r="I10" s="239"/>
      <c r="J10" s="249" t="s">
        <v>0</v>
      </c>
      <c r="K10" s="238" t="s">
        <v>323</v>
      </c>
      <c r="L10" s="242"/>
      <c r="M10" s="242"/>
      <c r="N10" s="242"/>
      <c r="O10" s="239"/>
    </row>
    <row r="11" spans="1:15" x14ac:dyDescent="0.25">
      <c r="A11" s="247"/>
      <c r="B11" s="241"/>
      <c r="C11" s="241"/>
      <c r="D11" s="241"/>
      <c r="E11" s="4" t="s">
        <v>324</v>
      </c>
      <c r="F11" s="4" t="s">
        <v>325</v>
      </c>
      <c r="G11" s="4" t="s">
        <v>179</v>
      </c>
      <c r="H11" s="4" t="s">
        <v>326</v>
      </c>
      <c r="I11" s="4" t="s">
        <v>321</v>
      </c>
      <c r="J11" s="247"/>
      <c r="K11" s="4" t="s">
        <v>327</v>
      </c>
      <c r="L11" s="4" t="s">
        <v>328</v>
      </c>
      <c r="M11" s="4" t="s">
        <v>325</v>
      </c>
      <c r="N11" s="4" t="s">
        <v>329</v>
      </c>
      <c r="O11" s="4" t="s">
        <v>321</v>
      </c>
    </row>
    <row r="12" spans="1:15" x14ac:dyDescent="0.25">
      <c r="A12" s="4">
        <v>1</v>
      </c>
      <c r="B12" s="4" t="s">
        <v>330</v>
      </c>
      <c r="C12" s="8">
        <f>I12</f>
        <v>0.36449999999999999</v>
      </c>
      <c r="D12" s="4">
        <v>1</v>
      </c>
      <c r="E12" s="9" t="s">
        <v>331</v>
      </c>
      <c r="F12" s="4" t="s">
        <v>332</v>
      </c>
      <c r="G12" s="1">
        <v>7.0000000000000007E-2</v>
      </c>
      <c r="H12" s="10">
        <v>6</v>
      </c>
      <c r="I12" s="10">
        <f>G12*H12-0.037*1.5</f>
        <v>0.36449999999999999</v>
      </c>
      <c r="J12" s="4">
        <v>1</v>
      </c>
      <c r="K12" s="4" t="s">
        <v>333</v>
      </c>
      <c r="L12" s="25">
        <v>1</v>
      </c>
      <c r="M12" s="4" t="s">
        <v>334</v>
      </c>
      <c r="N12" s="4">
        <f>H27</f>
        <v>4.0000000000000001E-3</v>
      </c>
      <c r="O12" s="26">
        <f>12*L12/(1/H27)</f>
        <v>4.8000000000000001E-2</v>
      </c>
    </row>
    <row r="13" spans="1:15" x14ac:dyDescent="0.25">
      <c r="A13" s="4">
        <v>2</v>
      </c>
      <c r="B13" s="4" t="s">
        <v>335</v>
      </c>
      <c r="C13" s="8">
        <f>I22</f>
        <v>0.23</v>
      </c>
      <c r="D13" s="4">
        <v>2</v>
      </c>
      <c r="E13" s="4"/>
      <c r="F13" s="4"/>
      <c r="G13" s="1"/>
      <c r="H13" s="10"/>
      <c r="I13" s="10"/>
      <c r="J13" s="4">
        <v>2</v>
      </c>
      <c r="K13" s="4" t="s">
        <v>336</v>
      </c>
      <c r="L13" s="25"/>
      <c r="M13" s="4"/>
      <c r="N13" s="4"/>
      <c r="O13" s="25"/>
    </row>
    <row r="14" spans="1:15" x14ac:dyDescent="0.25">
      <c r="A14" s="4">
        <v>3</v>
      </c>
      <c r="B14" s="4" t="s">
        <v>337</v>
      </c>
      <c r="C14" s="8">
        <f>O22</f>
        <v>4.8000000000000001E-2</v>
      </c>
      <c r="D14" s="4">
        <v>3</v>
      </c>
      <c r="E14" s="1"/>
      <c r="F14" s="1"/>
      <c r="G14" s="1"/>
      <c r="H14" s="11"/>
      <c r="I14" s="11"/>
      <c r="J14" s="4">
        <v>3</v>
      </c>
      <c r="K14" s="4" t="s">
        <v>338</v>
      </c>
      <c r="L14" s="25"/>
      <c r="M14" s="4"/>
      <c r="N14" s="4"/>
      <c r="O14" s="25"/>
    </row>
    <row r="15" spans="1:15" x14ac:dyDescent="0.25">
      <c r="A15" s="4">
        <v>4</v>
      </c>
      <c r="B15" s="4" t="s">
        <v>339</v>
      </c>
      <c r="C15" s="8">
        <f>I26</f>
        <v>0.3</v>
      </c>
      <c r="D15" s="4">
        <v>4</v>
      </c>
      <c r="E15" s="1"/>
      <c r="F15" s="1"/>
      <c r="G15" s="1"/>
      <c r="H15" s="11"/>
      <c r="I15" s="11"/>
      <c r="J15" s="4">
        <v>4</v>
      </c>
      <c r="K15" s="4" t="s">
        <v>340</v>
      </c>
      <c r="L15" s="25"/>
      <c r="M15" s="4"/>
      <c r="N15" s="4"/>
      <c r="O15" s="25"/>
    </row>
    <row r="16" spans="1:15" x14ac:dyDescent="0.25">
      <c r="A16" s="4">
        <v>5</v>
      </c>
      <c r="B16" s="4" t="s">
        <v>341</v>
      </c>
      <c r="C16" s="8">
        <f>I36</f>
        <v>0.12</v>
      </c>
      <c r="D16" s="4">
        <v>5</v>
      </c>
      <c r="E16" s="1"/>
      <c r="F16" s="1"/>
      <c r="G16" s="1"/>
      <c r="H16" s="11"/>
      <c r="I16" s="11"/>
      <c r="J16" s="4">
        <v>5</v>
      </c>
      <c r="K16" s="4" t="s">
        <v>342</v>
      </c>
      <c r="L16" s="25">
        <f>0</f>
        <v>0</v>
      </c>
      <c r="M16" s="4"/>
      <c r="N16" s="4"/>
      <c r="O16" s="25"/>
    </row>
    <row r="17" spans="1:15" x14ac:dyDescent="0.25">
      <c r="A17" s="4">
        <v>6</v>
      </c>
      <c r="B17" s="4" t="s">
        <v>343</v>
      </c>
      <c r="C17" s="8">
        <f>N36</f>
        <v>0</v>
      </c>
      <c r="D17" s="1"/>
      <c r="E17" s="238" t="s">
        <v>344</v>
      </c>
      <c r="F17" s="242"/>
      <c r="G17" s="242"/>
      <c r="H17" s="242"/>
      <c r="I17" s="239"/>
      <c r="J17" s="4">
        <v>6</v>
      </c>
      <c r="K17" s="4"/>
      <c r="L17" s="11"/>
      <c r="M17" s="1"/>
      <c r="N17" s="1"/>
      <c r="O17" s="11"/>
    </row>
    <row r="18" spans="1:15" x14ac:dyDescent="0.25">
      <c r="A18" s="4">
        <v>7</v>
      </c>
      <c r="B18" s="4"/>
      <c r="C18" s="12"/>
      <c r="D18" s="1"/>
      <c r="E18" s="4" t="s">
        <v>324</v>
      </c>
      <c r="F18" s="4" t="s">
        <v>325</v>
      </c>
      <c r="G18" s="4" t="s">
        <v>179</v>
      </c>
      <c r="H18" s="4" t="s">
        <v>326</v>
      </c>
      <c r="I18" s="4" t="s">
        <v>321</v>
      </c>
      <c r="J18" s="4">
        <v>7</v>
      </c>
      <c r="K18" s="4"/>
      <c r="L18" s="11"/>
      <c r="M18" s="1"/>
      <c r="N18" s="1"/>
      <c r="O18" s="11"/>
    </row>
    <row r="19" spans="1:15" x14ac:dyDescent="0.25">
      <c r="A19" s="4">
        <v>8</v>
      </c>
      <c r="B19" s="4" t="s">
        <v>345</v>
      </c>
      <c r="C19" s="8">
        <f>C12+C13+C14+C15+C16+C17</f>
        <v>1.0625</v>
      </c>
      <c r="D19" s="4">
        <v>1</v>
      </c>
      <c r="E19" s="4" t="s">
        <v>346</v>
      </c>
      <c r="F19" s="4"/>
      <c r="G19" s="1"/>
      <c r="H19" s="11"/>
      <c r="I19" s="10">
        <v>0.12</v>
      </c>
      <c r="J19" s="4">
        <v>8</v>
      </c>
      <c r="K19" s="4"/>
      <c r="L19" s="11"/>
      <c r="M19" s="1"/>
      <c r="N19" s="1"/>
      <c r="O19" s="11"/>
    </row>
    <row r="20" spans="1:15" x14ac:dyDescent="0.25">
      <c r="A20" s="4">
        <v>9</v>
      </c>
      <c r="B20" s="4" t="s">
        <v>347</v>
      </c>
      <c r="C20" s="12">
        <v>0.02</v>
      </c>
      <c r="D20" s="4">
        <v>2</v>
      </c>
      <c r="E20" s="9" t="s">
        <v>348</v>
      </c>
      <c r="F20" s="1"/>
      <c r="G20" s="1"/>
      <c r="H20" s="11"/>
      <c r="I20" s="11">
        <v>0.11</v>
      </c>
      <c r="J20" s="4">
        <v>9</v>
      </c>
      <c r="K20" s="4"/>
      <c r="L20" s="11"/>
      <c r="M20" s="1"/>
      <c r="N20" s="1"/>
      <c r="O20" s="11"/>
    </row>
    <row r="21" spans="1:15" x14ac:dyDescent="0.25">
      <c r="A21" s="4">
        <v>10</v>
      </c>
      <c r="B21" s="4" t="s">
        <v>349</v>
      </c>
      <c r="C21" s="12">
        <v>0.02</v>
      </c>
      <c r="D21" s="4">
        <v>3</v>
      </c>
      <c r="E21" s="1"/>
      <c r="F21" s="1"/>
      <c r="G21" s="1"/>
      <c r="H21" s="11"/>
      <c r="I21" s="11"/>
      <c r="J21" s="4">
        <v>10</v>
      </c>
      <c r="K21" s="4"/>
      <c r="L21" s="11"/>
      <c r="M21" s="1"/>
      <c r="N21" s="1"/>
      <c r="O21" s="11"/>
    </row>
    <row r="22" spans="1:15" x14ac:dyDescent="0.25">
      <c r="A22" s="4">
        <v>11</v>
      </c>
      <c r="B22" s="4" t="s">
        <v>350</v>
      </c>
      <c r="C22" s="12">
        <f>C19*3%</f>
        <v>3.1875000000000001E-2</v>
      </c>
      <c r="D22" s="1"/>
      <c r="E22" s="4" t="s">
        <v>351</v>
      </c>
      <c r="F22" s="1"/>
      <c r="G22" s="1"/>
      <c r="H22" s="11"/>
      <c r="I22" s="27">
        <f>I19+I20+I21</f>
        <v>0.23</v>
      </c>
      <c r="J22" s="1"/>
      <c r="K22" s="4" t="s">
        <v>246</v>
      </c>
      <c r="L22" s="11"/>
      <c r="M22" s="1"/>
      <c r="N22" s="1"/>
      <c r="O22" s="27">
        <f>O12</f>
        <v>4.8000000000000001E-2</v>
      </c>
    </row>
    <row r="23" spans="1:15" x14ac:dyDescent="0.25">
      <c r="A23" s="4">
        <v>12</v>
      </c>
      <c r="B23" s="7" t="s">
        <v>352</v>
      </c>
      <c r="C23" s="12">
        <f>C19*3%</f>
        <v>3.1875000000000001E-2</v>
      </c>
      <c r="D23" s="246" t="s">
        <v>0</v>
      </c>
      <c r="E23" s="254" t="s">
        <v>353</v>
      </c>
      <c r="F23" s="240"/>
      <c r="G23" s="240"/>
      <c r="H23" s="240"/>
      <c r="I23" s="241"/>
      <c r="J23" s="246" t="s">
        <v>0</v>
      </c>
      <c r="K23" s="238" t="s">
        <v>354</v>
      </c>
      <c r="L23" s="242"/>
      <c r="M23" s="242"/>
      <c r="N23" s="242"/>
      <c r="O23" s="239"/>
    </row>
    <row r="24" spans="1:15" x14ac:dyDescent="0.25">
      <c r="A24" s="4">
        <v>13</v>
      </c>
      <c r="B24" s="13"/>
      <c r="C24" s="12"/>
      <c r="D24" s="250"/>
      <c r="E24" s="246" t="s">
        <v>355</v>
      </c>
      <c r="F24" s="14" t="s">
        <v>356</v>
      </c>
      <c r="G24" s="246" t="s">
        <v>357</v>
      </c>
      <c r="H24" s="246" t="s">
        <v>358</v>
      </c>
      <c r="I24" s="246" t="s">
        <v>321</v>
      </c>
      <c r="J24" s="250"/>
      <c r="K24" s="246" t="s">
        <v>359</v>
      </c>
      <c r="L24" s="246" t="s">
        <v>326</v>
      </c>
      <c r="M24" s="246" t="s">
        <v>360</v>
      </c>
      <c r="N24" s="246" t="s">
        <v>321</v>
      </c>
      <c r="O24" s="246" t="s">
        <v>10</v>
      </c>
    </row>
    <row r="25" spans="1:15" x14ac:dyDescent="0.25">
      <c r="A25" s="4">
        <v>14</v>
      </c>
      <c r="B25" s="13"/>
      <c r="C25" s="12"/>
      <c r="D25" s="247"/>
      <c r="E25" s="247"/>
      <c r="F25" s="15" t="s">
        <v>361</v>
      </c>
      <c r="G25" s="247"/>
      <c r="H25" s="247"/>
      <c r="I25" s="247"/>
      <c r="J25" s="247"/>
      <c r="K25" s="247"/>
      <c r="L25" s="247"/>
      <c r="M25" s="247"/>
      <c r="N25" s="247"/>
      <c r="O25" s="247"/>
    </row>
    <row r="26" spans="1:15" x14ac:dyDescent="0.25">
      <c r="A26" s="4">
        <v>15</v>
      </c>
      <c r="B26" s="4" t="s">
        <v>362</v>
      </c>
      <c r="C26" s="8">
        <f>C19+C20+C21+C22+C23</f>
        <v>1.16625</v>
      </c>
      <c r="D26" s="4">
        <v>1</v>
      </c>
      <c r="E26" s="4" t="s">
        <v>363</v>
      </c>
      <c r="F26" s="1"/>
      <c r="G26" s="1"/>
      <c r="H26" s="1"/>
      <c r="I26" s="28">
        <f>I27+I28+I29+I30+I31+I32</f>
        <v>0.3</v>
      </c>
      <c r="J26" s="4">
        <v>1</v>
      </c>
      <c r="K26" s="4"/>
      <c r="L26" s="11"/>
      <c r="M26" s="1">
        <v>100000</v>
      </c>
      <c r="N26" s="29">
        <f>L26/M26</f>
        <v>0</v>
      </c>
      <c r="O26" s="1"/>
    </row>
    <row r="27" spans="1:15" x14ac:dyDescent="0.25">
      <c r="A27" s="4">
        <v>16</v>
      </c>
      <c r="B27" s="4" t="s">
        <v>364</v>
      </c>
      <c r="C27" s="12">
        <f>C26*5%</f>
        <v>5.8312500000000003E-2</v>
      </c>
      <c r="D27" s="251" t="s">
        <v>365</v>
      </c>
      <c r="E27" s="13" t="s">
        <v>366</v>
      </c>
      <c r="F27" s="1">
        <v>25</v>
      </c>
      <c r="G27" s="1"/>
      <c r="H27" s="1">
        <v>4.0000000000000001E-3</v>
      </c>
      <c r="I27" s="11">
        <f t="shared" ref="I27:I29" si="0">F27*H27</f>
        <v>0.1</v>
      </c>
      <c r="J27" s="4">
        <v>2</v>
      </c>
      <c r="K27" s="4"/>
      <c r="L27" s="4"/>
      <c r="M27" s="1"/>
      <c r="N27" s="29"/>
      <c r="O27" s="1"/>
    </row>
    <row r="28" spans="1:15" x14ac:dyDescent="0.25">
      <c r="A28" s="4">
        <v>17</v>
      </c>
      <c r="B28" s="4" t="s">
        <v>367</v>
      </c>
      <c r="C28" s="8">
        <f>C26+C27</f>
        <v>1.2245625</v>
      </c>
      <c r="D28" s="252"/>
      <c r="E28" s="13" t="s">
        <v>368</v>
      </c>
      <c r="F28" s="1">
        <v>25</v>
      </c>
      <c r="G28" s="1"/>
      <c r="H28" s="1">
        <v>6.0000000000000001E-3</v>
      </c>
      <c r="I28" s="11">
        <f t="shared" si="0"/>
        <v>0.15</v>
      </c>
      <c r="J28" s="4">
        <v>3</v>
      </c>
      <c r="K28" s="4"/>
      <c r="L28" s="11"/>
      <c r="M28" s="1"/>
      <c r="N28" s="29"/>
      <c r="O28" s="1"/>
    </row>
    <row r="29" spans="1:15" x14ac:dyDescent="0.25">
      <c r="A29" s="4">
        <v>18</v>
      </c>
      <c r="B29" s="4" t="s">
        <v>369</v>
      </c>
      <c r="C29" s="12">
        <f>C28*0.13</f>
        <v>0.15919312499999999</v>
      </c>
      <c r="D29" s="252"/>
      <c r="E29" s="13" t="s">
        <v>198</v>
      </c>
      <c r="F29" s="1">
        <v>25</v>
      </c>
      <c r="G29" s="1"/>
      <c r="H29" s="1">
        <v>2E-3</v>
      </c>
      <c r="I29" s="11">
        <f t="shared" si="0"/>
        <v>0.05</v>
      </c>
      <c r="J29" s="4">
        <v>4</v>
      </c>
      <c r="K29" s="4"/>
      <c r="L29" s="11"/>
      <c r="M29" s="1"/>
      <c r="N29" s="11"/>
      <c r="O29" s="1"/>
    </row>
    <row r="30" spans="1:15" ht="18" customHeight="1" x14ac:dyDescent="0.25">
      <c r="A30" s="4"/>
      <c r="B30" s="4"/>
      <c r="C30" s="12"/>
      <c r="D30" s="252"/>
      <c r="E30" s="13"/>
      <c r="F30" s="1"/>
      <c r="G30" s="1"/>
      <c r="H30" s="1"/>
      <c r="I30" s="11"/>
      <c r="J30" s="4"/>
      <c r="K30" s="4"/>
      <c r="L30" s="11"/>
      <c r="M30" s="1"/>
      <c r="N30" s="11"/>
      <c r="O30" s="1"/>
    </row>
    <row r="31" spans="1:15" x14ac:dyDescent="0.25">
      <c r="A31" s="4">
        <v>19</v>
      </c>
      <c r="B31" s="4" t="s">
        <v>319</v>
      </c>
      <c r="C31" s="8">
        <f>C28+C29</f>
        <v>1.383755625</v>
      </c>
      <c r="D31" s="253"/>
      <c r="E31" s="9"/>
      <c r="F31" s="238"/>
      <c r="G31" s="242"/>
      <c r="H31" s="239"/>
      <c r="I31" s="11"/>
      <c r="J31" s="1"/>
      <c r="K31" s="4"/>
      <c r="L31" s="11"/>
      <c r="M31" s="1"/>
      <c r="N31" s="11"/>
      <c r="O31" s="1"/>
    </row>
    <row r="32" spans="1:15" x14ac:dyDescent="0.25">
      <c r="A32" s="16"/>
      <c r="B32" s="13"/>
      <c r="C32" s="11"/>
      <c r="D32" s="5"/>
      <c r="E32" s="4"/>
      <c r="F32" s="1"/>
      <c r="G32" s="1"/>
      <c r="H32" s="1"/>
      <c r="I32" s="11"/>
      <c r="J32" s="1"/>
      <c r="K32" s="4"/>
      <c r="L32" s="11"/>
      <c r="M32" s="1"/>
      <c r="N32" s="11"/>
      <c r="O32" s="1"/>
    </row>
    <row r="33" spans="1:15" x14ac:dyDescent="0.25">
      <c r="A33" s="16"/>
      <c r="B33" s="13"/>
      <c r="C33" s="11"/>
      <c r="D33" s="4">
        <v>2</v>
      </c>
      <c r="E33" s="4" t="s">
        <v>341</v>
      </c>
      <c r="F33" s="1">
        <v>10</v>
      </c>
      <c r="G33" s="1"/>
      <c r="H33" s="1">
        <f>H27+H28+H29+H30</f>
        <v>1.2E-2</v>
      </c>
      <c r="I33" s="11">
        <f>F33*H33</f>
        <v>0.12</v>
      </c>
      <c r="J33" s="1"/>
      <c r="K33" s="4"/>
      <c r="L33" s="11"/>
      <c r="M33" s="1"/>
      <c r="N33" s="11"/>
      <c r="O33" s="1"/>
    </row>
    <row r="34" spans="1:15" x14ac:dyDescent="0.25">
      <c r="A34" s="16"/>
      <c r="B34" s="13"/>
      <c r="C34" s="11"/>
      <c r="D34" s="4">
        <v>3</v>
      </c>
      <c r="E34" s="1"/>
      <c r="F34" s="1"/>
      <c r="G34" s="1"/>
      <c r="H34" s="1"/>
      <c r="I34" s="11"/>
      <c r="J34" s="1"/>
      <c r="K34" s="4"/>
      <c r="L34" s="11"/>
      <c r="M34" s="1"/>
      <c r="N34" s="11"/>
      <c r="O34" s="1"/>
    </row>
    <row r="35" spans="1:15" x14ac:dyDescent="0.25">
      <c r="A35" s="16"/>
      <c r="B35" s="13"/>
      <c r="C35" s="11"/>
      <c r="D35" s="4"/>
      <c r="E35" s="1"/>
      <c r="F35" s="1"/>
      <c r="G35" s="1"/>
      <c r="H35" s="1"/>
      <c r="I35" s="11"/>
      <c r="J35" s="1"/>
      <c r="K35" s="4"/>
      <c r="L35" s="11"/>
      <c r="M35" s="1"/>
      <c r="N35" s="11"/>
      <c r="O35" s="1"/>
    </row>
    <row r="36" spans="1:15" x14ac:dyDescent="0.25">
      <c r="A36" s="1"/>
      <c r="B36" s="4"/>
      <c r="C36" s="1"/>
      <c r="D36" s="1"/>
      <c r="E36" s="4" t="s">
        <v>351</v>
      </c>
      <c r="F36" s="1"/>
      <c r="G36" s="1"/>
      <c r="H36" s="1"/>
      <c r="I36" s="27">
        <f>I33</f>
        <v>0.12</v>
      </c>
      <c r="J36" s="1"/>
      <c r="K36" s="4" t="s">
        <v>351</v>
      </c>
      <c r="L36" s="11"/>
      <c r="M36" s="1"/>
      <c r="N36" s="27">
        <f>N26+N27+N28</f>
        <v>0</v>
      </c>
      <c r="O36" s="1"/>
    </row>
    <row r="37" spans="1:15" x14ac:dyDescent="0.25">
      <c r="A37" s="17" t="s">
        <v>370</v>
      </c>
      <c r="B37" s="18"/>
      <c r="C37" s="17"/>
      <c r="D37" s="17"/>
      <c r="E37" s="17"/>
      <c r="F37" s="17"/>
      <c r="G37" s="17"/>
      <c r="H37" s="17"/>
      <c r="I37" s="17"/>
      <c r="J37" s="17"/>
      <c r="K37" s="18"/>
      <c r="L37" s="17"/>
      <c r="M37" s="17"/>
      <c r="N37" s="17"/>
      <c r="O37" s="17"/>
    </row>
    <row r="38" spans="1:15" x14ac:dyDescent="0.25">
      <c r="A38" s="17" t="s">
        <v>371</v>
      </c>
      <c r="B38" s="18"/>
      <c r="C38" s="17"/>
      <c r="D38" s="17"/>
      <c r="E38" s="17"/>
      <c r="F38" s="17"/>
      <c r="G38" s="17"/>
      <c r="H38" s="19"/>
      <c r="I38" s="17"/>
      <c r="J38" s="17"/>
      <c r="K38" s="18"/>
      <c r="L38" s="17"/>
      <c r="M38" s="17"/>
      <c r="N38" s="17"/>
      <c r="O38" s="17"/>
    </row>
    <row r="39" spans="1:15" x14ac:dyDescent="0.25">
      <c r="A39" s="17" t="s">
        <v>372</v>
      </c>
      <c r="B39" s="18"/>
      <c r="C39" s="17"/>
      <c r="D39" s="17"/>
      <c r="E39" s="17"/>
      <c r="F39" s="17"/>
      <c r="G39" s="17"/>
      <c r="H39" s="17"/>
      <c r="I39" s="17"/>
      <c r="J39" s="17"/>
      <c r="K39" s="18"/>
      <c r="L39" s="17"/>
      <c r="M39" s="17"/>
      <c r="N39" s="17"/>
      <c r="O39" s="17"/>
    </row>
  </sheetData>
  <mergeCells count="45"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K10:O10"/>
    <mergeCell ref="K23:O23"/>
    <mergeCell ref="C7:E7"/>
    <mergeCell ref="F7:G7"/>
    <mergeCell ref="H7:I7"/>
    <mergeCell ref="L7:M7"/>
    <mergeCell ref="C8:E8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0:I10"/>
    <mergeCell ref="E17:I17"/>
    <mergeCell ref="E23:I23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I1:O1"/>
    <mergeCell ref="J2:O2"/>
    <mergeCell ref="J3:O3"/>
    <mergeCell ref="J4:K4"/>
    <mergeCell ref="M4:O4"/>
  </mergeCells>
  <phoneticPr fontId="26" type="noConversion"/>
  <pageMargins left="0.70069444444444495" right="0.70069444444444495" top="0.62986111111111098" bottom="0.75138888888888899" header="0.29861111111111099" footer="0.29861111111111099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未定价清单</vt:lpstr>
      <vt:lpstr>最新核价</vt:lpstr>
      <vt:lpstr>铁马骨架核算</vt:lpstr>
      <vt:lpstr>V71骨架</vt:lpstr>
      <vt:lpstr>电加热线束固定支架1</vt:lpstr>
      <vt:lpstr>六分座焊接总成</vt:lpstr>
      <vt:lpstr>四分座焊接总成</vt:lpstr>
      <vt:lpstr>安全固定片（电泳）</vt:lpstr>
      <vt:lpstr>铁马骨架核算!Print_Area</vt:lpstr>
      <vt:lpstr>未定价清单!Print_Area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英格 吴</cp:lastModifiedBy>
  <dcterms:created xsi:type="dcterms:W3CDTF">2023-12-19T01:24:00Z</dcterms:created>
  <dcterms:modified xsi:type="dcterms:W3CDTF">2024-10-22T08:06:54Z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681374C21F3C4F289C37A12DBAC0867E_13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