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650" tabRatio="907" activeTab="1"/>
  </bookViews>
  <sheets>
    <sheet name="假设条件" sheetId="34" r:id="rId1"/>
    <sheet name="损益表" sheetId="2" r:id="rId2"/>
    <sheet name="现金" sheetId="36" state="hidden" r:id="rId3"/>
    <sheet name="2024年" sheetId="56" r:id="rId4"/>
    <sheet name="2025年" sheetId="58" r:id="rId5"/>
    <sheet name="2026年" sheetId="59" r:id="rId6"/>
    <sheet name="项目投资" sheetId="51" r:id="rId7"/>
    <sheet name="销量" sheetId="55" r:id="rId8"/>
    <sheet name="材料成本" sheetId="53" r:id="rId9"/>
    <sheet name="其他" sheetId="54" r:id="rId10"/>
    <sheet name="标准成本" sheetId="50" r:id="rId11"/>
  </sheets>
  <externalReferences>
    <externalReference r:id="rId12"/>
    <externalReference r:id="rId13"/>
  </externalReferences>
  <definedNames>
    <definedName name="_xlnm.Print_Area" localSheetId="3">'2024年'!$A$1:$D$48</definedName>
    <definedName name="_xlnm.Print_Area" localSheetId="4">'2025年'!$A$1:$D$48</definedName>
    <definedName name="_xlnm.Print_Area" localSheetId="5">'2026年'!$A$1:$D$48</definedName>
    <definedName name="_xlnm.Print_Area" localSheetId="1">损益表!$A$1:$F$62</definedName>
    <definedName name="_xlnm.Print_Area" localSheetId="6">项目投资!$A$1:$C$35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M3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3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2021.11月河北报表数据</t>
        </r>
      </text>
    </comment>
    <comment ref="E10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假设自提货</t>
        </r>
      </text>
    </comment>
  </commentList>
</comments>
</file>

<file path=xl/sharedStrings.xml><?xml version="1.0" encoding="utf-8"?>
<sst xmlns="http://schemas.openxmlformats.org/spreadsheetml/2006/main" count="944" uniqueCount="283">
  <si>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</si>
  <si>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</si>
  <si>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</si>
  <si>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</si>
  <si>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</si>
  <si>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</si>
  <si>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销售价格（未税）：由营销部门提供，包括年降4%。</t>
  </si>
  <si>
    <t>材料成本</t>
  </si>
  <si>
    <t>成本预估根据项目经理提供资料估算。供应商年度降价与销价降价同步。</t>
  </si>
  <si>
    <t>单台材料成本为未税价格。</t>
  </si>
  <si>
    <t>变动费用</t>
  </si>
  <si>
    <t>变动费用参考河北工厂2021年实际及2022预算暂估。</t>
  </si>
  <si>
    <t>固定费用</t>
  </si>
  <si>
    <t>预测工厂产能满足客户订单，新增生产设备。</t>
  </si>
  <si>
    <t>研发费用按照产销量摊销。</t>
  </si>
  <si>
    <t>财务费用按集团水平。</t>
  </si>
  <si>
    <t>如有产线改造按照产销量摊销，无净残值。</t>
  </si>
  <si>
    <t>投资回收期</t>
  </si>
  <si>
    <t>投资仅指此项目研发费用及模夹检具工装、生产地产线改造投入。</t>
  </si>
  <si>
    <t>豪瀚NX座椅项目投资收益分析</t>
  </si>
  <si>
    <t>单位：元</t>
  </si>
  <si>
    <t>序号</t>
  </si>
  <si>
    <r>
      <rPr>
        <b/>
        <sz val="10"/>
        <rFont val="CorpoS"/>
        <charset val="134"/>
      </rPr>
      <t>2024年</t>
    </r>
  </si>
  <si>
    <r>
      <rPr>
        <b/>
        <sz val="10"/>
        <rFont val="CorpoS"/>
        <charset val="134"/>
      </rPr>
      <t>2025年</t>
    </r>
  </si>
  <si>
    <r>
      <rPr>
        <b/>
        <sz val="10"/>
        <rFont val="CorpoS"/>
        <charset val="134"/>
      </rPr>
      <t>2026年</t>
    </r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</si>
  <si>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</si>
  <si>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</si>
  <si>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</si>
  <si>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</si>
  <si>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</si>
  <si>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</si>
  <si>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</si>
  <si>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</si>
  <si>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</si>
  <si>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</si>
  <si>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</si>
  <si>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</si>
  <si>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</si>
  <si>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</si>
  <si>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</si>
  <si>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</si>
  <si>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</si>
  <si>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</si>
  <si>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</si>
  <si>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</si>
  <si>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</si>
  <si>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</si>
  <si>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</si>
  <si>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</si>
  <si>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</si>
  <si>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</si>
  <si>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</si>
  <si>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</si>
  <si>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</si>
  <si>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</si>
  <si>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</si>
  <si>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</si>
  <si>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</si>
  <si>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</si>
  <si>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</si>
  <si>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</si>
  <si>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</si>
  <si>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</si>
  <si>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</si>
  <si>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</si>
  <si>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</si>
  <si>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</si>
  <si>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</si>
  <si>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</si>
  <si>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</si>
  <si>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</si>
  <si>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</si>
  <si>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</si>
  <si>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</si>
  <si>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</si>
  <si>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</si>
  <si>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</si>
  <si>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</si>
  <si>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</si>
  <si>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</si>
  <si>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</si>
  <si>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</si>
  <si>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</si>
  <si>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</si>
  <si>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</si>
  <si>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</si>
  <si>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</si>
  <si>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</si>
  <si>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</si>
  <si>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</si>
  <si>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</si>
  <si>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</si>
  <si>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</si>
  <si>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</si>
  <si>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</si>
  <si>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</si>
  <si>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</si>
  <si>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</si>
  <si>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</si>
  <si>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</si>
  <si>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</si>
  <si>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</si>
  <si>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</si>
  <si>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</si>
  <si>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</si>
  <si>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</si>
  <si>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</si>
  <si>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</si>
  <si>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</si>
  <si>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</si>
  <si>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</si>
  <si>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</si>
  <si>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</si>
  <si>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</si>
  <si>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</si>
  <si>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</si>
  <si>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</si>
  <si>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</si>
  <si>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</si>
  <si>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</si>
  <si>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</si>
  <si>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</si>
  <si>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</si>
  <si>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</si>
  <si>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</si>
  <si>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</si>
  <si>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</si>
  <si>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</si>
  <si>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</si>
  <si>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</si>
  <si>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</si>
  <si>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</si>
  <si>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</si>
  <si>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</si>
  <si>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</si>
  <si>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</si>
  <si>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</si>
  <si>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</si>
  <si>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</si>
  <si>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</si>
  <si>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</si>
  <si>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</si>
  <si>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</si>
  <si>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</si>
  <si>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</si>
  <si>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</si>
  <si>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</si>
  <si>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 xml:space="preserve">2024年  </t>
  </si>
  <si>
    <t>客户全称</t>
  </si>
  <si>
    <t>产品名称</t>
  </si>
  <si>
    <t>驾驶员座椅</t>
  </si>
  <si>
    <t>产品图号</t>
  </si>
  <si>
    <t>AZ160051000250</t>
  </si>
  <si>
    <t>车型</t>
  </si>
  <si>
    <t>豪瀚NX</t>
  </si>
  <si>
    <t>销量(件）</t>
  </si>
  <si>
    <t>设备模具等折旧分摊</t>
  </si>
  <si>
    <t>假设包含在固定制造费用中</t>
  </si>
  <si>
    <t>所得税(税率25%）</t>
  </si>
  <si>
    <t>单件销售收入净额</t>
  </si>
  <si>
    <t xml:space="preserve">2025年  </t>
  </si>
  <si>
    <t>所得税(税率15%）</t>
  </si>
  <si>
    <t xml:space="preserve">2026年  </t>
  </si>
  <si>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</si>
  <si>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座椅项目研发费用预算表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</si>
  <si>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</si>
  <si>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</si>
  <si>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</si>
  <si>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</si>
  <si>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</si>
  <si>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</si>
  <si>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</si>
  <si>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成品运输垫块工装20件0.5万；底座上线工装车6台3万；工装托盘15只15万；总成上线总装车12台6万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</si>
  <si>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</si>
  <si>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</si>
  <si>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</si>
  <si>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</si>
  <si>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</si>
  <si>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</si>
  <si>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</si>
  <si>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新开滑轨模具</t>
  </si>
  <si>
    <t>小计</t>
  </si>
  <si>
    <t>发泡模具</t>
  </si>
  <si>
    <t>五、模夹检具、工装</t>
  </si>
  <si>
    <t>压铸模具</t>
  </si>
  <si>
    <t>六、开发投入</t>
  </si>
  <si>
    <t>夹具</t>
  </si>
  <si>
    <t>副司机底支架焊接总成焊接夹具1</t>
  </si>
  <si>
    <t>检具</t>
  </si>
  <si>
    <t>新开副驾底支架焊接总成检具（供应商1个/我司1个）-每个检具1.2万元左右</t>
  </si>
  <si>
    <t>工装</t>
  </si>
  <si>
    <t xml:space="preserve">其它 </t>
  </si>
  <si>
    <t>人力成本</t>
  </si>
  <si>
    <t>差旅费</t>
  </si>
  <si>
    <t>邮寄费</t>
  </si>
  <si>
    <t>运费</t>
  </si>
  <si>
    <t>包括车身地板发运</t>
  </si>
  <si>
    <t>设计费</t>
  </si>
  <si>
    <t>240h*125</t>
  </si>
  <si>
    <t>样品费</t>
  </si>
  <si>
    <t>前期样件10台，装车验证10台，小批量30台</t>
  </si>
  <si>
    <t>试验费</t>
  </si>
  <si>
    <t>强检试验费</t>
  </si>
  <si>
    <t>维修费</t>
  </si>
  <si>
    <t>注：生产线改造、机器人及生产设备等投入费用预算由工厂策划预算。</t>
  </si>
  <si>
    <t>摊余系数</t>
  </si>
  <si>
    <t>2024年</t>
  </si>
  <si>
    <t>2025年</t>
  </si>
  <si>
    <t>2026年</t>
  </si>
  <si>
    <t>2027年</t>
  </si>
  <si>
    <t>2028年</t>
  </si>
  <si>
    <t>预计净残值</t>
  </si>
  <si>
    <t>研发费用分摊</t>
  </si>
  <si>
    <t>产品量价规划</t>
  </si>
  <si>
    <t>一、销量、售价</t>
  </si>
  <si>
    <t>预计销价年降</t>
  </si>
  <si>
    <t xml:space="preserve">    3年</t>
  </si>
  <si>
    <t>新开发产品</t>
  </si>
  <si>
    <t>配置</t>
  </si>
  <si>
    <t>在基础件YZ167151000047上增加扶手配置。</t>
  </si>
  <si>
    <t xml:space="preserve">销售价格
（元，未税）  </t>
  </si>
  <si>
    <t>销量（件）</t>
  </si>
  <si>
    <t>2029年</t>
  </si>
  <si>
    <t>成本</t>
  </si>
  <si>
    <t>附加值率</t>
  </si>
  <si>
    <t>预估原材料成本（单位：元，未税）</t>
  </si>
  <si>
    <t>供应商年降：    连降4%</t>
  </si>
  <si>
    <t>模块</t>
  </si>
  <si>
    <t>项目名称</t>
  </si>
  <si>
    <t>项目编号</t>
  </si>
  <si>
    <t xml:space="preserve">
ZY2426</t>
  </si>
  <si>
    <t>产品图号/物料号</t>
  </si>
  <si>
    <t>汇总</t>
  </si>
  <si>
    <t>不含包装费</t>
  </si>
  <si>
    <t>材料成本年降汇总表</t>
  </si>
  <si>
    <t>产品号</t>
  </si>
  <si>
    <t>材料成本（连降4%）</t>
  </si>
  <si>
    <t>项    目</t>
  </si>
  <si>
    <t>内容</t>
  </si>
  <si>
    <t>说明</t>
  </si>
  <si>
    <t>生产地点</t>
  </si>
  <si>
    <t>黄骅</t>
  </si>
  <si>
    <t>客户地点</t>
  </si>
  <si>
    <t>济宁/济南</t>
  </si>
  <si>
    <t>送货地点</t>
  </si>
  <si>
    <t>客户付款方式</t>
  </si>
  <si>
    <t>商业承兑</t>
  </si>
  <si>
    <t>现汇或承兑的比例</t>
  </si>
  <si>
    <t>喷涂件生产地点</t>
  </si>
  <si>
    <t>委外加工</t>
  </si>
  <si>
    <t>物流包装信息</t>
  </si>
  <si>
    <t>工装运输</t>
  </si>
  <si>
    <t>客户现场服务要求</t>
  </si>
  <si>
    <t>驻场服务</t>
  </si>
  <si>
    <t>客户所在地第三方收费标准</t>
  </si>
  <si>
    <t>同现卡车TX产品</t>
  </si>
  <si>
    <t>客户是否指定供方及其结算方式</t>
  </si>
  <si>
    <t>面料价格</t>
  </si>
  <si>
    <t>待商定</t>
  </si>
  <si>
    <t>包含所有的主、辅料</t>
  </si>
  <si>
    <t>产品特殊特性</t>
  </si>
  <si>
    <t>无</t>
  </si>
  <si>
    <t>开发费分摊情况</t>
  </si>
  <si>
    <t>分摊</t>
  </si>
  <si>
    <t>产品应用场景</t>
  </si>
  <si>
    <t>公路载货车</t>
  </si>
  <si>
    <t>三包周期</t>
  </si>
  <si>
    <t>18月</t>
  </si>
  <si>
    <t>涂红色处为必填项</t>
  </si>
  <si>
    <t>单位：元、%、未税</t>
  </si>
  <si>
    <t>科目</t>
  </si>
  <si>
    <t>预计</t>
  </si>
  <si>
    <t>后视镜单件金额</t>
  </si>
  <si>
    <t>座椅单件金额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</si>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</sst>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_ * #,##0_ ;_ * \-#,##0_ ;_ * &quot;-&quot;??_ ;_ @_ "/>
    <numFmt numFmtId="178" formatCode="0_ "/>
    <numFmt numFmtId="179" formatCode="0.00_ "/>
    <numFmt numFmtId="180" formatCode="&quot;$&quot;#,##0.00_);[Red]\(&quot;$&quot;#,##0.00\)"/>
  </numFmts>
  <fonts count="7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i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theme="1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2"/>
      <color rgb="FF0D0D0D"/>
      <name val="宋体"/>
      <charset val="134"/>
    </font>
    <font>
      <sz val="11"/>
      <name val="宋体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b/>
      <sz val="16"/>
      <color theme="1"/>
      <name val="微软雅黑"/>
      <charset val="134"/>
    </font>
    <font>
      <b/>
      <sz val="14"/>
      <color theme="1"/>
      <name val="微软雅黑"/>
      <charset val="134"/>
    </font>
    <font>
      <b/>
      <sz val="14"/>
      <name val="微软雅黑"/>
      <charset val="134"/>
    </font>
    <font>
      <sz val="11"/>
      <color rgb="FFFF0000"/>
      <name val="微软雅黑"/>
      <charset val="134"/>
    </font>
    <font>
      <sz val="12"/>
      <name val="微软雅黑"/>
      <charset val="134"/>
    </font>
    <font>
      <sz val="14"/>
      <color theme="1"/>
      <name val="宋体"/>
      <charset val="134"/>
      <scheme val="minor"/>
    </font>
    <font>
      <sz val="10.5"/>
      <name val="宋体"/>
      <charset val="134"/>
    </font>
    <font>
      <sz val="12"/>
      <color rgb="FFFF0000"/>
      <name val="微软雅黑"/>
      <charset val="134"/>
    </font>
    <font>
      <sz val="14"/>
      <name val="微软雅黑"/>
      <charset val="134"/>
    </font>
    <font>
      <sz val="14"/>
      <color rgb="FF000000"/>
      <name val="微软雅黑"/>
      <charset val="134"/>
    </font>
    <font>
      <sz val="10"/>
      <color rgb="FFFF0000"/>
      <name val="微软雅黑"/>
      <charset val="134"/>
    </font>
    <font>
      <sz val="14"/>
      <color rgb="FFFF0000"/>
      <name val="微软雅黑"/>
      <charset val="134"/>
    </font>
    <font>
      <sz val="12"/>
      <color rgb="FF000000"/>
      <name val="微软雅黑"/>
      <charset val="134"/>
    </font>
    <font>
      <sz val="14"/>
      <color rgb="FF000000"/>
      <name val="宋体"/>
      <charset val="134"/>
    </font>
    <font>
      <b/>
      <sz val="16"/>
      <color indexed="8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sz val="10"/>
      <name val="宋体"/>
      <charset val="134"/>
    </font>
    <font>
      <sz val="9.75"/>
      <color rgb="FF333333"/>
      <name val="Helvetica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4"/>
      <name val="宋体"/>
      <charset val="134"/>
    </font>
    <font>
      <sz val="12"/>
      <color theme="1"/>
      <name val="微软雅黑"/>
      <charset val="134"/>
    </font>
    <font>
      <sz val="18"/>
      <color theme="1"/>
      <name val="微软雅黑"/>
      <charset val="134"/>
    </font>
    <font>
      <b/>
      <sz val="10"/>
      <name val="CorpoS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2"/>
      <name val="微软雅黑"/>
      <charset val="134"/>
    </font>
    <font>
      <b/>
      <sz val="12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sz val="9"/>
      <name val="Arial"/>
      <charset val="134"/>
    </font>
    <font>
      <sz val="12"/>
      <name val="宋体"/>
      <charset val="134"/>
    </font>
    <font>
      <sz val="12"/>
      <name val="Times New Roman"/>
      <charset val="134"/>
    </font>
    <font>
      <b/>
      <sz val="12"/>
      <name val="仿宋体"/>
      <charset val="134"/>
    </font>
    <font>
      <sz val="11"/>
      <color indexed="8"/>
      <name val="宋体"/>
      <charset val="134"/>
    </font>
    <font>
      <b/>
      <sz val="8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12" borderId="17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3" borderId="20" applyNumberFormat="0" applyAlignment="0" applyProtection="0">
      <alignment vertical="center"/>
    </xf>
    <xf numFmtId="0" fontId="57" fillId="14" borderId="21" applyNumberFormat="0" applyAlignment="0" applyProtection="0">
      <alignment vertical="center"/>
    </xf>
    <xf numFmtId="0" fontId="58" fillId="14" borderId="20" applyNumberFormat="0" applyAlignment="0" applyProtection="0">
      <alignment vertical="center"/>
    </xf>
    <xf numFmtId="0" fontId="59" fillId="15" borderId="22" applyNumberFormat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6" fillId="40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7" fillId="0" borderId="0"/>
    <xf numFmtId="0" fontId="68" fillId="0" borderId="2" applyNumberFormat="0" applyFill="0" applyBorder="0" applyAlignment="0" applyProtection="0">
      <alignment vertical="center"/>
    </xf>
    <xf numFmtId="0" fontId="2" fillId="0" borderId="0">
      <alignment vertical="center"/>
    </xf>
    <xf numFmtId="0" fontId="69" fillId="0" borderId="0"/>
    <xf numFmtId="0" fontId="2" fillId="0" borderId="0">
      <alignment vertical="center"/>
    </xf>
    <xf numFmtId="0" fontId="70" fillId="0" borderId="0"/>
    <xf numFmtId="1" fontId="71" fillId="0" borderId="2" applyBorder="0"/>
    <xf numFmtId="43" fontId="2" fillId="0" borderId="0" applyFont="0" applyFill="0" applyBorder="0" applyAlignment="0" applyProtection="0">
      <alignment vertical="center"/>
    </xf>
    <xf numFmtId="43" fontId="72" fillId="0" borderId="0" applyFont="0" applyFill="0" applyBorder="0" applyAlignment="0" applyProtection="0">
      <alignment vertical="center"/>
    </xf>
    <xf numFmtId="0" fontId="69" fillId="0" borderId="0"/>
  </cellStyleXfs>
  <cellXfs count="28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3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0" fontId="1" fillId="0" borderId="0" xfId="3" applyNumberFormat="1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0" fontId="2" fillId="0" borderId="0" xfId="3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76" fontId="0" fillId="0" borderId="2" xfId="3" applyNumberFormat="1" applyFon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3" fontId="1" fillId="0" borderId="2" xfId="1" applyFont="1" applyFill="1" applyBorder="1">
      <alignment vertical="center"/>
    </xf>
    <xf numFmtId="9" fontId="3" fillId="0" borderId="2" xfId="3" applyFont="1" applyFill="1" applyBorder="1" applyAlignment="1">
      <alignment horizontal="center" vertical="center"/>
    </xf>
    <xf numFmtId="10" fontId="3" fillId="0" borderId="2" xfId="3" applyNumberFormat="1" applyFont="1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2" fillId="0" borderId="0" xfId="0" applyFont="1" applyFill="1">
      <alignment vertical="center"/>
    </xf>
    <xf numFmtId="9" fontId="0" fillId="0" borderId="0" xfId="0" applyNumberFormat="1" applyFill="1" applyAlignment="1">
      <alignment horizontal="center" vertical="center"/>
    </xf>
    <xf numFmtId="43" fontId="0" fillId="0" borderId="0" xfId="1" applyFont="1" applyFill="1">
      <alignment vertical="center"/>
    </xf>
    <xf numFmtId="10" fontId="0" fillId="0" borderId="0" xfId="0" applyNumberFormat="1" applyFill="1" applyAlignment="1">
      <alignment horizontal="center" vertical="center"/>
    </xf>
    <xf numFmtId="0" fontId="4" fillId="0" borderId="0" xfId="52" applyFont="1" applyAlignment="1">
      <alignment horizontal="center" vertical="center"/>
    </xf>
    <xf numFmtId="0" fontId="4" fillId="0" borderId="2" xfId="52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0" borderId="0" xfId="52" applyFont="1" applyAlignment="1">
      <alignment horizontal="center" vertical="center" wrapText="1"/>
    </xf>
    <xf numFmtId="0" fontId="5" fillId="2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0" xfId="0" applyFont="1" applyFill="1">
      <alignment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43" fontId="6" fillId="0" borderId="2" xfId="1" applyFont="1" applyBorder="1">
      <alignment vertical="center"/>
    </xf>
    <xf numFmtId="43" fontId="6" fillId="0" borderId="2" xfId="1" applyFont="1" applyFill="1" applyBorder="1">
      <alignment vertical="center"/>
    </xf>
    <xf numFmtId="43" fontId="8" fillId="0" borderId="2" xfId="1" applyFont="1" applyFill="1" applyBorder="1">
      <alignment vertical="center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3" fontId="8" fillId="0" borderId="2" xfId="1" applyFont="1" applyBorder="1">
      <alignment vertical="center"/>
    </xf>
    <xf numFmtId="43" fontId="6" fillId="0" borderId="0" xfId="0" applyNumberFormat="1" applyFont="1">
      <alignment vertical="center"/>
    </xf>
    <xf numFmtId="43" fontId="6" fillId="0" borderId="0" xfId="1" applyFont="1">
      <alignment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3" fontId="6" fillId="0" borderId="5" xfId="0" applyNumberFormat="1" applyFont="1" applyBorder="1" applyAlignment="1">
      <alignment horizontal="center" vertical="center"/>
    </xf>
    <xf numFmtId="43" fontId="6" fillId="0" borderId="3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2" xfId="53" applyFont="1" applyFill="1" applyBorder="1" applyAlignment="1">
      <alignment horizontal="center" vertical="center" wrapText="1"/>
    </xf>
    <xf numFmtId="43" fontId="6" fillId="0" borderId="0" xfId="0" applyNumberFormat="1" applyFont="1" applyBorder="1">
      <alignment vertical="center"/>
    </xf>
    <xf numFmtId="0" fontId="6" fillId="4" borderId="4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43" fontId="6" fillId="0" borderId="6" xfId="0" applyNumberFormat="1" applyFont="1" applyBorder="1" applyAlignment="1">
      <alignment horizontal="center" vertical="center"/>
    </xf>
    <xf numFmtId="43" fontId="6" fillId="0" borderId="10" xfId="0" applyNumberFormat="1" applyFont="1" applyBorder="1" applyAlignment="1">
      <alignment horizontal="center" vertical="center"/>
    </xf>
    <xf numFmtId="43" fontId="6" fillId="0" borderId="7" xfId="0" applyNumberFormat="1" applyFont="1" applyBorder="1" applyAlignment="1">
      <alignment horizontal="center" vertical="center"/>
    </xf>
    <xf numFmtId="0" fontId="6" fillId="0" borderId="2" xfId="0" applyFont="1" applyFill="1" applyBorder="1">
      <alignment vertical="center"/>
    </xf>
    <xf numFmtId="0" fontId="10" fillId="0" borderId="1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2" xfId="0" applyFont="1" applyBorder="1">
      <alignment vertical="center"/>
    </xf>
    <xf numFmtId="43" fontId="6" fillId="0" borderId="4" xfId="0" applyNumberFormat="1" applyFont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177" fontId="12" fillId="0" borderId="0" xfId="1" applyNumberFormat="1" applyFont="1">
      <alignment vertical="center"/>
    </xf>
    <xf numFmtId="0" fontId="12" fillId="4" borderId="0" xfId="0" applyFont="1" applyFill="1">
      <alignment vertical="center"/>
    </xf>
    <xf numFmtId="10" fontId="12" fillId="5" borderId="0" xfId="0" applyNumberFormat="1" applyFont="1" applyFill="1">
      <alignment vertical="center"/>
    </xf>
    <xf numFmtId="10" fontId="12" fillId="0" borderId="0" xfId="0" applyNumberFormat="1" applyFont="1">
      <alignment vertical="center"/>
    </xf>
    <xf numFmtId="0" fontId="12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4" xfId="53" applyFont="1" applyFill="1" applyBorder="1" applyAlignment="1">
      <alignment horizontal="center" vertical="center" wrapText="1"/>
    </xf>
    <xf numFmtId="0" fontId="18" fillId="0" borderId="2" xfId="53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top" wrapText="1"/>
    </xf>
    <xf numFmtId="0" fontId="19" fillId="0" borderId="2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center" vertical="center" wrapText="1"/>
    </xf>
    <xf numFmtId="43" fontId="20" fillId="0" borderId="7" xfId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 readingOrder="1"/>
    </xf>
    <xf numFmtId="0" fontId="24" fillId="0" borderId="2" xfId="0" applyFont="1" applyFill="1" applyBorder="1" applyAlignment="1">
      <alignment horizontal="center" vertical="center" wrapText="1" readingOrder="1"/>
    </xf>
    <xf numFmtId="0" fontId="23" fillId="0" borderId="2" xfId="0" applyFont="1" applyFill="1" applyBorder="1" applyAlignment="1">
      <alignment horizontal="center" vertical="center" wrapText="1" readingOrder="1"/>
    </xf>
    <xf numFmtId="0" fontId="20" fillId="0" borderId="2" xfId="0" applyFont="1" applyFill="1" applyBorder="1" applyAlignment="1">
      <alignment horizontal="center" vertical="center" wrapText="1" readingOrder="1"/>
    </xf>
    <xf numFmtId="0" fontId="25" fillId="0" borderId="2" xfId="0" applyFont="1" applyFill="1" applyBorder="1" applyAlignment="1">
      <alignment horizontal="center" vertical="center" wrapText="1" readingOrder="1"/>
    </xf>
    <xf numFmtId="0" fontId="22" fillId="0" borderId="2" xfId="0" applyFont="1" applyFill="1" applyBorder="1" applyAlignment="1">
      <alignment horizontal="center" vertical="center" wrapText="1" readingOrder="1"/>
    </xf>
    <xf numFmtId="0" fontId="22" fillId="6" borderId="2" xfId="0" applyFont="1" applyFill="1" applyBorder="1" applyAlignment="1">
      <alignment horizontal="center" vertical="center" wrapText="1" readingOrder="1"/>
    </xf>
    <xf numFmtId="177" fontId="22" fillId="6" borderId="2" xfId="0" applyNumberFormat="1" applyFont="1" applyFill="1" applyBorder="1" applyAlignment="1">
      <alignment horizontal="center" wrapText="1" readingOrder="1"/>
    </xf>
    <xf numFmtId="43" fontId="12" fillId="0" borderId="0" xfId="1" applyFont="1">
      <alignment vertical="center"/>
    </xf>
    <xf numFmtId="0" fontId="12" fillId="0" borderId="2" xfId="0" applyFont="1" applyBorder="1">
      <alignment vertical="center"/>
    </xf>
    <xf numFmtId="43" fontId="12" fillId="0" borderId="2" xfId="0" applyNumberFormat="1" applyFont="1" applyBorder="1">
      <alignment vertical="center"/>
    </xf>
    <xf numFmtId="176" fontId="12" fillId="0" borderId="2" xfId="3" applyNumberFormat="1" applyFont="1" applyBorder="1">
      <alignment vertical="center"/>
    </xf>
    <xf numFmtId="43" fontId="12" fillId="0" borderId="0" xfId="0" applyNumberFormat="1" applyFont="1">
      <alignment vertical="center"/>
    </xf>
    <xf numFmtId="0" fontId="12" fillId="0" borderId="0" xfId="0" applyFont="1" applyFill="1">
      <alignment vertical="center"/>
    </xf>
    <xf numFmtId="0" fontId="21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177" fontId="22" fillId="6" borderId="2" xfId="1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 readingOrder="1"/>
    </xf>
    <xf numFmtId="10" fontId="12" fillId="0" borderId="0" xfId="3" applyNumberFormat="1" applyFont="1">
      <alignment vertical="center"/>
    </xf>
    <xf numFmtId="43" fontId="0" fillId="0" borderId="0" xfId="1" applyFont="1">
      <alignment vertical="center"/>
    </xf>
    <xf numFmtId="0" fontId="27" fillId="7" borderId="1" xfId="49" applyNumberFormat="1" applyFont="1" applyFill="1" applyBorder="1" applyAlignment="1" applyProtection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8" fontId="28" fillId="8" borderId="2" xfId="54" applyNumberFormat="1" applyFont="1" applyFill="1" applyBorder="1" applyAlignment="1">
      <alignment horizontal="center" vertical="center" wrapText="1"/>
    </xf>
    <xf numFmtId="43" fontId="28" fillId="8" borderId="2" xfId="1" applyFont="1" applyFill="1" applyBorder="1" applyAlignment="1">
      <alignment horizontal="center" vertical="center" wrapText="1"/>
    </xf>
    <xf numFmtId="0" fontId="28" fillId="8" borderId="2" xfId="49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8" fontId="29" fillId="0" borderId="2" xfId="54" applyNumberFormat="1" applyFont="1" applyFill="1" applyBorder="1" applyAlignment="1">
      <alignment horizontal="left" vertical="center"/>
    </xf>
    <xf numFmtId="43" fontId="29" fillId="4" borderId="2" xfId="1" applyFont="1" applyFill="1" applyBorder="1" applyAlignment="1">
      <alignment horizontal="center" vertical="center"/>
    </xf>
    <xf numFmtId="0" fontId="30" fillId="7" borderId="2" xfId="49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>
      <alignment vertical="center"/>
    </xf>
    <xf numFmtId="43" fontId="2" fillId="3" borderId="2" xfId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31" fillId="7" borderId="2" xfId="49" applyNumberFormat="1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2" xfId="0" applyFont="1" applyBorder="1">
      <alignment vertical="center"/>
    </xf>
    <xf numFmtId="43" fontId="29" fillId="0" borderId="2" xfId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6" borderId="2" xfId="0" applyFill="1" applyBorder="1">
      <alignment vertical="center"/>
    </xf>
    <xf numFmtId="0" fontId="4" fillId="9" borderId="2" xfId="0" applyFont="1" applyFill="1" applyBorder="1">
      <alignment vertical="center"/>
    </xf>
    <xf numFmtId="0" fontId="0" fillId="0" borderId="10" xfId="0" applyBorder="1" applyAlignment="1">
      <alignment horizontal="center" vertical="center" wrapText="1"/>
    </xf>
    <xf numFmtId="178" fontId="29" fillId="0" borderId="5" xfId="54" applyNumberFormat="1" applyFont="1" applyFill="1" applyBorder="1" applyAlignment="1">
      <alignment horizontal="center" vertical="center"/>
    </xf>
    <xf numFmtId="178" fontId="29" fillId="0" borderId="5" xfId="54" applyNumberFormat="1" applyFont="1" applyFill="1" applyBorder="1" applyAlignment="1">
      <alignment horizontal="left" vertical="center" wrapText="1"/>
    </xf>
    <xf numFmtId="0" fontId="30" fillId="7" borderId="2" xfId="49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25" fillId="6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readingOrder="1"/>
    </xf>
    <xf numFmtId="43" fontId="8" fillId="0" borderId="2" xfId="0" applyNumberFormat="1" applyFont="1" applyBorder="1">
      <alignment vertical="center"/>
    </xf>
    <xf numFmtId="43" fontId="8" fillId="0" borderId="2" xfId="1" applyNumberFormat="1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3" fillId="0" borderId="0" xfId="0" applyFont="1" applyFill="1">
      <alignment vertical="center"/>
    </xf>
    <xf numFmtId="0" fontId="32" fillId="0" borderId="0" xfId="0" applyFont="1" applyFill="1">
      <alignment vertical="center"/>
    </xf>
    <xf numFmtId="0" fontId="33" fillId="0" borderId="0" xfId="0" applyFont="1" applyFill="1">
      <alignment vertical="center"/>
    </xf>
    <xf numFmtId="43" fontId="33" fillId="0" borderId="0" xfId="1" applyFont="1" applyFill="1">
      <alignment vertical="center"/>
    </xf>
    <xf numFmtId="0" fontId="33" fillId="0" borderId="2" xfId="0" applyFont="1" applyFill="1" applyBorder="1" applyAlignment="1">
      <alignment horizontal="center" vertical="center"/>
    </xf>
    <xf numFmtId="43" fontId="33" fillId="0" borderId="5" xfId="1" applyFont="1" applyFill="1" applyBorder="1" applyAlignment="1">
      <alignment horizontal="center" vertical="center"/>
    </xf>
    <xf numFmtId="43" fontId="33" fillId="0" borderId="4" xfId="1" applyFont="1" applyFill="1" applyBorder="1" applyAlignment="1">
      <alignment horizontal="center" vertical="center"/>
    </xf>
    <xf numFmtId="43" fontId="33" fillId="4" borderId="2" xfId="1" applyFont="1" applyFill="1" applyBorder="1" applyAlignment="1">
      <alignment horizontal="center" vertical="center"/>
    </xf>
    <xf numFmtId="43" fontId="34" fillId="0" borderId="6" xfId="1" applyFont="1" applyFill="1" applyBorder="1" applyAlignment="1">
      <alignment horizontal="center" vertical="center" wrapText="1"/>
    </xf>
    <xf numFmtId="43" fontId="34" fillId="0" borderId="10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43" fontId="34" fillId="0" borderId="7" xfId="1" applyFont="1" applyFill="1" applyBorder="1" applyAlignment="1">
      <alignment horizontal="center" vertical="center" wrapText="1"/>
    </xf>
    <xf numFmtId="0" fontId="33" fillId="0" borderId="2" xfId="0" applyFont="1" applyFill="1" applyBorder="1">
      <alignment vertical="center"/>
    </xf>
    <xf numFmtId="0" fontId="36" fillId="0" borderId="2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 wrapText="1" readingOrder="1"/>
    </xf>
    <xf numFmtId="43" fontId="33" fillId="0" borderId="2" xfId="1" applyFont="1" applyFill="1" applyBorder="1" applyAlignment="1">
      <alignment horizontal="center" vertical="center"/>
    </xf>
    <xf numFmtId="43" fontId="33" fillId="0" borderId="0" xfId="0" applyNumberFormat="1" applyFont="1" applyFill="1">
      <alignment vertical="center"/>
    </xf>
    <xf numFmtId="0" fontId="36" fillId="0" borderId="2" xfId="0" applyFont="1" applyFill="1" applyBorder="1">
      <alignment vertical="center"/>
    </xf>
    <xf numFmtId="9" fontId="33" fillId="0" borderId="2" xfId="3" applyFont="1" applyFill="1" applyBorder="1" applyAlignment="1">
      <alignment horizontal="center" vertical="center"/>
    </xf>
    <xf numFmtId="0" fontId="23" fillId="0" borderId="2" xfId="0" applyFont="1" applyFill="1" applyBorder="1">
      <alignment vertical="center"/>
    </xf>
    <xf numFmtId="43" fontId="23" fillId="0" borderId="2" xfId="1" applyFont="1" applyFill="1" applyBorder="1">
      <alignment vertical="center"/>
    </xf>
    <xf numFmtId="0" fontId="37" fillId="0" borderId="0" xfId="0" applyFont="1" applyFill="1">
      <alignment vertical="center"/>
    </xf>
    <xf numFmtId="43" fontId="33" fillId="0" borderId="2" xfId="1" applyFont="1" applyFill="1" applyBorder="1">
      <alignment vertical="center"/>
    </xf>
    <xf numFmtId="0" fontId="32" fillId="0" borderId="2" xfId="0" applyFont="1" applyFill="1" applyBorder="1">
      <alignment vertical="center"/>
    </xf>
    <xf numFmtId="179" fontId="33" fillId="0" borderId="0" xfId="0" applyNumberFormat="1" applyFont="1" applyFill="1">
      <alignment vertical="center"/>
    </xf>
    <xf numFmtId="10" fontId="33" fillId="0" borderId="2" xfId="3" applyNumberFormat="1" applyFont="1" applyFill="1" applyBorder="1">
      <alignment vertical="center"/>
    </xf>
    <xf numFmtId="43" fontId="23" fillId="0" borderId="2" xfId="1" applyFont="1" applyFill="1" applyBorder="1" applyAlignment="1">
      <alignment horizontal="center" vertical="center"/>
    </xf>
    <xf numFmtId="43" fontId="33" fillId="0" borderId="2" xfId="0" applyNumberFormat="1" applyFont="1" applyFill="1" applyBorder="1">
      <alignment vertical="center"/>
    </xf>
    <xf numFmtId="43" fontId="32" fillId="0" borderId="2" xfId="1" applyFont="1" applyFill="1" applyBorder="1">
      <alignment vertical="center"/>
    </xf>
    <xf numFmtId="43" fontId="33" fillId="0" borderId="0" xfId="1" applyFont="1" applyFill="1" applyAlignment="1">
      <alignment horizontal="center" vertical="center"/>
    </xf>
    <xf numFmtId="43" fontId="33" fillId="4" borderId="5" xfId="1" applyFont="1" applyFill="1" applyBorder="1" applyAlignment="1">
      <alignment horizontal="center" vertical="center"/>
    </xf>
    <xf numFmtId="43" fontId="33" fillId="4" borderId="4" xfId="1" applyFont="1" applyFill="1" applyBorder="1" applyAlignment="1">
      <alignment horizontal="center" vertical="center"/>
    </xf>
    <xf numFmtId="1" fontId="29" fillId="7" borderId="0" xfId="49" applyNumberFormat="1" applyFont="1" applyFill="1" applyProtection="1"/>
    <xf numFmtId="0" fontId="29" fillId="7" borderId="0" xfId="49" applyFont="1" applyFill="1" applyProtection="1"/>
    <xf numFmtId="0" fontId="38" fillId="7" borderId="0" xfId="49" applyFont="1" applyFill="1" applyAlignment="1" applyProtection="1">
      <alignment horizontal="centerContinuous"/>
    </xf>
    <xf numFmtId="0" fontId="29" fillId="7" borderId="0" xfId="49" applyFont="1" applyFill="1" applyAlignment="1">
      <alignment horizontal="centerContinuous"/>
    </xf>
    <xf numFmtId="0" fontId="29" fillId="7" borderId="0" xfId="49" applyFont="1" applyFill="1" applyAlignment="1" applyProtection="1">
      <alignment horizontal="centerContinuous"/>
    </xf>
    <xf numFmtId="9" fontId="29" fillId="7" borderId="0" xfId="49" applyNumberFormat="1" applyFont="1" applyFill="1" applyProtection="1"/>
    <xf numFmtId="0" fontId="29" fillId="7" borderId="6" xfId="49" applyFont="1" applyFill="1" applyBorder="1" applyAlignment="1" applyProtection="1">
      <alignment horizontal="center"/>
    </xf>
    <xf numFmtId="0" fontId="31" fillId="7" borderId="2" xfId="49" applyFont="1" applyFill="1" applyBorder="1" applyAlignment="1" applyProtection="1">
      <alignment horizontal="center"/>
    </xf>
    <xf numFmtId="0" fontId="31" fillId="7" borderId="3" xfId="49" applyFont="1" applyFill="1" applyBorder="1" applyAlignment="1" applyProtection="1">
      <alignment horizontal="center"/>
    </xf>
    <xf numFmtId="1" fontId="31" fillId="7" borderId="3" xfId="55" applyFont="1" applyFill="1" applyBorder="1"/>
    <xf numFmtId="1" fontId="29" fillId="7" borderId="3" xfId="55" applyFont="1" applyFill="1" applyBorder="1"/>
    <xf numFmtId="0" fontId="29" fillId="7" borderId="7" xfId="49" applyFont="1" applyFill="1" applyBorder="1" applyProtection="1"/>
    <xf numFmtId="0" fontId="29" fillId="7" borderId="2" xfId="49" applyFont="1" applyFill="1" applyBorder="1" applyAlignment="1" applyProtection="1">
      <alignment horizontal="center"/>
    </xf>
    <xf numFmtId="0" fontId="29" fillId="7" borderId="2" xfId="49" applyFont="1" applyFill="1" applyBorder="1" applyAlignment="1" applyProtection="1">
      <alignment horizontal="left"/>
    </xf>
    <xf numFmtId="0" fontId="29" fillId="10" borderId="2" xfId="49" applyFont="1" applyFill="1" applyBorder="1" applyProtection="1"/>
    <xf numFmtId="177" fontId="29" fillId="10" borderId="2" xfId="1" applyNumberFormat="1" applyFont="1" applyFill="1" applyBorder="1" applyAlignment="1" applyProtection="1"/>
    <xf numFmtId="0" fontId="29" fillId="7" borderId="2" xfId="49" applyFont="1" applyFill="1" applyBorder="1" applyProtection="1"/>
    <xf numFmtId="177" fontId="29" fillId="7" borderId="2" xfId="1" applyNumberFormat="1" applyFont="1" applyFill="1" applyBorder="1" applyAlignment="1" applyProtection="1"/>
    <xf numFmtId="0" fontId="29" fillId="7" borderId="2" xfId="49" applyNumberFormat="1" applyFont="1" applyFill="1" applyBorder="1" applyAlignment="1" applyProtection="1">
      <alignment horizontal="left"/>
    </xf>
    <xf numFmtId="1" fontId="29" fillId="7" borderId="2" xfId="49" applyNumberFormat="1" applyFont="1" applyFill="1" applyBorder="1" applyProtection="1"/>
    <xf numFmtId="1" fontId="29" fillId="7" borderId="2" xfId="49" applyNumberFormat="1" applyFont="1" applyFill="1" applyBorder="1" applyAlignment="1" applyProtection="1">
      <alignment horizontal="left"/>
    </xf>
    <xf numFmtId="0" fontId="29" fillId="7" borderId="8" xfId="49" applyFont="1" applyFill="1" applyBorder="1" applyProtection="1"/>
    <xf numFmtId="0" fontId="29" fillId="7" borderId="13" xfId="49" applyFont="1" applyFill="1" applyBorder="1" applyProtection="1"/>
    <xf numFmtId="0" fontId="29" fillId="7" borderId="11" xfId="49" applyFont="1" applyFill="1" applyBorder="1" applyProtection="1"/>
    <xf numFmtId="0" fontId="29" fillId="7" borderId="0" xfId="49" applyFont="1" applyFill="1" applyBorder="1" applyProtection="1"/>
    <xf numFmtId="180" fontId="29" fillId="7" borderId="0" xfId="49" applyNumberFormat="1" applyFont="1" applyFill="1" applyBorder="1" applyProtection="1"/>
    <xf numFmtId="10" fontId="29" fillId="7" borderId="0" xfId="49" applyNumberFormat="1" applyFont="1" applyFill="1" applyBorder="1" applyProtection="1"/>
    <xf numFmtId="1" fontId="29" fillId="7" borderId="0" xfId="49" applyNumberFormat="1" applyFont="1" applyFill="1" applyBorder="1" applyProtection="1"/>
    <xf numFmtId="0" fontId="29" fillId="7" borderId="14" xfId="49" applyFont="1" applyFill="1" applyBorder="1" applyProtection="1"/>
    <xf numFmtId="0" fontId="29" fillId="7" borderId="1" xfId="49" applyFont="1" applyFill="1" applyBorder="1" applyProtection="1"/>
    <xf numFmtId="2" fontId="29" fillId="7" borderId="1" xfId="49" applyNumberFormat="1" applyFont="1" applyFill="1" applyBorder="1" applyProtection="1"/>
    <xf numFmtId="0" fontId="29" fillId="7" borderId="4" xfId="49" applyFont="1" applyFill="1" applyBorder="1"/>
    <xf numFmtId="1" fontId="29" fillId="7" borderId="7" xfId="55" applyFont="1" applyFill="1" applyBorder="1" applyAlignment="1">
      <alignment horizontal="center"/>
    </xf>
    <xf numFmtId="0" fontId="29" fillId="7" borderId="9" xfId="49" applyFont="1" applyFill="1" applyBorder="1" applyProtection="1"/>
    <xf numFmtId="0" fontId="29" fillId="7" borderId="15" xfId="49" applyFont="1" applyFill="1" applyBorder="1" applyProtection="1"/>
    <xf numFmtId="0" fontId="29" fillId="7" borderId="16" xfId="49" applyFont="1" applyFill="1" applyBorder="1" applyProtection="1"/>
    <xf numFmtId="0" fontId="39" fillId="0" borderId="0" xfId="0" applyFont="1">
      <alignment vertical="center"/>
    </xf>
    <xf numFmtId="0" fontId="32" fillId="0" borderId="0" xfId="0" applyFont="1">
      <alignment vertical="center"/>
    </xf>
    <xf numFmtId="0" fontId="33" fillId="0" borderId="0" xfId="0" applyFont="1" applyBorder="1">
      <alignment vertical="center"/>
    </xf>
    <xf numFmtId="0" fontId="33" fillId="0" borderId="0" xfId="0" applyFont="1">
      <alignment vertical="center"/>
    </xf>
    <xf numFmtId="43" fontId="33" fillId="0" borderId="0" xfId="1" applyFont="1">
      <alignment vertical="center"/>
    </xf>
    <xf numFmtId="0" fontId="40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6" fillId="0" borderId="6" xfId="0" applyFont="1" applyFill="1" applyBorder="1" applyAlignment="1">
      <alignment horizontal="center" vertical="center"/>
    </xf>
    <xf numFmtId="43" fontId="41" fillId="0" borderId="2" xfId="1" applyFont="1" applyFill="1" applyBorder="1" applyAlignment="1">
      <alignment horizontal="center" vertical="center" wrapText="1"/>
    </xf>
    <xf numFmtId="43" fontId="34" fillId="0" borderId="2" xfId="1" applyFont="1" applyFill="1" applyBorder="1" applyAlignment="1">
      <alignment horizontal="center" vertical="center" wrapText="1"/>
    </xf>
    <xf numFmtId="0" fontId="36" fillId="0" borderId="7" xfId="0" applyFont="1" applyFill="1" applyBorder="1" applyAlignment="1">
      <alignment horizontal="center" vertical="center"/>
    </xf>
    <xf numFmtId="177" fontId="33" fillId="0" borderId="2" xfId="1" applyNumberFormat="1" applyFont="1" applyFill="1" applyBorder="1" applyAlignment="1">
      <alignment horizontal="center" vertical="center"/>
    </xf>
    <xf numFmtId="0" fontId="33" fillId="6" borderId="2" xfId="0" applyFont="1" applyFill="1" applyBorder="1">
      <alignment vertical="center"/>
    </xf>
    <xf numFmtId="0" fontId="36" fillId="10" borderId="2" xfId="0" applyFont="1" applyFill="1" applyBorder="1">
      <alignment vertical="center"/>
    </xf>
    <xf numFmtId="177" fontId="42" fillId="11" borderId="2" xfId="1" applyNumberFormat="1" applyFont="1" applyFill="1" applyBorder="1" applyAlignment="1">
      <alignment horizontal="center" vertical="center"/>
    </xf>
    <xf numFmtId="177" fontId="32" fillId="10" borderId="2" xfId="1" applyNumberFormat="1" applyFont="1" applyFill="1" applyBorder="1" applyAlignment="1">
      <alignment horizontal="center" vertical="center"/>
    </xf>
    <xf numFmtId="0" fontId="43" fillId="0" borderId="2" xfId="0" applyFont="1" applyFill="1" applyBorder="1">
      <alignment vertical="center"/>
    </xf>
    <xf numFmtId="0" fontId="33" fillId="0" borderId="2" xfId="0" applyFont="1" applyBorder="1">
      <alignment vertical="center"/>
    </xf>
    <xf numFmtId="10" fontId="32" fillId="0" borderId="2" xfId="3" applyNumberFormat="1" applyFont="1" applyBorder="1" applyAlignment="1">
      <alignment vertical="center"/>
    </xf>
    <xf numFmtId="0" fontId="43" fillId="10" borderId="2" xfId="0" applyFont="1" applyFill="1" applyBorder="1">
      <alignment vertical="center"/>
    </xf>
    <xf numFmtId="177" fontId="33" fillId="0" borderId="2" xfId="1" applyNumberFormat="1" applyFont="1" applyBorder="1" applyAlignment="1">
      <alignment horizontal="center" vertical="center"/>
    </xf>
    <xf numFmtId="10" fontId="44" fillId="0" borderId="2" xfId="3" applyNumberFormat="1" applyFont="1" applyBorder="1">
      <alignment vertical="center"/>
    </xf>
    <xf numFmtId="10" fontId="33" fillId="0" borderId="0" xfId="3" applyNumberFormat="1" applyFont="1" applyBorder="1">
      <alignment vertical="center"/>
    </xf>
    <xf numFmtId="43" fontId="33" fillId="0" borderId="0" xfId="0" applyNumberFormat="1" applyFont="1" applyFill="1" applyBorder="1">
      <alignment vertical="center"/>
    </xf>
    <xf numFmtId="43" fontId="33" fillId="0" borderId="0" xfId="1" applyFont="1" applyBorder="1">
      <alignment vertical="center"/>
    </xf>
    <xf numFmtId="0" fontId="33" fillId="0" borderId="2" xfId="0" applyFont="1" applyBorder="1" applyAlignment="1">
      <alignment horizontal="center" vertical="center"/>
    </xf>
    <xf numFmtId="10" fontId="33" fillId="0" borderId="2" xfId="3" applyNumberFormat="1" applyFont="1" applyFill="1" applyBorder="1" applyAlignment="1">
      <alignment horizontal="center" vertical="center"/>
    </xf>
    <xf numFmtId="177" fontId="33" fillId="0" borderId="2" xfId="1" applyNumberFormat="1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vertical="center" wrapText="1"/>
    </xf>
    <xf numFmtId="0" fontId="33" fillId="0" borderId="2" xfId="0" applyFont="1" applyFill="1" applyBorder="1" applyAlignment="1">
      <alignment vertical="center" wrapText="1"/>
    </xf>
    <xf numFmtId="43" fontId="33" fillId="0" borderId="2" xfId="1" applyFont="1" applyBorder="1">
      <alignment vertical="center"/>
    </xf>
    <xf numFmtId="177" fontId="33" fillId="0" borderId="2" xfId="1" applyNumberFormat="1" applyFont="1" applyBorder="1">
      <alignment vertical="center"/>
    </xf>
    <xf numFmtId="0" fontId="32" fillId="0" borderId="2" xfId="0" applyFont="1" applyBorder="1">
      <alignment vertical="center"/>
    </xf>
    <xf numFmtId="0" fontId="43" fillId="0" borderId="2" xfId="0" applyFont="1" applyBorder="1">
      <alignment vertical="center"/>
    </xf>
    <xf numFmtId="0" fontId="33" fillId="0" borderId="6" xfId="0" applyFont="1" applyBorder="1">
      <alignment vertical="center"/>
    </xf>
    <xf numFmtId="0" fontId="45" fillId="0" borderId="0" xfId="0" applyFont="1">
      <alignment vertical="center"/>
    </xf>
    <xf numFmtId="0" fontId="46" fillId="4" borderId="14" xfId="0" applyFont="1" applyFill="1" applyBorder="1" applyAlignment="1">
      <alignment horizontal="center" vertical="center" wrapText="1"/>
    </xf>
    <xf numFmtId="0" fontId="46" fillId="4" borderId="1" xfId="0" applyFont="1" applyFill="1" applyBorder="1" applyAlignment="1">
      <alignment horizontal="center" vertical="center" wrapText="1"/>
    </xf>
    <xf numFmtId="0" fontId="47" fillId="0" borderId="2" xfId="0" applyFont="1" applyBorder="1" applyAlignment="1">
      <alignment horizontal="center" vertical="center" wrapText="1" readingOrder="1"/>
    </xf>
    <xf numFmtId="0" fontId="45" fillId="0" borderId="0" xfId="0" applyFont="1" applyFill="1">
      <alignment vertical="center"/>
    </xf>
    <xf numFmtId="0" fontId="25" fillId="0" borderId="2" xfId="0" applyFont="1" applyBorder="1" applyAlignment="1">
      <alignment horizontal="center" vertical="center" wrapText="1" readingOrder="1"/>
    </xf>
    <xf numFmtId="0" fontId="17" fillId="0" borderId="2" xfId="0" applyFont="1" applyBorder="1" applyAlignment="1">
      <alignment horizontal="left" vertical="center" wrapText="1" readingOrder="1"/>
    </xf>
    <xf numFmtId="0" fontId="25" fillId="0" borderId="6" xfId="0" applyFont="1" applyBorder="1" applyAlignment="1">
      <alignment horizontal="center" vertical="center" wrapText="1" readingOrder="1"/>
    </xf>
    <xf numFmtId="0" fontId="17" fillId="0" borderId="2" xfId="0" applyFont="1" applyFill="1" applyBorder="1" applyAlignment="1">
      <alignment horizontal="left" vertical="center" wrapText="1" readingOrder="1"/>
    </xf>
    <xf numFmtId="0" fontId="25" fillId="0" borderId="10" xfId="0" applyFont="1" applyBorder="1" applyAlignment="1">
      <alignment horizontal="center" vertical="center" wrapText="1" readingOrder="1"/>
    </xf>
    <xf numFmtId="0" fontId="17" fillId="0" borderId="2" xfId="0" applyFont="1" applyBorder="1" applyAlignment="1">
      <alignment horizontal="center" vertical="center" wrapText="1" readingOrder="1"/>
    </xf>
    <xf numFmtId="0" fontId="17" fillId="0" borderId="0" xfId="0" applyFont="1" applyFill="1" applyBorder="1" applyAlignment="1">
      <alignment horizontal="left" vertical="center" wrapText="1" readingOrder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BOM_Level_Below3" xfId="50"/>
    <cellStyle name="常规 11 2" xfId="51"/>
    <cellStyle name="常规 2" xfId="52"/>
    <cellStyle name="常规 2 27" xfId="53"/>
    <cellStyle name="常规_20061221C2项目损益分析（概念稿）" xfId="54"/>
    <cellStyle name="普通_销售收入.XLS" xfId="55"/>
    <cellStyle name="千位分隔 2" xfId="56"/>
    <cellStyle name="千位分隔 2 25" xfId="57"/>
    <cellStyle name="样式 1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1.&#24231;&#26885;&#25253;&#20215;&#36164;&#26009;\M4&#20013;&#25913;\&#31435;&#39033;&#20998;&#26512;202410\M4&#20013;&#25913;&#20986;&#21475;&#39033;&#30446;-&#25237;&#36164;&#25910;&#30410;&#20998;&#26512;A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假设条件"/>
      <sheetName val="现金"/>
      <sheetName val="损益表"/>
      <sheetName val="2024年"/>
      <sheetName val="2025年"/>
      <sheetName val="2026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/>
      <sheetData sheetId="4"/>
      <sheetData sheetId="5"/>
      <sheetData sheetId="6">
        <row r="27">
          <cell r="B27">
            <v>0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zoomScale="80" zoomScaleNormal="80" workbookViewId="0">
      <selection activeCell="C7" sqref="C7"/>
    </sheetView>
  </sheetViews>
  <sheetFormatPr defaultColWidth="9" defaultRowHeight="14" outlineLevelCol="3"/>
  <cols>
    <col min="1" max="1" width="8.87272727272727" customWidth="1"/>
    <col min="2" max="2" width="16.3727272727273" customWidth="1"/>
    <col min="3" max="3" width="89.7545454545455" customWidth="1"/>
  </cols>
  <sheetData>
    <row r="1" ht="25.5" customHeight="1" spans="1:3">
      <c r="A1" s="278" t="str">
        <f>损益表!A1</f>
        <v>豪瀚NX座椅项目投资收益分析</v>
      </c>
      <c r="B1" s="279"/>
      <c r="C1" s="279"/>
    </row>
    <row r="2" s="277" customFormat="1" ht="35.25" customHeight="1" spans="1:4">
      <c r="A2" s="280" t="s">
        <v>0</v>
      </c>
      <c r="B2" s="280" t="s">
        <v>1</v>
      </c>
      <c r="C2" s="280" t="s">
        <v>2</v>
      </c>
      <c r="D2" s="281"/>
    </row>
    <row r="3" s="277" customFormat="1" ht="33.75" customHeight="1" spans="1:4">
      <c r="A3" s="282">
        <v>1</v>
      </c>
      <c r="B3" s="282" t="s">
        <v>3</v>
      </c>
      <c r="C3" s="283" t="s">
        <v>4</v>
      </c>
      <c r="D3" s="281"/>
    </row>
    <row r="4" s="277" customFormat="1" ht="33.75" customHeight="1" spans="1:3">
      <c r="A4" s="282">
        <v>2</v>
      </c>
      <c r="B4" s="282" t="s">
        <v>5</v>
      </c>
      <c r="C4" s="283" t="s">
        <v>6</v>
      </c>
    </row>
    <row r="5" s="277" customFormat="1" ht="33.75" customHeight="1" spans="1:3">
      <c r="A5" s="282">
        <v>3</v>
      </c>
      <c r="B5" s="284" t="s">
        <v>7</v>
      </c>
      <c r="C5" s="285" t="s">
        <v>8</v>
      </c>
    </row>
    <row r="6" s="277" customFormat="1" ht="33.75" customHeight="1" spans="1:3">
      <c r="A6" s="282">
        <v>4</v>
      </c>
      <c r="B6" s="286"/>
      <c r="C6" s="283" t="s">
        <v>9</v>
      </c>
    </row>
    <row r="7" s="277" customFormat="1" ht="33.75" customHeight="1" spans="1:3">
      <c r="A7" s="282">
        <v>5</v>
      </c>
      <c r="B7" s="287" t="s">
        <v>10</v>
      </c>
      <c r="C7" s="283" t="s">
        <v>11</v>
      </c>
    </row>
    <row r="8" s="277" customFormat="1" ht="33.75" customHeight="1" spans="1:3">
      <c r="A8" s="282">
        <v>6</v>
      </c>
      <c r="B8" s="284" t="s">
        <v>12</v>
      </c>
      <c r="C8" s="283" t="s">
        <v>13</v>
      </c>
    </row>
    <row r="9" s="277" customFormat="1" ht="33.75" customHeight="1" spans="1:3">
      <c r="A9" s="282">
        <v>7</v>
      </c>
      <c r="B9" s="286"/>
      <c r="C9" s="283" t="s">
        <v>14</v>
      </c>
    </row>
    <row r="10" s="277" customFormat="1" ht="33.75" customHeight="1" spans="1:3">
      <c r="A10" s="282">
        <v>8</v>
      </c>
      <c r="B10" s="286"/>
      <c r="C10" s="285" t="s">
        <v>15</v>
      </c>
    </row>
    <row r="11" s="277" customFormat="1" ht="33.75" customHeight="1" spans="1:3">
      <c r="A11" s="282">
        <v>9</v>
      </c>
      <c r="B11" s="286"/>
      <c r="C11" s="283" t="s">
        <v>16</v>
      </c>
    </row>
    <row r="12" s="277" customFormat="1" ht="33.75" customHeight="1" spans="1:3">
      <c r="A12" s="282">
        <v>10</v>
      </c>
      <c r="B12" s="287" t="s">
        <v>17</v>
      </c>
      <c r="C12" s="283" t="s">
        <v>18</v>
      </c>
    </row>
    <row r="13" ht="33.75" customHeight="1"/>
    <row r="14" ht="33.75" customHeight="1"/>
    <row r="15" ht="33.75" customHeight="1" spans="3:3">
      <c r="C15" s="288"/>
    </row>
  </sheetData>
  <mergeCells count="3">
    <mergeCell ref="A1:C1"/>
    <mergeCell ref="B5:B6"/>
    <mergeCell ref="B8:B11"/>
  </mergeCells>
  <pageMargins left="0.7" right="0.7" top="0.75" bottom="0.75" header="0.3" footer="0.3"/>
  <pageSetup paperSize="9" scale="75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C7" sqref="C7"/>
    </sheetView>
  </sheetViews>
  <sheetFormatPr defaultColWidth="9" defaultRowHeight="14" outlineLevelCol="4"/>
  <cols>
    <col min="1" max="1" width="9" style="29"/>
    <col min="2" max="2" width="29.6272727272727" style="29" customWidth="1"/>
    <col min="3" max="3" width="25.5" style="29" customWidth="1"/>
    <col min="4" max="4" width="22" style="29" customWidth="1"/>
    <col min="5" max="16384" width="9" style="29"/>
  </cols>
  <sheetData>
    <row r="1" ht="27" customHeight="1" spans="1:4">
      <c r="A1" s="30" t="s">
        <v>21</v>
      </c>
      <c r="B1" s="30" t="s">
        <v>237</v>
      </c>
      <c r="C1" s="30" t="s">
        <v>238</v>
      </c>
      <c r="D1" s="30" t="s">
        <v>239</v>
      </c>
    </row>
    <row r="2" ht="19.5" customHeight="1" spans="1:4">
      <c r="A2" s="30">
        <v>1</v>
      </c>
      <c r="B2" s="31" t="s">
        <v>240</v>
      </c>
      <c r="C2" s="32" t="s">
        <v>241</v>
      </c>
      <c r="D2" s="33"/>
    </row>
    <row r="3" ht="36" customHeight="1" spans="1:4">
      <c r="A3" s="30">
        <v>2</v>
      </c>
      <c r="B3" s="31" t="s">
        <v>242</v>
      </c>
      <c r="C3" s="34" t="s">
        <v>243</v>
      </c>
      <c r="D3" s="33" t="s">
        <v>244</v>
      </c>
    </row>
    <row r="4" ht="19.5" customHeight="1" spans="1:4">
      <c r="A4" s="30">
        <v>3</v>
      </c>
      <c r="B4" s="31" t="s">
        <v>245</v>
      </c>
      <c r="C4" s="32" t="s">
        <v>246</v>
      </c>
      <c r="D4" s="33" t="s">
        <v>247</v>
      </c>
    </row>
    <row r="5" ht="42.75" customHeight="1" spans="1:4">
      <c r="A5" s="30">
        <v>4</v>
      </c>
      <c r="B5" s="31" t="s">
        <v>248</v>
      </c>
      <c r="C5" s="32"/>
      <c r="D5" s="33"/>
    </row>
    <row r="6" ht="39" customHeight="1" spans="1:4">
      <c r="A6" s="30">
        <v>5</v>
      </c>
      <c r="B6" s="31" t="s">
        <v>249</v>
      </c>
      <c r="C6" s="32"/>
      <c r="D6" s="33"/>
    </row>
    <row r="7" ht="27.75" customHeight="1" spans="1:4">
      <c r="A7" s="30">
        <v>6</v>
      </c>
      <c r="B7" s="33" t="s">
        <v>250</v>
      </c>
      <c r="C7" s="34" t="s">
        <v>251</v>
      </c>
      <c r="D7" s="33"/>
    </row>
    <row r="8" ht="36" customHeight="1" spans="1:4">
      <c r="A8" s="30">
        <v>7</v>
      </c>
      <c r="B8" s="31" t="s">
        <v>252</v>
      </c>
      <c r="C8" s="35" t="s">
        <v>253</v>
      </c>
      <c r="D8" s="33"/>
    </row>
    <row r="9" ht="34.5" customHeight="1" spans="1:4">
      <c r="A9" s="30">
        <v>8</v>
      </c>
      <c r="B9" s="33" t="s">
        <v>254</v>
      </c>
      <c r="C9" s="35" t="s">
        <v>255</v>
      </c>
      <c r="D9" s="33"/>
    </row>
    <row r="10" ht="34.5" customHeight="1" spans="1:5">
      <c r="A10" s="30">
        <v>9</v>
      </c>
      <c r="B10" s="33" t="s">
        <v>256</v>
      </c>
      <c r="C10" s="35" t="s">
        <v>255</v>
      </c>
      <c r="D10" s="33"/>
      <c r="E10" s="36"/>
    </row>
    <row r="11" ht="34.5" customHeight="1" spans="1:4">
      <c r="A11" s="30">
        <v>10</v>
      </c>
      <c r="B11" s="33" t="s">
        <v>257</v>
      </c>
      <c r="C11" s="35" t="s">
        <v>258</v>
      </c>
      <c r="D11" s="33" t="s">
        <v>259</v>
      </c>
    </row>
    <row r="12" ht="34.5" customHeight="1" spans="1:4">
      <c r="A12" s="30">
        <v>11</v>
      </c>
      <c r="B12" s="33" t="s">
        <v>260</v>
      </c>
      <c r="C12" s="35" t="s">
        <v>261</v>
      </c>
      <c r="D12" s="33"/>
    </row>
    <row r="13" ht="24" customHeight="1" spans="1:4">
      <c r="A13" s="30">
        <v>12</v>
      </c>
      <c r="B13" s="31" t="s">
        <v>262</v>
      </c>
      <c r="C13" s="35" t="s">
        <v>263</v>
      </c>
      <c r="D13" s="33"/>
    </row>
    <row r="14" ht="24" customHeight="1" spans="1:4">
      <c r="A14" s="30">
        <v>13</v>
      </c>
      <c r="B14" s="31" t="s">
        <v>264</v>
      </c>
      <c r="C14" s="35" t="s">
        <v>265</v>
      </c>
      <c r="D14" s="33"/>
    </row>
    <row r="15" ht="24" customHeight="1" spans="1:4">
      <c r="A15" s="30">
        <v>14</v>
      </c>
      <c r="B15" s="31" t="s">
        <v>266</v>
      </c>
      <c r="C15" s="35" t="s">
        <v>267</v>
      </c>
      <c r="D15" s="33"/>
    </row>
    <row r="16" ht="24" customHeight="1" spans="1:4">
      <c r="A16" s="30">
        <v>15</v>
      </c>
      <c r="B16" s="33" t="s">
        <v>134</v>
      </c>
      <c r="C16" s="33"/>
      <c r="D16" s="33"/>
    </row>
    <row r="17" ht="16.5" spans="2:4">
      <c r="B17" s="37" t="s">
        <v>268</v>
      </c>
      <c r="C17" s="38"/>
      <c r="D17" s="38"/>
    </row>
  </sheetData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F18" sqref="F18"/>
    </sheetView>
  </sheetViews>
  <sheetFormatPr defaultColWidth="9" defaultRowHeight="14"/>
  <cols>
    <col min="1" max="2" width="9" style="2"/>
    <col min="3" max="3" width="14.6272727272727" style="2" customWidth="1"/>
    <col min="4" max="4" width="12.3727272727273" style="2" customWidth="1"/>
    <col min="5" max="7" width="11.1272727272727" style="2" customWidth="1"/>
    <col min="8" max="8" width="11" style="3" customWidth="1"/>
    <col min="9" max="16384" width="9" style="2"/>
  </cols>
  <sheetData>
    <row r="1" s="1" customFormat="1" ht="18.75" customHeight="1" spans="6:8">
      <c r="F1" s="4" t="s">
        <v>269</v>
      </c>
      <c r="G1" s="4"/>
      <c r="H1" s="5"/>
    </row>
    <row r="2" ht="20.25" customHeight="1" spans="1:11">
      <c r="A2" s="6" t="s">
        <v>270</v>
      </c>
      <c r="B2" s="6"/>
      <c r="C2" s="7"/>
      <c r="D2" s="7"/>
      <c r="E2" s="7"/>
      <c r="F2" s="7"/>
      <c r="G2" s="8"/>
      <c r="H2" s="9" t="s">
        <v>271</v>
      </c>
      <c r="J2" s="25"/>
      <c r="K2" s="25"/>
    </row>
    <row r="3" ht="34.5" customHeight="1" spans="1:8">
      <c r="A3" s="6"/>
      <c r="B3" s="6"/>
      <c r="C3" s="10" t="s">
        <v>272</v>
      </c>
      <c r="D3" s="10" t="s">
        <v>273</v>
      </c>
      <c r="E3" s="11" t="s">
        <v>274</v>
      </c>
      <c r="F3" s="11" t="s">
        <v>275</v>
      </c>
      <c r="G3" s="11" t="s">
        <v>276</v>
      </c>
      <c r="H3" s="12">
        <f>销量!C8</f>
        <v>1220</v>
      </c>
    </row>
    <row r="4" spans="1:11">
      <c r="A4" s="13" t="s">
        <v>277</v>
      </c>
      <c r="B4" s="13"/>
      <c r="C4" s="14"/>
      <c r="D4" s="15">
        <f>$H$3*H4</f>
        <v>52.582</v>
      </c>
      <c r="E4" s="16"/>
      <c r="F4" s="16"/>
      <c r="G4" s="17">
        <v>0.06327</v>
      </c>
      <c r="H4" s="3">
        <v>0.0431</v>
      </c>
      <c r="I4" s="26"/>
      <c r="J4" s="27"/>
      <c r="K4" s="27"/>
    </row>
    <row r="5" spans="1:11">
      <c r="A5" s="13" t="s">
        <v>278</v>
      </c>
      <c r="B5" s="13" t="s">
        <v>279</v>
      </c>
      <c r="C5" s="14"/>
      <c r="D5" s="15">
        <f>$H$3*H5</f>
        <v>50.02</v>
      </c>
      <c r="E5" s="17"/>
      <c r="F5" s="16"/>
      <c r="G5" s="17">
        <v>0.08</v>
      </c>
      <c r="H5" s="3">
        <v>0.041</v>
      </c>
      <c r="I5" s="28"/>
      <c r="J5" s="27"/>
      <c r="K5" s="27"/>
    </row>
    <row r="6" spans="1:11">
      <c r="A6" s="13"/>
      <c r="B6" s="13" t="s">
        <v>280</v>
      </c>
      <c r="C6" s="14"/>
      <c r="D6" s="15">
        <f>$H$3*H6</f>
        <v>26.474</v>
      </c>
      <c r="E6" s="16"/>
      <c r="F6" s="16"/>
      <c r="G6" s="17">
        <v>0.02068</v>
      </c>
      <c r="H6" s="3">
        <v>0.0217</v>
      </c>
      <c r="I6" s="26"/>
      <c r="J6" s="27"/>
      <c r="K6" s="27"/>
    </row>
    <row r="7" spans="1:11">
      <c r="A7" s="18" t="s">
        <v>281</v>
      </c>
      <c r="B7" s="8"/>
      <c r="C7" s="19"/>
      <c r="D7" s="15">
        <f>$H$3*H7</f>
        <v>129.076</v>
      </c>
      <c r="E7" s="20"/>
      <c r="F7" s="20"/>
      <c r="G7" s="21">
        <f t="shared" ref="F7:H7" si="0">SUM(G4:G6)</f>
        <v>0.16395</v>
      </c>
      <c r="H7" s="3">
        <f t="shared" si="0"/>
        <v>0.1058</v>
      </c>
      <c r="I7" s="26"/>
      <c r="J7" s="27"/>
      <c r="K7" s="27"/>
    </row>
    <row r="8" spans="1:11">
      <c r="A8" s="13" t="s">
        <v>55</v>
      </c>
      <c r="B8" s="13"/>
      <c r="C8" s="14"/>
      <c r="D8" s="15">
        <f>$H$3*H8</f>
        <v>41.48</v>
      </c>
      <c r="E8" s="22"/>
      <c r="F8" s="16"/>
      <c r="G8" s="17">
        <v>0.0492</v>
      </c>
      <c r="H8" s="3">
        <v>0.034</v>
      </c>
      <c r="I8" s="28"/>
      <c r="J8" s="27"/>
      <c r="K8" s="27"/>
    </row>
    <row r="9" spans="1:11">
      <c r="A9" s="23" t="s">
        <v>282</v>
      </c>
      <c r="B9" s="13" t="s">
        <v>279</v>
      </c>
      <c r="C9" s="14"/>
      <c r="D9" s="15">
        <f>$H$3*H9</f>
        <v>8.54</v>
      </c>
      <c r="E9" s="17"/>
      <c r="F9" s="16"/>
      <c r="G9" s="17">
        <v>0.00949</v>
      </c>
      <c r="H9" s="3">
        <v>0.007</v>
      </c>
      <c r="I9" s="3"/>
      <c r="J9" s="27"/>
      <c r="K9" s="27"/>
    </row>
    <row r="10" spans="1:11">
      <c r="A10" s="24"/>
      <c r="B10" s="13" t="s">
        <v>280</v>
      </c>
      <c r="C10" s="14"/>
      <c r="D10" s="15">
        <f>$H$3*H10</f>
        <v>53.68</v>
      </c>
      <c r="E10" s="3"/>
      <c r="F10" s="16"/>
      <c r="G10" s="17">
        <v>0.0549</v>
      </c>
      <c r="H10" s="3">
        <f>2.8%+1.6%</f>
        <v>0.044</v>
      </c>
      <c r="I10" s="3"/>
      <c r="J10" s="27"/>
      <c r="K10" s="27"/>
    </row>
    <row r="11" spans="1:11">
      <c r="A11" s="13" t="s">
        <v>58</v>
      </c>
      <c r="B11" s="13"/>
      <c r="C11" s="14"/>
      <c r="D11" s="15">
        <f>$H$3*H11</f>
        <v>36.6</v>
      </c>
      <c r="E11" s="17"/>
      <c r="F11" s="16"/>
      <c r="G11" s="17">
        <v>0.0213</v>
      </c>
      <c r="H11" s="3">
        <v>0.03</v>
      </c>
      <c r="I11" s="3"/>
      <c r="J11" s="27"/>
      <c r="K11" s="27"/>
    </row>
  </sheetData>
  <mergeCells count="9">
    <mergeCell ref="F1:G1"/>
    <mergeCell ref="C2:G2"/>
    <mergeCell ref="A4:B4"/>
    <mergeCell ref="A7:B7"/>
    <mergeCell ref="A8:B8"/>
    <mergeCell ref="A11:B11"/>
    <mergeCell ref="A5:A6"/>
    <mergeCell ref="A9:A10"/>
    <mergeCell ref="A2:B3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64"/>
  <sheetViews>
    <sheetView tabSelected="1" workbookViewId="0">
      <pane xSplit="2" ySplit="7" topLeftCell="C8" activePane="bottomRight" state="frozen"/>
      <selection/>
      <selection pane="topRight"/>
      <selection pane="bottomLeft"/>
      <selection pane="bottomRight" activeCell="F25" sqref="F25"/>
    </sheetView>
  </sheetViews>
  <sheetFormatPr defaultColWidth="9" defaultRowHeight="14.5"/>
  <cols>
    <col min="1" max="1" width="5.12727272727273" style="244" customWidth="1"/>
    <col min="2" max="2" width="35.7545454545455" style="244" customWidth="1"/>
    <col min="3" max="5" width="13" style="245" customWidth="1"/>
    <col min="6" max="6" width="15.1272727272727" style="245" customWidth="1"/>
    <col min="7" max="7" width="15.5" style="244" customWidth="1"/>
    <col min="8" max="33" width="9" style="244"/>
    <col min="34" max="34" width="4.37272727272727" style="244" customWidth="1"/>
    <col min="35" max="35" width="13.8727272727273" style="244" customWidth="1"/>
    <col min="36" max="16384" width="9" style="244"/>
  </cols>
  <sheetData>
    <row r="1" ht="27" customHeight="1" spans="1:6">
      <c r="A1" s="246" t="s">
        <v>19</v>
      </c>
      <c r="B1" s="246"/>
      <c r="C1" s="246"/>
      <c r="D1" s="246"/>
      <c r="E1" s="246"/>
      <c r="F1" s="246"/>
    </row>
    <row r="2" s="241" customFormat="1" ht="15.75" customHeight="1" spans="1:6">
      <c r="A2" s="247"/>
      <c r="B2" s="248"/>
      <c r="C2" s="248"/>
      <c r="D2" s="248"/>
      <c r="E2" s="248" t="s">
        <v>20</v>
      </c>
      <c r="F2" s="248"/>
    </row>
    <row r="3" ht="15.75" customHeight="1" spans="1:36">
      <c r="A3" s="249" t="s">
        <v>21</v>
      </c>
      <c r="B3" s="250" t="s">
        <v>1</v>
      </c>
      <c r="C3" s="250" t="s">
        <v>22</v>
      </c>
      <c r="D3" s="250" t="s">
        <v>23</v>
      </c>
      <c r="E3" s="250" t="s">
        <v>24</v>
      </c>
      <c r="F3" s="251" t="s">
        <v>25</v>
      </c>
      <c r="AJ3" s="244" t="s">
        <v>26</v>
      </c>
    </row>
    <row r="4" s="175" customFormat="1" ht="15.75" customHeight="1" spans="1:36">
      <c r="A4" s="252"/>
      <c r="B4" s="186" t="s">
        <v>3</v>
      </c>
      <c r="C4" s="253">
        <f>'2024年'!D6</f>
        <v>200</v>
      </c>
      <c r="D4" s="253">
        <f>'2025年'!D6</f>
        <v>300</v>
      </c>
      <c r="E4" s="253">
        <f>'2026年'!D6</f>
        <v>300</v>
      </c>
      <c r="F4" s="253">
        <f>SUM(C4:E4)</f>
        <v>800</v>
      </c>
      <c r="G4" s="189"/>
      <c r="AH4" s="185" t="s">
        <v>21</v>
      </c>
      <c r="AI4" s="186" t="s">
        <v>3</v>
      </c>
      <c r="AJ4" s="175" t="s">
        <v>27</v>
      </c>
    </row>
    <row r="5" s="175" customFormat="1" ht="15.75" customHeight="1" spans="1:36">
      <c r="A5" s="177">
        <v>1</v>
      </c>
      <c r="B5" s="186" t="s">
        <v>28</v>
      </c>
      <c r="C5" s="253">
        <f>'2024年'!D7</f>
        <v>244000</v>
      </c>
      <c r="D5" s="253">
        <f>'2025年'!D7</f>
        <v>366000</v>
      </c>
      <c r="E5" s="253">
        <f>'2026年'!D7</f>
        <v>366000</v>
      </c>
      <c r="F5" s="253">
        <f t="shared" ref="F5:F12" si="0">SUM(C5:E5)</f>
        <v>976000</v>
      </c>
      <c r="G5" s="189"/>
      <c r="AH5" s="185" t="s">
        <v>29</v>
      </c>
      <c r="AI5" s="186" t="s">
        <v>28</v>
      </c>
      <c r="AJ5" s="175" t="s">
        <v>27</v>
      </c>
    </row>
    <row r="6" s="175" customFormat="1" ht="15.75" customHeight="1" spans="1:36">
      <c r="A6" s="177">
        <v>2</v>
      </c>
      <c r="B6" s="177" t="s">
        <v>30</v>
      </c>
      <c r="C6" s="253">
        <f>'2024年'!D8</f>
        <v>0</v>
      </c>
      <c r="D6" s="253">
        <f>'2025年'!D8</f>
        <v>14640</v>
      </c>
      <c r="E6" s="253">
        <f>'2026年'!D8</f>
        <v>28694.4</v>
      </c>
      <c r="F6" s="253">
        <f t="shared" si="0"/>
        <v>43334.4</v>
      </c>
      <c r="G6" s="189"/>
      <c r="AH6" s="185" t="s">
        <v>31</v>
      </c>
      <c r="AI6" s="177" t="s">
        <v>32</v>
      </c>
      <c r="AJ6" s="175" t="s">
        <v>27</v>
      </c>
    </row>
    <row r="7" s="175" customFormat="1" ht="15.75" customHeight="1" spans="1:36">
      <c r="A7" s="177">
        <v>3</v>
      </c>
      <c r="B7" s="186" t="s">
        <v>33</v>
      </c>
      <c r="C7" s="253">
        <f>'2024年'!D9</f>
        <v>244000</v>
      </c>
      <c r="D7" s="253">
        <f>'2025年'!D9</f>
        <v>351360</v>
      </c>
      <c r="E7" s="253">
        <f>'2026年'!D9</f>
        <v>337305.6</v>
      </c>
      <c r="F7" s="253">
        <f t="shared" si="0"/>
        <v>932665.6</v>
      </c>
      <c r="G7" s="189"/>
      <c r="AH7" s="185" t="s">
        <v>34</v>
      </c>
      <c r="AI7" s="186" t="s">
        <v>33</v>
      </c>
      <c r="AJ7" s="175" t="s">
        <v>35</v>
      </c>
    </row>
    <row r="8" s="175" customFormat="1" ht="15.75" customHeight="1" spans="1:36">
      <c r="A8" s="177">
        <v>4</v>
      </c>
      <c r="B8" s="185" t="s">
        <v>36</v>
      </c>
      <c r="C8" s="253">
        <f>'2024年'!D10</f>
        <v>171800</v>
      </c>
      <c r="D8" s="253">
        <f>'2025年'!D10</f>
        <v>247392</v>
      </c>
      <c r="E8" s="253">
        <f>'2026年'!D10</f>
        <v>237496.32</v>
      </c>
      <c r="F8" s="253">
        <f t="shared" si="0"/>
        <v>656688.32</v>
      </c>
      <c r="G8" s="189"/>
      <c r="AH8" s="185" t="s">
        <v>37</v>
      </c>
      <c r="AI8" s="185" t="s">
        <v>36</v>
      </c>
      <c r="AJ8" s="175" t="s">
        <v>38</v>
      </c>
    </row>
    <row r="9" s="175" customFormat="1" ht="15.75" customHeight="1" spans="1:35">
      <c r="A9" s="177">
        <v>5</v>
      </c>
      <c r="B9" s="185" t="s">
        <v>39</v>
      </c>
      <c r="C9" s="253">
        <f>'2024年'!D11</f>
        <v>10516.4</v>
      </c>
      <c r="D9" s="253">
        <f>'2025年'!D11</f>
        <v>15774.6</v>
      </c>
      <c r="E9" s="253">
        <f>'2026年'!D11</f>
        <v>15774.6</v>
      </c>
      <c r="F9" s="253">
        <f t="shared" si="0"/>
        <v>42065.6</v>
      </c>
      <c r="G9" s="189"/>
      <c r="AH9" s="185" t="s">
        <v>40</v>
      </c>
      <c r="AI9" s="185" t="s">
        <v>39</v>
      </c>
    </row>
    <row r="10" s="175" customFormat="1" ht="15.75" customHeight="1" spans="1:35">
      <c r="A10" s="177">
        <v>6</v>
      </c>
      <c r="B10" s="185" t="s">
        <v>41</v>
      </c>
      <c r="C10" s="253">
        <f>'2024年'!D12</f>
        <v>5294.8</v>
      </c>
      <c r="D10" s="253">
        <f>'2025年'!D12</f>
        <v>7942.2</v>
      </c>
      <c r="E10" s="253">
        <f>'2026年'!D12</f>
        <v>7942.2</v>
      </c>
      <c r="F10" s="253">
        <f t="shared" si="0"/>
        <v>21179.2</v>
      </c>
      <c r="G10" s="189"/>
      <c r="AH10" s="185" t="s">
        <v>42</v>
      </c>
      <c r="AI10" s="185" t="s">
        <v>41</v>
      </c>
    </row>
    <row r="11" s="175" customFormat="1" ht="15.75" customHeight="1" spans="1:36">
      <c r="A11" s="177">
        <v>7</v>
      </c>
      <c r="B11" s="254" t="s">
        <v>43</v>
      </c>
      <c r="C11" s="253">
        <f>'2024年'!D13</f>
        <v>10736</v>
      </c>
      <c r="D11" s="253">
        <f>'2025年'!D13</f>
        <v>16104</v>
      </c>
      <c r="E11" s="253">
        <f>'2026年'!D13</f>
        <v>16104</v>
      </c>
      <c r="F11" s="253">
        <f t="shared" si="0"/>
        <v>42944</v>
      </c>
      <c r="G11" s="189"/>
      <c r="AH11" s="185" t="s">
        <v>44</v>
      </c>
      <c r="AI11" s="185" t="s">
        <v>43</v>
      </c>
      <c r="AJ11" s="175" t="s">
        <v>27</v>
      </c>
    </row>
    <row r="12" s="175" customFormat="1" ht="15.75" customHeight="1" spans="1:35">
      <c r="A12" s="177">
        <v>8</v>
      </c>
      <c r="B12" s="255" t="s">
        <v>45</v>
      </c>
      <c r="C12" s="256">
        <f>SUM(C9:C11)</f>
        <v>26547.2</v>
      </c>
      <c r="D12" s="256">
        <f>SUM(D9:D11)</f>
        <v>39820.8</v>
      </c>
      <c r="E12" s="256">
        <f>SUM(E9:E11)</f>
        <v>39820.8</v>
      </c>
      <c r="F12" s="257">
        <f>SUM(C12:E12)</f>
        <v>106188.8</v>
      </c>
      <c r="G12" s="189"/>
      <c r="AH12" s="185" t="s">
        <v>46</v>
      </c>
      <c r="AI12" s="190" t="s">
        <v>45</v>
      </c>
    </row>
    <row r="13" s="175" customFormat="1" ht="15.75" customHeight="1" spans="1:35">
      <c r="A13" s="177">
        <v>9</v>
      </c>
      <c r="B13" s="258" t="s">
        <v>47</v>
      </c>
      <c r="C13" s="253">
        <f>'2024年'!D15</f>
        <v>45652.8</v>
      </c>
      <c r="D13" s="253">
        <f>'2025年'!D15</f>
        <v>64147.2</v>
      </c>
      <c r="E13" s="253">
        <f>'2026年'!D15</f>
        <v>59988.48</v>
      </c>
      <c r="F13" s="253">
        <f>F7-F8-F12</f>
        <v>169788.48</v>
      </c>
      <c r="G13" s="189"/>
      <c r="I13" s="244"/>
      <c r="J13" s="244"/>
      <c r="K13" s="244"/>
      <c r="L13" s="244"/>
      <c r="M13" s="244"/>
      <c r="N13" s="244"/>
      <c r="AH13" s="185" t="s">
        <v>48</v>
      </c>
      <c r="AI13" s="190" t="s">
        <v>47</v>
      </c>
    </row>
    <row r="14" ht="15.75" customHeight="1" spans="1:35">
      <c r="A14" s="177">
        <v>10</v>
      </c>
      <c r="B14" s="259" t="s">
        <v>49</v>
      </c>
      <c r="C14" s="253">
        <f>'2024年'!D16</f>
        <v>0.187101639344262</v>
      </c>
      <c r="D14" s="253">
        <f>'2025年'!D16</f>
        <v>0.182568306010929</v>
      </c>
      <c r="E14" s="253">
        <f>'2026年'!D16</f>
        <v>0.177846083788707</v>
      </c>
      <c r="F14" s="260">
        <f>+F13/F7</f>
        <v>0.182046469817263</v>
      </c>
      <c r="G14" s="189"/>
      <c r="AH14" s="259" t="s">
        <v>50</v>
      </c>
      <c r="AI14" s="259" t="s">
        <v>49</v>
      </c>
    </row>
    <row r="15" ht="15.75" customHeight="1" spans="1:35">
      <c r="A15" s="177">
        <v>11</v>
      </c>
      <c r="B15" s="259" t="s">
        <v>51</v>
      </c>
      <c r="C15" s="253">
        <f>'2024年'!D17</f>
        <v>10004</v>
      </c>
      <c r="D15" s="253">
        <f>'2025年'!D17</f>
        <v>15006</v>
      </c>
      <c r="E15" s="253">
        <f>'2026年'!D17</f>
        <v>15006</v>
      </c>
      <c r="F15" s="253">
        <f>SUM(C15:E15)</f>
        <v>40016</v>
      </c>
      <c r="G15" s="189"/>
      <c r="AH15" s="259" t="s">
        <v>52</v>
      </c>
      <c r="AI15" s="259" t="s">
        <v>51</v>
      </c>
    </row>
    <row r="16" ht="15.75" hidden="1" customHeight="1" spans="1:35">
      <c r="A16" s="177"/>
      <c r="B16" s="259"/>
      <c r="C16" s="253">
        <f>'2024年'!D18</f>
        <v>0</v>
      </c>
      <c r="D16" s="253">
        <f>'2025年'!D18</f>
        <v>0</v>
      </c>
      <c r="E16" s="253">
        <f>'2026年'!D18</f>
        <v>0</v>
      </c>
      <c r="F16" s="253"/>
      <c r="G16" s="189"/>
      <c r="AH16" s="259"/>
      <c r="AI16" s="259"/>
    </row>
    <row r="17" ht="15.75" customHeight="1" spans="1:36">
      <c r="A17" s="177">
        <v>12</v>
      </c>
      <c r="B17" s="259" t="s">
        <v>53</v>
      </c>
      <c r="C17" s="253">
        <f>'2024年'!D19</f>
        <v>1708</v>
      </c>
      <c r="D17" s="253">
        <f>'2025年'!D19</f>
        <v>2562</v>
      </c>
      <c r="E17" s="253">
        <f>'2026年'!D19</f>
        <v>2562</v>
      </c>
      <c r="F17" s="253">
        <f>SUM(C17:E17)</f>
        <v>6832</v>
      </c>
      <c r="G17" s="189"/>
      <c r="O17" s="189"/>
      <c r="AH17" s="259" t="s">
        <v>54</v>
      </c>
      <c r="AI17" s="259" t="s">
        <v>53</v>
      </c>
      <c r="AJ17" s="244" t="s">
        <v>27</v>
      </c>
    </row>
    <row r="18" ht="15.75" customHeight="1" spans="1:35">
      <c r="A18" s="177">
        <v>13</v>
      </c>
      <c r="B18" s="259" t="s">
        <v>55</v>
      </c>
      <c r="C18" s="253">
        <f>'2024年'!D20</f>
        <v>8296</v>
      </c>
      <c r="D18" s="253">
        <f>'2025年'!D20</f>
        <v>12444</v>
      </c>
      <c r="E18" s="253">
        <f>'2026年'!D20</f>
        <v>12444</v>
      </c>
      <c r="F18" s="253">
        <f>SUM(C18:E18)</f>
        <v>33184</v>
      </c>
      <c r="G18" s="189"/>
      <c r="AH18" s="259" t="s">
        <v>56</v>
      </c>
      <c r="AI18" s="259" t="s">
        <v>55</v>
      </c>
    </row>
    <row r="19" s="174" customFormat="1" ht="15.75" customHeight="1" spans="1:35">
      <c r="A19" s="177">
        <v>14</v>
      </c>
      <c r="B19" s="196" t="s">
        <v>57</v>
      </c>
      <c r="C19" s="253">
        <f>'2024年'!D21</f>
        <v>39166.6666666667</v>
      </c>
      <c r="D19" s="253">
        <f>'2025年'!D21</f>
        <v>39166.6666666667</v>
      </c>
      <c r="E19" s="253">
        <f>'2026年'!D21</f>
        <v>39166.6666666667</v>
      </c>
      <c r="F19" s="253">
        <f>SUM(C19:E19)</f>
        <v>117500</v>
      </c>
      <c r="G19" s="189"/>
      <c r="AH19" s="196"/>
      <c r="AI19" s="196"/>
    </row>
    <row r="20" s="175" customFormat="1" ht="15.75" customHeight="1" spans="1:35">
      <c r="A20" s="177">
        <v>15</v>
      </c>
      <c r="B20" s="185" t="s">
        <v>58</v>
      </c>
      <c r="C20" s="253">
        <f>'2024年'!D22</f>
        <v>7320</v>
      </c>
      <c r="D20" s="253">
        <f>'2025年'!D22</f>
        <v>10980</v>
      </c>
      <c r="E20" s="253">
        <f>'2026年'!D22</f>
        <v>10980</v>
      </c>
      <c r="F20" s="253">
        <f>SUM(C20:E20)</f>
        <v>29280</v>
      </c>
      <c r="G20" s="189"/>
      <c r="AH20" s="185" t="s">
        <v>59</v>
      </c>
      <c r="AI20" s="185" t="s">
        <v>58</v>
      </c>
    </row>
    <row r="21" s="242" customFormat="1" ht="15.75" customHeight="1" spans="1:35">
      <c r="A21" s="177">
        <v>16</v>
      </c>
      <c r="B21" s="261" t="s">
        <v>60</v>
      </c>
      <c r="C21" s="256">
        <f>+C20+C19+C18+C17+C15</f>
        <v>66494.6666666667</v>
      </c>
      <c r="D21" s="256">
        <f>+D20+D19+D18+D17+D15</f>
        <v>80158.6666666667</v>
      </c>
      <c r="E21" s="256">
        <f>+E20+E19+E18+E17+E15</f>
        <v>80158.6666666667</v>
      </c>
      <c r="F21" s="257">
        <f>SUM(C21:E21)</f>
        <v>226812</v>
      </c>
      <c r="G21" s="189"/>
      <c r="AH21" s="274" t="s">
        <v>61</v>
      </c>
      <c r="AI21" s="275" t="s">
        <v>60</v>
      </c>
    </row>
    <row r="22" ht="15.75" customHeight="1" spans="1:35">
      <c r="A22" s="177">
        <v>17</v>
      </c>
      <c r="B22" s="259" t="s">
        <v>62</v>
      </c>
      <c r="C22" s="253">
        <f>'2024年'!D24</f>
        <v>-20841.8666666667</v>
      </c>
      <c r="D22" s="262">
        <f>'2025年'!D24</f>
        <v>-16011.4666666667</v>
      </c>
      <c r="E22" s="262">
        <f>'2026年'!D24</f>
        <v>-20170.1866666667</v>
      </c>
      <c r="F22" s="262">
        <f>+F13-F21</f>
        <v>-57023.5200000001</v>
      </c>
      <c r="G22" s="189"/>
      <c r="AH22" s="259" t="s">
        <v>63</v>
      </c>
      <c r="AI22" s="259" t="s">
        <v>62</v>
      </c>
    </row>
    <row r="23" ht="15.75" customHeight="1" spans="1:35">
      <c r="A23" s="177">
        <v>18</v>
      </c>
      <c r="B23" s="259" t="s">
        <v>64</v>
      </c>
      <c r="C23" s="262">
        <f>'2024年'!D25</f>
        <v>0</v>
      </c>
      <c r="D23" s="262">
        <f>'2025年'!D25</f>
        <v>0</v>
      </c>
      <c r="E23" s="262">
        <f>'2026年'!D25</f>
        <v>0</v>
      </c>
      <c r="F23" s="262">
        <f>IF(F22&lt;0,0,F22*0.15)</f>
        <v>0</v>
      </c>
      <c r="G23" s="189"/>
      <c r="AH23" s="259" t="s">
        <v>65</v>
      </c>
      <c r="AI23" s="259" t="s">
        <v>64</v>
      </c>
    </row>
    <row r="24" ht="15.75" customHeight="1" spans="1:35">
      <c r="A24" s="177">
        <v>19</v>
      </c>
      <c r="B24" s="259" t="s">
        <v>66</v>
      </c>
      <c r="C24" s="262">
        <f>'2024年'!D26</f>
        <v>-20841.8666666667</v>
      </c>
      <c r="D24" s="262">
        <f>'2025年'!D26</f>
        <v>-16011.4666666667</v>
      </c>
      <c r="E24" s="262">
        <f>'2026年'!D26</f>
        <v>-20170.1866666667</v>
      </c>
      <c r="F24" s="262">
        <f>F22-F23</f>
        <v>-57023.5200000001</v>
      </c>
      <c r="G24" s="189"/>
      <c r="AH24" s="259" t="s">
        <v>67</v>
      </c>
      <c r="AI24" s="259" t="s">
        <v>66</v>
      </c>
    </row>
    <row r="25" ht="15.75" customHeight="1" spans="1:35">
      <c r="A25" s="177">
        <v>20</v>
      </c>
      <c r="B25" s="259" t="s">
        <v>68</v>
      </c>
      <c r="C25" s="263">
        <f t="shared" ref="C25:F25" si="1">C24/C7</f>
        <v>-0.0854174863387978</v>
      </c>
      <c r="D25" s="263">
        <f t="shared" si="1"/>
        <v>-0.0455699757134184</v>
      </c>
      <c r="E25" s="263">
        <f t="shared" si="1"/>
        <v>-0.0597979596741551</v>
      </c>
      <c r="F25" s="263">
        <f t="shared" si="1"/>
        <v>-0.0611403701390939</v>
      </c>
      <c r="G25" s="189"/>
      <c r="AH25" s="276" t="s">
        <v>69</v>
      </c>
      <c r="AI25" s="276" t="s">
        <v>70</v>
      </c>
    </row>
    <row r="26" s="243" customFormat="1" ht="15.75" customHeight="1" spans="3:7">
      <c r="C26" s="264"/>
      <c r="D26" s="264"/>
      <c r="E26" s="264"/>
      <c r="F26" s="264"/>
      <c r="G26" s="265"/>
    </row>
    <row r="27" s="243" customFormat="1" ht="15.75" customHeight="1" spans="1:34">
      <c r="A27" s="243" t="s">
        <v>71</v>
      </c>
      <c r="C27" s="266"/>
      <c r="D27" s="266"/>
      <c r="E27" s="266"/>
      <c r="F27" s="266"/>
      <c r="G27" s="265"/>
      <c r="AH27" s="243" t="s">
        <v>71</v>
      </c>
    </row>
    <row r="28" ht="15.75" customHeight="1" spans="1:36">
      <c r="A28" s="259" t="s">
        <v>21</v>
      </c>
      <c r="B28" s="267" t="s">
        <v>1</v>
      </c>
      <c r="C28" s="250" t="s">
        <v>22</v>
      </c>
      <c r="D28" s="250" t="s">
        <v>23</v>
      </c>
      <c r="E28" s="250" t="s">
        <v>24</v>
      </c>
      <c r="F28" s="251" t="s">
        <v>25</v>
      </c>
      <c r="AJ28" s="244" t="s">
        <v>26</v>
      </c>
    </row>
    <row r="29" s="175" customFormat="1" ht="15.75" customHeight="1" spans="1:35">
      <c r="A29" s="185" t="s">
        <v>72</v>
      </c>
      <c r="B29" s="190" t="s">
        <v>73</v>
      </c>
      <c r="C29" s="195"/>
      <c r="D29" s="195"/>
      <c r="E29" s="195"/>
      <c r="F29" s="195"/>
      <c r="G29" s="189"/>
      <c r="AH29" s="185" t="s">
        <v>74</v>
      </c>
      <c r="AI29" s="190" t="s">
        <v>73</v>
      </c>
    </row>
    <row r="30" s="175" customFormat="1" ht="15.75" customHeight="1" spans="1:35">
      <c r="A30" s="185" t="s">
        <v>29</v>
      </c>
      <c r="B30" s="185" t="s">
        <v>75</v>
      </c>
      <c r="C30" s="188">
        <f>+C7/C4</f>
        <v>1220</v>
      </c>
      <c r="D30" s="188">
        <f>+D7/D4</f>
        <v>1171.2</v>
      </c>
      <c r="E30" s="188">
        <f>+E7/E4</f>
        <v>1124.352</v>
      </c>
      <c r="F30" s="188">
        <f>+F7/F4</f>
        <v>1165.832</v>
      </c>
      <c r="G30" s="189"/>
      <c r="AH30" s="185" t="s">
        <v>29</v>
      </c>
      <c r="AI30" s="185" t="s">
        <v>75</v>
      </c>
    </row>
    <row r="31" s="175" customFormat="1" ht="15.75" customHeight="1" spans="1:35">
      <c r="A31" s="185" t="s">
        <v>31</v>
      </c>
      <c r="B31" s="185" t="s">
        <v>76</v>
      </c>
      <c r="C31" s="188">
        <f>+C8/C4</f>
        <v>859</v>
      </c>
      <c r="D31" s="188">
        <f>+D8/D4</f>
        <v>824.64</v>
      </c>
      <c r="E31" s="188">
        <f>+E8/E4</f>
        <v>791.6544</v>
      </c>
      <c r="F31" s="188">
        <f>+F8/F4</f>
        <v>820.8604</v>
      </c>
      <c r="G31" s="189"/>
      <c r="AH31" s="185" t="s">
        <v>31</v>
      </c>
      <c r="AI31" s="185" t="s">
        <v>76</v>
      </c>
    </row>
    <row r="32" s="175" customFormat="1" ht="15.75" customHeight="1" spans="1:35">
      <c r="A32" s="185" t="s">
        <v>77</v>
      </c>
      <c r="B32" s="185" t="s">
        <v>78</v>
      </c>
      <c r="C32" s="195">
        <f>C30-C31</f>
        <v>361</v>
      </c>
      <c r="D32" s="195">
        <f>D30-D31</f>
        <v>346.56</v>
      </c>
      <c r="E32" s="195">
        <f>E30-E31</f>
        <v>332.6976</v>
      </c>
      <c r="F32" s="195">
        <f>F30-F31</f>
        <v>344.9716</v>
      </c>
      <c r="G32" s="189"/>
      <c r="AH32" s="185" t="s">
        <v>77</v>
      </c>
      <c r="AI32" s="185" t="s">
        <v>78</v>
      </c>
    </row>
    <row r="33" s="175" customFormat="1" ht="15.75" customHeight="1" spans="1:35">
      <c r="A33" s="185">
        <v>3.1</v>
      </c>
      <c r="B33" s="185" t="s">
        <v>79</v>
      </c>
      <c r="C33" s="268">
        <f>C32/C30</f>
        <v>0.295901639344262</v>
      </c>
      <c r="D33" s="268">
        <f>D32/D30</f>
        <v>0.295901639344262</v>
      </c>
      <c r="E33" s="268">
        <f>E32/E30</f>
        <v>0.295901639344262</v>
      </c>
      <c r="F33" s="268">
        <f>F32/F30</f>
        <v>0.295901639344262</v>
      </c>
      <c r="G33" s="189"/>
      <c r="AH33" s="185"/>
      <c r="AI33" s="185"/>
    </row>
    <row r="34" s="175" customFormat="1" ht="15.75" customHeight="1" spans="1:35">
      <c r="A34" s="185" t="s">
        <v>74</v>
      </c>
      <c r="B34" s="190" t="s">
        <v>10</v>
      </c>
      <c r="C34" s="195"/>
      <c r="D34" s="195"/>
      <c r="E34" s="195"/>
      <c r="F34" s="195"/>
      <c r="G34" s="189"/>
      <c r="AH34" s="185" t="s">
        <v>80</v>
      </c>
      <c r="AI34" s="190" t="s">
        <v>10</v>
      </c>
    </row>
    <row r="35" s="175" customFormat="1" ht="15.75" customHeight="1" spans="1:35">
      <c r="A35" s="185" t="s">
        <v>29</v>
      </c>
      <c r="B35" s="196" t="s">
        <v>81</v>
      </c>
      <c r="C35" s="188">
        <f>+C9/C4</f>
        <v>52.582</v>
      </c>
      <c r="D35" s="188">
        <f>+D9/D4</f>
        <v>52.582</v>
      </c>
      <c r="E35" s="188">
        <f>+E9/E4</f>
        <v>52.582</v>
      </c>
      <c r="F35" s="188">
        <f>+F9/F4</f>
        <v>52.582</v>
      </c>
      <c r="G35" s="189"/>
      <c r="AH35" s="185" t="s">
        <v>77</v>
      </c>
      <c r="AI35" s="185" t="s">
        <v>81</v>
      </c>
    </row>
    <row r="36" s="175" customFormat="1" ht="15.75" customHeight="1" spans="1:35">
      <c r="A36" s="185" t="s">
        <v>31</v>
      </c>
      <c r="B36" s="196" t="s">
        <v>82</v>
      </c>
      <c r="C36" s="188">
        <f>+C10/C4</f>
        <v>26.474</v>
      </c>
      <c r="D36" s="188">
        <f>+D10/D4</f>
        <v>26.474</v>
      </c>
      <c r="E36" s="188">
        <f>+E10/E4</f>
        <v>26.474</v>
      </c>
      <c r="F36" s="188">
        <f>+F10/F4</f>
        <v>26.474</v>
      </c>
      <c r="G36" s="189"/>
      <c r="AH36" s="185" t="s">
        <v>34</v>
      </c>
      <c r="AI36" s="185" t="s">
        <v>82</v>
      </c>
    </row>
    <row r="37" s="175" customFormat="1" ht="15.75" customHeight="1" spans="1:35">
      <c r="A37" s="185" t="s">
        <v>77</v>
      </c>
      <c r="B37" s="196" t="s">
        <v>83</v>
      </c>
      <c r="C37" s="188">
        <f>+C11/C4</f>
        <v>53.68</v>
      </c>
      <c r="D37" s="188">
        <f>+D11/D4</f>
        <v>53.68</v>
      </c>
      <c r="E37" s="188">
        <f>+E11/E4</f>
        <v>53.68</v>
      </c>
      <c r="F37" s="188">
        <f>+F11/F4</f>
        <v>53.68</v>
      </c>
      <c r="G37" s="189"/>
      <c r="AH37" s="185" t="s">
        <v>40</v>
      </c>
      <c r="AI37" s="185" t="s">
        <v>83</v>
      </c>
    </row>
    <row r="38" s="175" customFormat="1" ht="15.75" customHeight="1" spans="1:35">
      <c r="A38" s="185" t="s">
        <v>84</v>
      </c>
      <c r="B38" s="258" t="s">
        <v>85</v>
      </c>
      <c r="C38" s="188"/>
      <c r="D38" s="188"/>
      <c r="E38" s="188"/>
      <c r="F38" s="188"/>
      <c r="G38" s="189"/>
      <c r="AH38" s="185" t="s">
        <v>84</v>
      </c>
      <c r="AI38" s="190" t="s">
        <v>85</v>
      </c>
    </row>
    <row r="39" s="175" customFormat="1" spans="1:35">
      <c r="A39" s="185" t="s">
        <v>29</v>
      </c>
      <c r="B39" s="196" t="s">
        <v>86</v>
      </c>
      <c r="C39" s="188">
        <f>+C13/C4</f>
        <v>228.264</v>
      </c>
      <c r="D39" s="188">
        <f>+D13/D4</f>
        <v>213.824</v>
      </c>
      <c r="E39" s="188">
        <f>+E13/E4</f>
        <v>199.9616</v>
      </c>
      <c r="F39" s="188">
        <f>+F13/F4</f>
        <v>212.2356</v>
      </c>
      <c r="G39" s="189"/>
      <c r="AH39" s="185" t="s">
        <v>29</v>
      </c>
      <c r="AI39" s="185" t="s">
        <v>86</v>
      </c>
    </row>
    <row r="40" s="175" customFormat="1" ht="15.75" customHeight="1" spans="1:35">
      <c r="A40" s="185" t="s">
        <v>31</v>
      </c>
      <c r="B40" s="196" t="s">
        <v>87</v>
      </c>
      <c r="C40" s="253">
        <f>+C21/C39</f>
        <v>291.305973200621</v>
      </c>
      <c r="D40" s="253">
        <f>+D21/D39</f>
        <v>374.881522498254</v>
      </c>
      <c r="E40" s="253">
        <f>+E21/E39</f>
        <v>400.870300431016</v>
      </c>
      <c r="F40" s="269">
        <f>+F21/F39</f>
        <v>1068.68027795525</v>
      </c>
      <c r="G40" s="189"/>
      <c r="AH40" s="185" t="s">
        <v>31</v>
      </c>
      <c r="AI40" s="185" t="s">
        <v>87</v>
      </c>
    </row>
    <row r="41" s="175" customFormat="1" ht="15.75" customHeight="1" spans="1:35">
      <c r="A41" s="185" t="s">
        <v>88</v>
      </c>
      <c r="B41" s="190" t="s">
        <v>89</v>
      </c>
      <c r="C41" s="195"/>
      <c r="D41" s="195"/>
      <c r="E41" s="195"/>
      <c r="F41" s="195"/>
      <c r="G41" s="189"/>
      <c r="AH41" s="185" t="s">
        <v>88</v>
      </c>
      <c r="AI41" s="190" t="s">
        <v>89</v>
      </c>
    </row>
    <row r="42" s="175" customFormat="1" ht="15.75" customHeight="1" spans="1:35">
      <c r="A42" s="185" t="s">
        <v>29</v>
      </c>
      <c r="B42" s="185" t="s">
        <v>90</v>
      </c>
      <c r="C42" s="195">
        <f>+C15/C4</f>
        <v>50.02</v>
      </c>
      <c r="D42" s="195">
        <f>+D15/D4</f>
        <v>50.02</v>
      </c>
      <c r="E42" s="195">
        <f>+E15/E4</f>
        <v>50.02</v>
      </c>
      <c r="F42" s="195">
        <f>+F15/F4</f>
        <v>50.02</v>
      </c>
      <c r="G42" s="189"/>
      <c r="AH42" s="185" t="s">
        <v>29</v>
      </c>
      <c r="AI42" s="185" t="s">
        <v>90</v>
      </c>
    </row>
    <row r="43" s="175" customFormat="1" ht="15.75" customHeight="1" spans="1:35">
      <c r="A43" s="185" t="s">
        <v>31</v>
      </c>
      <c r="B43" s="185" t="s">
        <v>91</v>
      </c>
      <c r="C43" s="195">
        <f>+C17/C4</f>
        <v>8.54</v>
      </c>
      <c r="D43" s="195">
        <f>+D17/D4</f>
        <v>8.54</v>
      </c>
      <c r="E43" s="195">
        <f>+E17/E4</f>
        <v>8.54</v>
      </c>
      <c r="F43" s="195">
        <f>+F17/F4</f>
        <v>8.54</v>
      </c>
      <c r="G43" s="189"/>
      <c r="AH43" s="185" t="s">
        <v>31</v>
      </c>
      <c r="AI43" s="185" t="s">
        <v>91</v>
      </c>
    </row>
    <row r="44" s="175" customFormat="1" ht="15.75" customHeight="1" spans="1:35">
      <c r="A44" s="185" t="s">
        <v>77</v>
      </c>
      <c r="B44" s="185" t="s">
        <v>92</v>
      </c>
      <c r="C44" s="195">
        <f>+C18/C4</f>
        <v>41.48</v>
      </c>
      <c r="D44" s="195">
        <f>+D18/D4</f>
        <v>41.48</v>
      </c>
      <c r="E44" s="195">
        <f>+E18/E4</f>
        <v>41.48</v>
      </c>
      <c r="F44" s="195">
        <f>+F18/F4</f>
        <v>41.48</v>
      </c>
      <c r="G44" s="189"/>
      <c r="AH44" s="185" t="s">
        <v>77</v>
      </c>
      <c r="AI44" s="185" t="s">
        <v>92</v>
      </c>
    </row>
    <row r="45" s="175" customFormat="1" ht="15.75" customHeight="1" spans="1:35">
      <c r="A45" s="185" t="s">
        <v>34</v>
      </c>
      <c r="B45" s="185" t="s">
        <v>93</v>
      </c>
      <c r="C45" s="195">
        <f>C19/C4</f>
        <v>195.833333333333</v>
      </c>
      <c r="D45" s="195">
        <f>D19/D4</f>
        <v>130.555555555556</v>
      </c>
      <c r="E45" s="195">
        <f>E19/E4</f>
        <v>130.555555555556</v>
      </c>
      <c r="F45" s="195"/>
      <c r="G45" s="189"/>
      <c r="AH45" s="185" t="s">
        <v>34</v>
      </c>
      <c r="AI45" s="185" t="s">
        <v>94</v>
      </c>
    </row>
    <row r="46" s="175" customFormat="1" ht="15.75" customHeight="1" spans="1:35">
      <c r="A46" s="185" t="s">
        <v>37</v>
      </c>
      <c r="B46" s="185" t="s">
        <v>95</v>
      </c>
      <c r="C46" s="195">
        <f>C20/C4</f>
        <v>36.6</v>
      </c>
      <c r="D46" s="195">
        <f>D20/D4</f>
        <v>36.6</v>
      </c>
      <c r="E46" s="195">
        <f>E20/E4</f>
        <v>36.6</v>
      </c>
      <c r="F46" s="195"/>
      <c r="G46" s="189"/>
      <c r="AH46" s="185" t="s">
        <v>37</v>
      </c>
      <c r="AI46" s="185" t="s">
        <v>95</v>
      </c>
    </row>
    <row r="47" s="175" customFormat="1" ht="15.75" customHeight="1" spans="1:35">
      <c r="A47" s="185" t="s">
        <v>96</v>
      </c>
      <c r="B47" s="190" t="s">
        <v>97</v>
      </c>
      <c r="C47" s="195"/>
      <c r="D47" s="195"/>
      <c r="E47" s="195"/>
      <c r="F47" s="195"/>
      <c r="G47" s="189"/>
      <c r="AH47" s="185" t="s">
        <v>96</v>
      </c>
      <c r="AI47" s="190" t="s">
        <v>97</v>
      </c>
    </row>
    <row r="48" s="175" customFormat="1" ht="15.75" customHeight="1" spans="1:35">
      <c r="A48" s="185" t="s">
        <v>29</v>
      </c>
      <c r="B48" s="185" t="s">
        <v>98</v>
      </c>
      <c r="C48" s="198">
        <f>+(C11+C17)/C7</f>
        <v>0.051</v>
      </c>
      <c r="D48" s="198">
        <f>+(D11+D17)/D7</f>
        <v>0.053125</v>
      </c>
      <c r="E48" s="198">
        <f>+(E11+E17)/E7</f>
        <v>0.0553385416666667</v>
      </c>
      <c r="F48" s="198">
        <f>+(F11+F17)/F7</f>
        <v>0.0533696107157807</v>
      </c>
      <c r="G48" s="189"/>
      <c r="AH48" s="185" t="s">
        <v>29</v>
      </c>
      <c r="AI48" s="185" t="s">
        <v>98</v>
      </c>
    </row>
    <row r="49" s="175" customFormat="1" ht="15.75" customHeight="1" spans="1:35">
      <c r="A49" s="185" t="s">
        <v>31</v>
      </c>
      <c r="B49" s="185" t="s">
        <v>99</v>
      </c>
      <c r="C49" s="198">
        <f>+(C9+C10+C15)/C7</f>
        <v>0.1058</v>
      </c>
      <c r="D49" s="198">
        <f>+(D9+D10+D15)/D7</f>
        <v>0.110208333333333</v>
      </c>
      <c r="E49" s="198">
        <f>+(E9+E10+E15)/E7</f>
        <v>0.114800347222222</v>
      </c>
      <c r="F49" s="198">
        <f>+(F9+F10+F15)/F7</f>
        <v>0.110715780661365</v>
      </c>
      <c r="G49" s="189"/>
      <c r="AH49" s="185" t="s">
        <v>31</v>
      </c>
      <c r="AI49" s="185" t="s">
        <v>99</v>
      </c>
    </row>
    <row r="50" s="175" customFormat="1" ht="15.75" customHeight="1" spans="1:35">
      <c r="A50" s="185" t="s">
        <v>77</v>
      </c>
      <c r="B50" s="185" t="s">
        <v>100</v>
      </c>
      <c r="C50" s="198">
        <f>+C18/C7</f>
        <v>0.034</v>
      </c>
      <c r="D50" s="198">
        <f>+D18/D7</f>
        <v>0.0354166666666667</v>
      </c>
      <c r="E50" s="198">
        <f>+E18/E7</f>
        <v>0.0368923611111111</v>
      </c>
      <c r="F50" s="198">
        <f>+F18/F7</f>
        <v>0.0355797404771871</v>
      </c>
      <c r="G50" s="189"/>
      <c r="AH50" s="185" t="s">
        <v>77</v>
      </c>
      <c r="AI50" s="185" t="s">
        <v>100</v>
      </c>
    </row>
    <row r="51" s="175" customFormat="1" ht="15.75" customHeight="1" spans="1:35">
      <c r="A51" s="185" t="s">
        <v>34</v>
      </c>
      <c r="B51" s="185" t="s">
        <v>101</v>
      </c>
      <c r="C51" s="198">
        <f>+C19/C7</f>
        <v>0.16051912568306</v>
      </c>
      <c r="D51" s="198">
        <f>+D19/D7</f>
        <v>0.111471615057681</v>
      </c>
      <c r="E51" s="198">
        <f>+E19/E7</f>
        <v>0.116116265685084</v>
      </c>
      <c r="F51" s="198">
        <f>+F19/F7</f>
        <v>0.125982988972682</v>
      </c>
      <c r="G51" s="189"/>
      <c r="AH51" s="185" t="s">
        <v>34</v>
      </c>
      <c r="AI51" s="185" t="s">
        <v>101</v>
      </c>
    </row>
    <row r="52" s="175" customFormat="1" ht="15.75" customHeight="1" spans="1:35">
      <c r="A52" s="185" t="s">
        <v>37</v>
      </c>
      <c r="B52" s="185" t="s">
        <v>102</v>
      </c>
      <c r="C52" s="198">
        <f>+C20/C7</f>
        <v>0.03</v>
      </c>
      <c r="D52" s="198">
        <f>+D20/D7</f>
        <v>0.03125</v>
      </c>
      <c r="E52" s="198">
        <f>+E20/E7</f>
        <v>0.0325520833333333</v>
      </c>
      <c r="F52" s="198">
        <f>+F20/F7</f>
        <v>0.0313938886563416</v>
      </c>
      <c r="G52" s="189"/>
      <c r="AH52" s="185" t="s">
        <v>37</v>
      </c>
      <c r="AI52" s="185" t="s">
        <v>102</v>
      </c>
    </row>
    <row r="53" s="175" customFormat="1" ht="15.75" customHeight="1" spans="1:35">
      <c r="A53" s="185" t="s">
        <v>40</v>
      </c>
      <c r="B53" s="185" t="s">
        <v>103</v>
      </c>
      <c r="C53" s="198">
        <f>+C24/C7</f>
        <v>-0.0854174863387978</v>
      </c>
      <c r="D53" s="198">
        <f>+D24/D7</f>
        <v>-0.0455699757134184</v>
      </c>
      <c r="E53" s="198">
        <f>+E24/E7</f>
        <v>-0.0597979596741551</v>
      </c>
      <c r="F53" s="198">
        <f>+F24/F7</f>
        <v>-0.0611403701390939</v>
      </c>
      <c r="G53" s="189"/>
      <c r="AH53" s="185" t="s">
        <v>40</v>
      </c>
      <c r="AI53" s="185" t="s">
        <v>104</v>
      </c>
    </row>
    <row r="54" s="175" customFormat="1" ht="15.75" customHeight="1" spans="1:35">
      <c r="A54" s="185" t="s">
        <v>105</v>
      </c>
      <c r="B54" s="190" t="s">
        <v>106</v>
      </c>
      <c r="C54" s="195">
        <f>+C22/C4</f>
        <v>-104.209333333333</v>
      </c>
      <c r="D54" s="195">
        <f>+D22/D4</f>
        <v>-53.3715555555556</v>
      </c>
      <c r="E54" s="195">
        <f>+E22/E4</f>
        <v>-67.2339555555557</v>
      </c>
      <c r="F54" s="195">
        <f>+F22/F4</f>
        <v>-71.2794000000001</v>
      </c>
      <c r="G54" s="189"/>
      <c r="AH54" s="185" t="s">
        <v>105</v>
      </c>
      <c r="AI54" s="190" t="s">
        <v>106</v>
      </c>
    </row>
    <row r="55" s="175" customFormat="1" ht="15.75" customHeight="1" spans="1:35">
      <c r="A55" s="185" t="s">
        <v>107</v>
      </c>
      <c r="B55" s="270" t="s">
        <v>108</v>
      </c>
      <c r="C55" s="195"/>
      <c r="D55" s="195"/>
      <c r="E55" s="195"/>
      <c r="F55" s="195"/>
      <c r="G55" s="189"/>
      <c r="AH55" s="185"/>
      <c r="AI55" s="190"/>
    </row>
    <row r="56" s="175" customFormat="1" ht="15.75" customHeight="1" spans="1:7">
      <c r="A56" s="185" t="s">
        <v>29</v>
      </c>
      <c r="B56" s="185" t="s">
        <v>109</v>
      </c>
      <c r="C56" s="195">
        <f>C57+C58</f>
        <v>0</v>
      </c>
      <c r="D56" s="195">
        <f>D57+D58</f>
        <v>0</v>
      </c>
      <c r="E56" s="195"/>
      <c r="F56" s="195"/>
      <c r="G56" s="189"/>
    </row>
    <row r="57" s="175" customFormat="1" ht="15.75" customHeight="1" spans="1:7">
      <c r="A57" s="185">
        <v>1.1</v>
      </c>
      <c r="B57" s="271" t="s">
        <v>110</v>
      </c>
      <c r="C57" s="195">
        <f>[2]项目投资!B28</f>
        <v>0</v>
      </c>
      <c r="D57" s="195"/>
      <c r="E57" s="195"/>
      <c r="F57" s="195"/>
      <c r="G57" s="189"/>
    </row>
    <row r="58" s="175" customFormat="1" ht="15.75" customHeight="1" spans="1:7">
      <c r="A58" s="185">
        <v>1.2</v>
      </c>
      <c r="B58" s="185" t="s">
        <v>111</v>
      </c>
      <c r="C58" s="195">
        <f>[2]项目投资!B27</f>
        <v>0</v>
      </c>
      <c r="D58" s="195"/>
      <c r="E58" s="195"/>
      <c r="F58" s="195"/>
      <c r="G58" s="189"/>
    </row>
    <row r="59" ht="15.75" customHeight="1" spans="1:7">
      <c r="A59" s="259" t="s">
        <v>31</v>
      </c>
      <c r="B59" s="259" t="s">
        <v>112</v>
      </c>
      <c r="C59" s="272">
        <f>C60+C61</f>
        <v>-20841.8666666667</v>
      </c>
      <c r="D59" s="272">
        <f>D60+D61</f>
        <v>-16011.4666666667</v>
      </c>
      <c r="E59" s="272">
        <f>E60+E61</f>
        <v>-20170.1866666667</v>
      </c>
      <c r="F59" s="272">
        <f t="shared" ref="F59" si="2">F60+F61</f>
        <v>-57023.5200000001</v>
      </c>
      <c r="G59" s="189"/>
    </row>
    <row r="60" ht="15.75" customHeight="1" spans="1:7">
      <c r="A60" s="259" t="s">
        <v>77</v>
      </c>
      <c r="B60" s="259" t="s">
        <v>113</v>
      </c>
      <c r="C60" s="272">
        <f>C24</f>
        <v>-20841.8666666667</v>
      </c>
      <c r="D60" s="272">
        <f>D24</f>
        <v>-16011.4666666667</v>
      </c>
      <c r="E60" s="272">
        <f>E24</f>
        <v>-20170.1866666667</v>
      </c>
      <c r="F60" s="272">
        <f t="shared" ref="F60" si="3">F24</f>
        <v>-57023.5200000001</v>
      </c>
      <c r="G60" s="189"/>
    </row>
    <row r="61" ht="15.75" customHeight="1" spans="1:7">
      <c r="A61" s="259" t="s">
        <v>34</v>
      </c>
      <c r="B61" s="259" t="s">
        <v>114</v>
      </c>
      <c r="C61" s="272"/>
      <c r="D61" s="272"/>
      <c r="E61" s="272"/>
      <c r="F61" s="272">
        <f>项目投资!I26</f>
        <v>0</v>
      </c>
      <c r="G61" s="189"/>
    </row>
    <row r="62" ht="15.75" customHeight="1" spans="1:7">
      <c r="A62" s="259" t="s">
        <v>37</v>
      </c>
      <c r="B62" s="259" t="s">
        <v>115</v>
      </c>
      <c r="C62" s="273"/>
      <c r="D62" s="273"/>
      <c r="E62" s="273"/>
      <c r="F62" s="272"/>
      <c r="G62" s="189"/>
    </row>
    <row r="64" spans="2:2">
      <c r="B64"/>
    </row>
  </sheetData>
  <mergeCells count="2">
    <mergeCell ref="A1:F1"/>
    <mergeCell ref="A3:A4"/>
  </mergeCells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.12727272727273" defaultRowHeight="19.9" customHeight="1"/>
  <cols>
    <col min="1" max="1" width="8" style="206" customWidth="1"/>
    <col min="2" max="2" width="28.5" style="206" customWidth="1"/>
    <col min="3" max="4" width="9.12727272727273" style="206"/>
    <col min="5" max="5" width="13.8727272727273" style="206" customWidth="1"/>
    <col min="6" max="12" width="16.1272727272727" style="206" customWidth="1"/>
    <col min="13" max="13" width="10.6272727272727" style="206" customWidth="1"/>
    <col min="14" max="254" width="9.12727272727273" style="206"/>
    <col min="255" max="255" width="8" style="206" customWidth="1"/>
    <col min="256" max="256" width="28.5" style="206" customWidth="1"/>
    <col min="257" max="268" width="9.12727272727273" style="206"/>
    <col min="269" max="269" width="10.6272727272727" style="206" customWidth="1"/>
    <col min="270" max="510" width="9.12727272727273" style="206"/>
    <col min="511" max="511" width="8" style="206" customWidth="1"/>
    <col min="512" max="512" width="28.5" style="206" customWidth="1"/>
    <col min="513" max="524" width="9.12727272727273" style="206"/>
    <col min="525" max="525" width="10.6272727272727" style="206" customWidth="1"/>
    <col min="526" max="766" width="9.12727272727273" style="206"/>
    <col min="767" max="767" width="8" style="206" customWidth="1"/>
    <col min="768" max="768" width="28.5" style="206" customWidth="1"/>
    <col min="769" max="780" width="9.12727272727273" style="206"/>
    <col min="781" max="781" width="10.6272727272727" style="206" customWidth="1"/>
    <col min="782" max="1022" width="9.12727272727273" style="206"/>
    <col min="1023" max="1023" width="8" style="206" customWidth="1"/>
    <col min="1024" max="1024" width="28.5" style="206" customWidth="1"/>
    <col min="1025" max="1036" width="9.12727272727273" style="206"/>
    <col min="1037" max="1037" width="10.6272727272727" style="206" customWidth="1"/>
    <col min="1038" max="1278" width="9.12727272727273" style="206"/>
    <col min="1279" max="1279" width="8" style="206" customWidth="1"/>
    <col min="1280" max="1280" width="28.5" style="206" customWidth="1"/>
    <col min="1281" max="1292" width="9.12727272727273" style="206"/>
    <col min="1293" max="1293" width="10.6272727272727" style="206" customWidth="1"/>
    <col min="1294" max="1534" width="9.12727272727273" style="206"/>
    <col min="1535" max="1535" width="8" style="206" customWidth="1"/>
    <col min="1536" max="1536" width="28.5" style="206" customWidth="1"/>
    <col min="1537" max="1548" width="9.12727272727273" style="206"/>
    <col min="1549" max="1549" width="10.6272727272727" style="206" customWidth="1"/>
    <col min="1550" max="1790" width="9.12727272727273" style="206"/>
    <col min="1791" max="1791" width="8" style="206" customWidth="1"/>
    <col min="1792" max="1792" width="28.5" style="206" customWidth="1"/>
    <col min="1793" max="1804" width="9.12727272727273" style="206"/>
    <col min="1805" max="1805" width="10.6272727272727" style="206" customWidth="1"/>
    <col min="1806" max="2046" width="9.12727272727273" style="206"/>
    <col min="2047" max="2047" width="8" style="206" customWidth="1"/>
    <col min="2048" max="2048" width="28.5" style="206" customWidth="1"/>
    <col min="2049" max="2060" width="9.12727272727273" style="206"/>
    <col min="2061" max="2061" width="10.6272727272727" style="206" customWidth="1"/>
    <col min="2062" max="2302" width="9.12727272727273" style="206"/>
    <col min="2303" max="2303" width="8" style="206" customWidth="1"/>
    <col min="2304" max="2304" width="28.5" style="206" customWidth="1"/>
    <col min="2305" max="2316" width="9.12727272727273" style="206"/>
    <col min="2317" max="2317" width="10.6272727272727" style="206" customWidth="1"/>
    <col min="2318" max="2558" width="9.12727272727273" style="206"/>
    <col min="2559" max="2559" width="8" style="206" customWidth="1"/>
    <col min="2560" max="2560" width="28.5" style="206" customWidth="1"/>
    <col min="2561" max="2572" width="9.12727272727273" style="206"/>
    <col min="2573" max="2573" width="10.6272727272727" style="206" customWidth="1"/>
    <col min="2574" max="2814" width="9.12727272727273" style="206"/>
    <col min="2815" max="2815" width="8" style="206" customWidth="1"/>
    <col min="2816" max="2816" width="28.5" style="206" customWidth="1"/>
    <col min="2817" max="2828" width="9.12727272727273" style="206"/>
    <col min="2829" max="2829" width="10.6272727272727" style="206" customWidth="1"/>
    <col min="2830" max="3070" width="9.12727272727273" style="206"/>
    <col min="3071" max="3071" width="8" style="206" customWidth="1"/>
    <col min="3072" max="3072" width="28.5" style="206" customWidth="1"/>
    <col min="3073" max="3084" width="9.12727272727273" style="206"/>
    <col min="3085" max="3085" width="10.6272727272727" style="206" customWidth="1"/>
    <col min="3086" max="3326" width="9.12727272727273" style="206"/>
    <col min="3327" max="3327" width="8" style="206" customWidth="1"/>
    <col min="3328" max="3328" width="28.5" style="206" customWidth="1"/>
    <col min="3329" max="3340" width="9.12727272727273" style="206"/>
    <col min="3341" max="3341" width="10.6272727272727" style="206" customWidth="1"/>
    <col min="3342" max="3582" width="9.12727272727273" style="206"/>
    <col min="3583" max="3583" width="8" style="206" customWidth="1"/>
    <col min="3584" max="3584" width="28.5" style="206" customWidth="1"/>
    <col min="3585" max="3596" width="9.12727272727273" style="206"/>
    <col min="3597" max="3597" width="10.6272727272727" style="206" customWidth="1"/>
    <col min="3598" max="3838" width="9.12727272727273" style="206"/>
    <col min="3839" max="3839" width="8" style="206" customWidth="1"/>
    <col min="3840" max="3840" width="28.5" style="206" customWidth="1"/>
    <col min="3841" max="3852" width="9.12727272727273" style="206"/>
    <col min="3853" max="3853" width="10.6272727272727" style="206" customWidth="1"/>
    <col min="3854" max="4094" width="9.12727272727273" style="206"/>
    <col min="4095" max="4095" width="8" style="206" customWidth="1"/>
    <col min="4096" max="4096" width="28.5" style="206" customWidth="1"/>
    <col min="4097" max="4108" width="9.12727272727273" style="206"/>
    <col min="4109" max="4109" width="10.6272727272727" style="206" customWidth="1"/>
    <col min="4110" max="4350" width="9.12727272727273" style="206"/>
    <col min="4351" max="4351" width="8" style="206" customWidth="1"/>
    <col min="4352" max="4352" width="28.5" style="206" customWidth="1"/>
    <col min="4353" max="4364" width="9.12727272727273" style="206"/>
    <col min="4365" max="4365" width="10.6272727272727" style="206" customWidth="1"/>
    <col min="4366" max="4606" width="9.12727272727273" style="206"/>
    <col min="4607" max="4607" width="8" style="206" customWidth="1"/>
    <col min="4608" max="4608" width="28.5" style="206" customWidth="1"/>
    <col min="4609" max="4620" width="9.12727272727273" style="206"/>
    <col min="4621" max="4621" width="10.6272727272727" style="206" customWidth="1"/>
    <col min="4622" max="4862" width="9.12727272727273" style="206"/>
    <col min="4863" max="4863" width="8" style="206" customWidth="1"/>
    <col min="4864" max="4864" width="28.5" style="206" customWidth="1"/>
    <col min="4865" max="4876" width="9.12727272727273" style="206"/>
    <col min="4877" max="4877" width="10.6272727272727" style="206" customWidth="1"/>
    <col min="4878" max="5118" width="9.12727272727273" style="206"/>
    <col min="5119" max="5119" width="8" style="206" customWidth="1"/>
    <col min="5120" max="5120" width="28.5" style="206" customWidth="1"/>
    <col min="5121" max="5132" width="9.12727272727273" style="206"/>
    <col min="5133" max="5133" width="10.6272727272727" style="206" customWidth="1"/>
    <col min="5134" max="5374" width="9.12727272727273" style="206"/>
    <col min="5375" max="5375" width="8" style="206" customWidth="1"/>
    <col min="5376" max="5376" width="28.5" style="206" customWidth="1"/>
    <col min="5377" max="5388" width="9.12727272727273" style="206"/>
    <col min="5389" max="5389" width="10.6272727272727" style="206" customWidth="1"/>
    <col min="5390" max="5630" width="9.12727272727273" style="206"/>
    <col min="5631" max="5631" width="8" style="206" customWidth="1"/>
    <col min="5632" max="5632" width="28.5" style="206" customWidth="1"/>
    <col min="5633" max="5644" width="9.12727272727273" style="206"/>
    <col min="5645" max="5645" width="10.6272727272727" style="206" customWidth="1"/>
    <col min="5646" max="5886" width="9.12727272727273" style="206"/>
    <col min="5887" max="5887" width="8" style="206" customWidth="1"/>
    <col min="5888" max="5888" width="28.5" style="206" customWidth="1"/>
    <col min="5889" max="5900" width="9.12727272727273" style="206"/>
    <col min="5901" max="5901" width="10.6272727272727" style="206" customWidth="1"/>
    <col min="5902" max="6142" width="9.12727272727273" style="206"/>
    <col min="6143" max="6143" width="8" style="206" customWidth="1"/>
    <col min="6144" max="6144" width="28.5" style="206" customWidth="1"/>
    <col min="6145" max="6156" width="9.12727272727273" style="206"/>
    <col min="6157" max="6157" width="10.6272727272727" style="206" customWidth="1"/>
    <col min="6158" max="6398" width="9.12727272727273" style="206"/>
    <col min="6399" max="6399" width="8" style="206" customWidth="1"/>
    <col min="6400" max="6400" width="28.5" style="206" customWidth="1"/>
    <col min="6401" max="6412" width="9.12727272727273" style="206"/>
    <col min="6413" max="6413" width="10.6272727272727" style="206" customWidth="1"/>
    <col min="6414" max="6654" width="9.12727272727273" style="206"/>
    <col min="6655" max="6655" width="8" style="206" customWidth="1"/>
    <col min="6656" max="6656" width="28.5" style="206" customWidth="1"/>
    <col min="6657" max="6668" width="9.12727272727273" style="206"/>
    <col min="6669" max="6669" width="10.6272727272727" style="206" customWidth="1"/>
    <col min="6670" max="6910" width="9.12727272727273" style="206"/>
    <col min="6911" max="6911" width="8" style="206" customWidth="1"/>
    <col min="6912" max="6912" width="28.5" style="206" customWidth="1"/>
    <col min="6913" max="6924" width="9.12727272727273" style="206"/>
    <col min="6925" max="6925" width="10.6272727272727" style="206" customWidth="1"/>
    <col min="6926" max="7166" width="9.12727272727273" style="206"/>
    <col min="7167" max="7167" width="8" style="206" customWidth="1"/>
    <col min="7168" max="7168" width="28.5" style="206" customWidth="1"/>
    <col min="7169" max="7180" width="9.12727272727273" style="206"/>
    <col min="7181" max="7181" width="10.6272727272727" style="206" customWidth="1"/>
    <col min="7182" max="7422" width="9.12727272727273" style="206"/>
    <col min="7423" max="7423" width="8" style="206" customWidth="1"/>
    <col min="7424" max="7424" width="28.5" style="206" customWidth="1"/>
    <col min="7425" max="7436" width="9.12727272727273" style="206"/>
    <col min="7437" max="7437" width="10.6272727272727" style="206" customWidth="1"/>
    <col min="7438" max="7678" width="9.12727272727273" style="206"/>
    <col min="7679" max="7679" width="8" style="206" customWidth="1"/>
    <col min="7680" max="7680" width="28.5" style="206" customWidth="1"/>
    <col min="7681" max="7692" width="9.12727272727273" style="206"/>
    <col min="7693" max="7693" width="10.6272727272727" style="206" customWidth="1"/>
    <col min="7694" max="7934" width="9.12727272727273" style="206"/>
    <col min="7935" max="7935" width="8" style="206" customWidth="1"/>
    <col min="7936" max="7936" width="28.5" style="206" customWidth="1"/>
    <col min="7937" max="7948" width="9.12727272727273" style="206"/>
    <col min="7949" max="7949" width="10.6272727272727" style="206" customWidth="1"/>
    <col min="7950" max="8190" width="9.12727272727273" style="206"/>
    <col min="8191" max="8191" width="8" style="206" customWidth="1"/>
    <col min="8192" max="8192" width="28.5" style="206" customWidth="1"/>
    <col min="8193" max="8204" width="9.12727272727273" style="206"/>
    <col min="8205" max="8205" width="10.6272727272727" style="206" customWidth="1"/>
    <col min="8206" max="8446" width="9.12727272727273" style="206"/>
    <col min="8447" max="8447" width="8" style="206" customWidth="1"/>
    <col min="8448" max="8448" width="28.5" style="206" customWidth="1"/>
    <col min="8449" max="8460" width="9.12727272727273" style="206"/>
    <col min="8461" max="8461" width="10.6272727272727" style="206" customWidth="1"/>
    <col min="8462" max="8702" width="9.12727272727273" style="206"/>
    <col min="8703" max="8703" width="8" style="206" customWidth="1"/>
    <col min="8704" max="8704" width="28.5" style="206" customWidth="1"/>
    <col min="8705" max="8716" width="9.12727272727273" style="206"/>
    <col min="8717" max="8717" width="10.6272727272727" style="206" customWidth="1"/>
    <col min="8718" max="8958" width="9.12727272727273" style="206"/>
    <col min="8959" max="8959" width="8" style="206" customWidth="1"/>
    <col min="8960" max="8960" width="28.5" style="206" customWidth="1"/>
    <col min="8961" max="8972" width="9.12727272727273" style="206"/>
    <col min="8973" max="8973" width="10.6272727272727" style="206" customWidth="1"/>
    <col min="8974" max="9214" width="9.12727272727273" style="206"/>
    <col min="9215" max="9215" width="8" style="206" customWidth="1"/>
    <col min="9216" max="9216" width="28.5" style="206" customWidth="1"/>
    <col min="9217" max="9228" width="9.12727272727273" style="206"/>
    <col min="9229" max="9229" width="10.6272727272727" style="206" customWidth="1"/>
    <col min="9230" max="9470" width="9.12727272727273" style="206"/>
    <col min="9471" max="9471" width="8" style="206" customWidth="1"/>
    <col min="9472" max="9472" width="28.5" style="206" customWidth="1"/>
    <col min="9473" max="9484" width="9.12727272727273" style="206"/>
    <col min="9485" max="9485" width="10.6272727272727" style="206" customWidth="1"/>
    <col min="9486" max="9726" width="9.12727272727273" style="206"/>
    <col min="9727" max="9727" width="8" style="206" customWidth="1"/>
    <col min="9728" max="9728" width="28.5" style="206" customWidth="1"/>
    <col min="9729" max="9740" width="9.12727272727273" style="206"/>
    <col min="9741" max="9741" width="10.6272727272727" style="206" customWidth="1"/>
    <col min="9742" max="9982" width="9.12727272727273" style="206"/>
    <col min="9983" max="9983" width="8" style="206" customWidth="1"/>
    <col min="9984" max="9984" width="28.5" style="206" customWidth="1"/>
    <col min="9985" max="9996" width="9.12727272727273" style="206"/>
    <col min="9997" max="9997" width="10.6272727272727" style="206" customWidth="1"/>
    <col min="9998" max="10238" width="9.12727272727273" style="206"/>
    <col min="10239" max="10239" width="8" style="206" customWidth="1"/>
    <col min="10240" max="10240" width="28.5" style="206" customWidth="1"/>
    <col min="10241" max="10252" width="9.12727272727273" style="206"/>
    <col min="10253" max="10253" width="10.6272727272727" style="206" customWidth="1"/>
    <col min="10254" max="10494" width="9.12727272727273" style="206"/>
    <col min="10495" max="10495" width="8" style="206" customWidth="1"/>
    <col min="10496" max="10496" width="28.5" style="206" customWidth="1"/>
    <col min="10497" max="10508" width="9.12727272727273" style="206"/>
    <col min="10509" max="10509" width="10.6272727272727" style="206" customWidth="1"/>
    <col min="10510" max="10750" width="9.12727272727273" style="206"/>
    <col min="10751" max="10751" width="8" style="206" customWidth="1"/>
    <col min="10752" max="10752" width="28.5" style="206" customWidth="1"/>
    <col min="10753" max="10764" width="9.12727272727273" style="206"/>
    <col min="10765" max="10765" width="10.6272727272727" style="206" customWidth="1"/>
    <col min="10766" max="11006" width="9.12727272727273" style="206"/>
    <col min="11007" max="11007" width="8" style="206" customWidth="1"/>
    <col min="11008" max="11008" width="28.5" style="206" customWidth="1"/>
    <col min="11009" max="11020" width="9.12727272727273" style="206"/>
    <col min="11021" max="11021" width="10.6272727272727" style="206" customWidth="1"/>
    <col min="11022" max="11262" width="9.12727272727273" style="206"/>
    <col min="11263" max="11263" width="8" style="206" customWidth="1"/>
    <col min="11264" max="11264" width="28.5" style="206" customWidth="1"/>
    <col min="11265" max="11276" width="9.12727272727273" style="206"/>
    <col min="11277" max="11277" width="10.6272727272727" style="206" customWidth="1"/>
    <col min="11278" max="11518" width="9.12727272727273" style="206"/>
    <col min="11519" max="11519" width="8" style="206" customWidth="1"/>
    <col min="11520" max="11520" width="28.5" style="206" customWidth="1"/>
    <col min="11521" max="11532" width="9.12727272727273" style="206"/>
    <col min="11533" max="11533" width="10.6272727272727" style="206" customWidth="1"/>
    <col min="11534" max="11774" width="9.12727272727273" style="206"/>
    <col min="11775" max="11775" width="8" style="206" customWidth="1"/>
    <col min="11776" max="11776" width="28.5" style="206" customWidth="1"/>
    <col min="11777" max="11788" width="9.12727272727273" style="206"/>
    <col min="11789" max="11789" width="10.6272727272727" style="206" customWidth="1"/>
    <col min="11790" max="12030" width="9.12727272727273" style="206"/>
    <col min="12031" max="12031" width="8" style="206" customWidth="1"/>
    <col min="12032" max="12032" width="28.5" style="206" customWidth="1"/>
    <col min="12033" max="12044" width="9.12727272727273" style="206"/>
    <col min="12045" max="12045" width="10.6272727272727" style="206" customWidth="1"/>
    <col min="12046" max="12286" width="9.12727272727273" style="206"/>
    <col min="12287" max="12287" width="8" style="206" customWidth="1"/>
    <col min="12288" max="12288" width="28.5" style="206" customWidth="1"/>
    <col min="12289" max="12300" width="9.12727272727273" style="206"/>
    <col min="12301" max="12301" width="10.6272727272727" style="206" customWidth="1"/>
    <col min="12302" max="12542" width="9.12727272727273" style="206"/>
    <col min="12543" max="12543" width="8" style="206" customWidth="1"/>
    <col min="12544" max="12544" width="28.5" style="206" customWidth="1"/>
    <col min="12545" max="12556" width="9.12727272727273" style="206"/>
    <col min="12557" max="12557" width="10.6272727272727" style="206" customWidth="1"/>
    <col min="12558" max="12798" width="9.12727272727273" style="206"/>
    <col min="12799" max="12799" width="8" style="206" customWidth="1"/>
    <col min="12800" max="12800" width="28.5" style="206" customWidth="1"/>
    <col min="12801" max="12812" width="9.12727272727273" style="206"/>
    <col min="12813" max="12813" width="10.6272727272727" style="206" customWidth="1"/>
    <col min="12814" max="13054" width="9.12727272727273" style="206"/>
    <col min="13055" max="13055" width="8" style="206" customWidth="1"/>
    <col min="13056" max="13056" width="28.5" style="206" customWidth="1"/>
    <col min="13057" max="13068" width="9.12727272727273" style="206"/>
    <col min="13069" max="13069" width="10.6272727272727" style="206" customWidth="1"/>
    <col min="13070" max="13310" width="9.12727272727273" style="206"/>
    <col min="13311" max="13311" width="8" style="206" customWidth="1"/>
    <col min="13312" max="13312" width="28.5" style="206" customWidth="1"/>
    <col min="13313" max="13324" width="9.12727272727273" style="206"/>
    <col min="13325" max="13325" width="10.6272727272727" style="206" customWidth="1"/>
    <col min="13326" max="13566" width="9.12727272727273" style="206"/>
    <col min="13567" max="13567" width="8" style="206" customWidth="1"/>
    <col min="13568" max="13568" width="28.5" style="206" customWidth="1"/>
    <col min="13569" max="13580" width="9.12727272727273" style="206"/>
    <col min="13581" max="13581" width="10.6272727272727" style="206" customWidth="1"/>
    <col min="13582" max="13822" width="9.12727272727273" style="206"/>
    <col min="13823" max="13823" width="8" style="206" customWidth="1"/>
    <col min="13824" max="13824" width="28.5" style="206" customWidth="1"/>
    <col min="13825" max="13836" width="9.12727272727273" style="206"/>
    <col min="13837" max="13837" width="10.6272727272727" style="206" customWidth="1"/>
    <col min="13838" max="14078" width="9.12727272727273" style="206"/>
    <col min="14079" max="14079" width="8" style="206" customWidth="1"/>
    <col min="14080" max="14080" width="28.5" style="206" customWidth="1"/>
    <col min="14081" max="14092" width="9.12727272727273" style="206"/>
    <col min="14093" max="14093" width="10.6272727272727" style="206" customWidth="1"/>
    <col min="14094" max="14334" width="9.12727272727273" style="206"/>
    <col min="14335" max="14335" width="8" style="206" customWidth="1"/>
    <col min="14336" max="14336" width="28.5" style="206" customWidth="1"/>
    <col min="14337" max="14348" width="9.12727272727273" style="206"/>
    <col min="14349" max="14349" width="10.6272727272727" style="206" customWidth="1"/>
    <col min="14350" max="14590" width="9.12727272727273" style="206"/>
    <col min="14591" max="14591" width="8" style="206" customWidth="1"/>
    <col min="14592" max="14592" width="28.5" style="206" customWidth="1"/>
    <col min="14593" max="14604" width="9.12727272727273" style="206"/>
    <col min="14605" max="14605" width="10.6272727272727" style="206" customWidth="1"/>
    <col min="14606" max="14846" width="9.12727272727273" style="206"/>
    <col min="14847" max="14847" width="8" style="206" customWidth="1"/>
    <col min="14848" max="14848" width="28.5" style="206" customWidth="1"/>
    <col min="14849" max="14860" width="9.12727272727273" style="206"/>
    <col min="14861" max="14861" width="10.6272727272727" style="206" customWidth="1"/>
    <col min="14862" max="15102" width="9.12727272727273" style="206"/>
    <col min="15103" max="15103" width="8" style="206" customWidth="1"/>
    <col min="15104" max="15104" width="28.5" style="206" customWidth="1"/>
    <col min="15105" max="15116" width="9.12727272727273" style="206"/>
    <col min="15117" max="15117" width="10.6272727272727" style="206" customWidth="1"/>
    <col min="15118" max="15358" width="9.12727272727273" style="206"/>
    <col min="15359" max="15359" width="8" style="206" customWidth="1"/>
    <col min="15360" max="15360" width="28.5" style="206" customWidth="1"/>
    <col min="15361" max="15372" width="9.12727272727273" style="206"/>
    <col min="15373" max="15373" width="10.6272727272727" style="206" customWidth="1"/>
    <col min="15374" max="15614" width="9.12727272727273" style="206"/>
    <col min="15615" max="15615" width="8" style="206" customWidth="1"/>
    <col min="15616" max="15616" width="28.5" style="206" customWidth="1"/>
    <col min="15617" max="15628" width="9.12727272727273" style="206"/>
    <col min="15629" max="15629" width="10.6272727272727" style="206" customWidth="1"/>
    <col min="15630" max="15870" width="9.12727272727273" style="206"/>
    <col min="15871" max="15871" width="8" style="206" customWidth="1"/>
    <col min="15872" max="15872" width="28.5" style="206" customWidth="1"/>
    <col min="15873" max="15884" width="9.12727272727273" style="206"/>
    <col min="15885" max="15885" width="10.6272727272727" style="206" customWidth="1"/>
    <col min="15886" max="16126" width="9.12727272727273" style="206"/>
    <col min="16127" max="16127" width="8" style="206" customWidth="1"/>
    <col min="16128" max="16128" width="28.5" style="206" customWidth="1"/>
    <col min="16129" max="16140" width="9.12727272727273" style="206"/>
    <col min="16141" max="16141" width="10.6272727272727" style="206" customWidth="1"/>
    <col min="16142" max="16384" width="9.12727272727273" style="206"/>
  </cols>
  <sheetData>
    <row r="1" ht="17.5" spans="1:13">
      <c r="A1" s="207" t="s">
        <v>116</v>
      </c>
      <c r="B1" s="208"/>
      <c r="C1" s="209"/>
      <c r="D1" s="209"/>
      <c r="E1" s="208"/>
      <c r="F1" s="209"/>
      <c r="G1" s="209"/>
      <c r="H1" s="208"/>
      <c r="I1" s="209"/>
      <c r="J1" s="209"/>
      <c r="K1" s="209"/>
      <c r="L1" s="209"/>
      <c r="M1" s="209"/>
    </row>
    <row r="2" ht="14" spans="1:2">
      <c r="A2" s="206" t="s">
        <v>117</v>
      </c>
      <c r="B2" s="210"/>
    </row>
    <row r="3" ht="16.9" customHeight="1" spans="1:13">
      <c r="A3" s="211" t="s">
        <v>21</v>
      </c>
      <c r="B3" s="211" t="s">
        <v>118</v>
      </c>
      <c r="C3" s="212" t="s">
        <v>119</v>
      </c>
      <c r="D3" s="212"/>
      <c r="E3" s="212"/>
      <c r="F3" s="213"/>
      <c r="G3" s="214"/>
      <c r="H3" s="215"/>
      <c r="I3" s="215"/>
      <c r="J3" s="215" t="s">
        <v>120</v>
      </c>
      <c r="K3" s="215"/>
      <c r="L3" s="215"/>
      <c r="M3" s="236"/>
    </row>
    <row r="4" ht="16.15" customHeight="1" spans="1:13">
      <c r="A4" s="216"/>
      <c r="B4" s="216" t="s">
        <v>121</v>
      </c>
      <c r="C4" s="212">
        <v>2017</v>
      </c>
      <c r="D4" s="212">
        <f t="shared" ref="D4:L4" si="0">C4+1</f>
        <v>2018</v>
      </c>
      <c r="E4" s="212">
        <f t="shared" si="0"/>
        <v>2019</v>
      </c>
      <c r="F4" s="212">
        <f t="shared" si="0"/>
        <v>2020</v>
      </c>
      <c r="G4" s="212">
        <f t="shared" si="0"/>
        <v>2021</v>
      </c>
      <c r="H4" s="217">
        <f t="shared" si="0"/>
        <v>2022</v>
      </c>
      <c r="I4" s="217">
        <f t="shared" si="0"/>
        <v>2023</v>
      </c>
      <c r="J4" s="217">
        <f t="shared" si="0"/>
        <v>2024</v>
      </c>
      <c r="K4" s="217">
        <f t="shared" si="0"/>
        <v>2025</v>
      </c>
      <c r="L4" s="217">
        <f t="shared" si="0"/>
        <v>2026</v>
      </c>
      <c r="M4" s="237" t="s">
        <v>122</v>
      </c>
    </row>
    <row r="5" ht="15.6" customHeight="1" spans="1:13">
      <c r="A5" s="218">
        <v>1</v>
      </c>
      <c r="B5" s="219" t="s">
        <v>123</v>
      </c>
      <c r="C5" s="220">
        <f>SUM(C6:C9)</f>
        <v>0</v>
      </c>
      <c r="D5" s="220">
        <f t="shared" ref="D5:L5" si="1">SUM(D6:D9)</f>
        <v>0</v>
      </c>
      <c r="E5" s="220" t="e">
        <f t="shared" si="1"/>
        <v>#REF!</v>
      </c>
      <c r="F5" s="220" t="e">
        <f t="shared" si="1"/>
        <v>#REF!</v>
      </c>
      <c r="G5" s="220" t="e">
        <f t="shared" si="1"/>
        <v>#REF!</v>
      </c>
      <c r="H5" s="220">
        <f t="shared" si="1"/>
        <v>366000</v>
      </c>
      <c r="I5" s="220" t="e">
        <f t="shared" si="1"/>
        <v>#REF!</v>
      </c>
      <c r="J5" s="220" t="e">
        <f t="shared" si="1"/>
        <v>#REF!</v>
      </c>
      <c r="K5" s="220" t="e">
        <f t="shared" si="1"/>
        <v>#REF!</v>
      </c>
      <c r="L5" s="220">
        <f t="shared" si="1"/>
        <v>976000</v>
      </c>
      <c r="M5" s="224" t="e">
        <f t="shared" ref="M5:M17" si="2">SUM(C5:L5)</f>
        <v>#REF!</v>
      </c>
    </row>
    <row r="6" ht="15.6" customHeight="1" spans="1:13">
      <c r="A6" s="218">
        <v>1.1</v>
      </c>
      <c r="B6" s="221" t="s">
        <v>124</v>
      </c>
      <c r="C6" s="222"/>
      <c r="D6" s="222"/>
      <c r="E6" s="222" t="e">
        <f>损益表!#REF!</f>
        <v>#REF!</v>
      </c>
      <c r="F6" s="222" t="e">
        <f>损益表!#REF!</f>
        <v>#REF!</v>
      </c>
      <c r="G6" s="222" t="e">
        <f>损益表!#REF!</f>
        <v>#REF!</v>
      </c>
      <c r="H6" s="222">
        <f>损益表!E5</f>
        <v>366000</v>
      </c>
      <c r="I6" s="222" t="e">
        <f>损益表!#REF!</f>
        <v>#REF!</v>
      </c>
      <c r="J6" s="222" t="e">
        <f>损益表!#REF!</f>
        <v>#REF!</v>
      </c>
      <c r="K6" s="222" t="e">
        <f>损益表!#REF!</f>
        <v>#REF!</v>
      </c>
      <c r="L6" s="222">
        <f>损益表!F5</f>
        <v>976000</v>
      </c>
      <c r="M6" s="224" t="e">
        <f t="shared" si="2"/>
        <v>#REF!</v>
      </c>
    </row>
    <row r="7" ht="15.6" customHeight="1" spans="1:13">
      <c r="A7" s="218">
        <v>1.2</v>
      </c>
      <c r="B7" s="221" t="s">
        <v>125</v>
      </c>
      <c r="C7" s="222"/>
      <c r="D7" s="222"/>
      <c r="E7" s="222">
        <f>[1]折、摊!G18</f>
        <v>0</v>
      </c>
      <c r="F7" s="222">
        <f>[1]折、摊!H18</f>
        <v>0</v>
      </c>
      <c r="G7" s="222">
        <f>[1]折、摊!I18</f>
        <v>0</v>
      </c>
      <c r="H7" s="222">
        <f>[1]折、摊!J18</f>
        <v>0</v>
      </c>
      <c r="I7" s="222">
        <f>[1]折、摊!K18</f>
        <v>0</v>
      </c>
      <c r="J7" s="222">
        <f>[1]折、摊!L18</f>
        <v>0</v>
      </c>
      <c r="K7" s="222">
        <f>[1]折、摊!M18</f>
        <v>0</v>
      </c>
      <c r="L7" s="222">
        <f>[1]折、摊!N18</f>
        <v>0</v>
      </c>
      <c r="M7" s="224">
        <f t="shared" si="2"/>
        <v>0</v>
      </c>
    </row>
    <row r="8" ht="15.6" customHeight="1" spans="1:13">
      <c r="A8" s="218">
        <v>1.3</v>
      </c>
      <c r="B8" s="221" t="s">
        <v>126</v>
      </c>
      <c r="C8" s="222" t="s">
        <v>127</v>
      </c>
      <c r="D8" s="222" t="s">
        <v>127</v>
      </c>
      <c r="E8" s="222" t="s">
        <v>127</v>
      </c>
      <c r="F8" s="222" t="s">
        <v>127</v>
      </c>
      <c r="G8" s="222" t="s">
        <v>127</v>
      </c>
      <c r="H8" s="222" t="s">
        <v>127</v>
      </c>
      <c r="I8" s="222" t="s">
        <v>127</v>
      </c>
      <c r="J8" s="222" t="s">
        <v>127</v>
      </c>
      <c r="K8" s="222" t="s">
        <v>127</v>
      </c>
      <c r="L8" s="222"/>
      <c r="M8" s="224">
        <f t="shared" si="2"/>
        <v>0</v>
      </c>
    </row>
    <row r="9" s="205" customFormat="1" ht="15.6" customHeight="1" spans="1:13">
      <c r="A9" s="223">
        <v>1.4</v>
      </c>
      <c r="B9" s="224" t="s">
        <v>128</v>
      </c>
      <c r="C9" s="222" t="s">
        <v>127</v>
      </c>
      <c r="D9" s="222" t="s">
        <v>127</v>
      </c>
      <c r="E9" s="222" t="s">
        <v>127</v>
      </c>
      <c r="F9" s="222" t="s">
        <v>127</v>
      </c>
      <c r="G9" s="222" t="s">
        <v>127</v>
      </c>
      <c r="H9" s="222" t="s">
        <v>127</v>
      </c>
      <c r="I9" s="222" t="s">
        <v>127</v>
      </c>
      <c r="J9" s="222" t="s">
        <v>127</v>
      </c>
      <c r="K9" s="222" t="s">
        <v>127</v>
      </c>
      <c r="L9" s="222" t="s">
        <v>127</v>
      </c>
      <c r="M9" s="224">
        <f t="shared" si="2"/>
        <v>0</v>
      </c>
    </row>
    <row r="10" ht="15.6" customHeight="1" spans="1:13">
      <c r="A10" s="223">
        <v>2</v>
      </c>
      <c r="B10" s="219" t="s">
        <v>129</v>
      </c>
      <c r="C10" s="220">
        <f t="shared" ref="C10:L10" si="3">SUM(C11:C16)</f>
        <v>0</v>
      </c>
      <c r="D10" s="220">
        <f t="shared" si="3"/>
        <v>0</v>
      </c>
      <c r="E10" s="220">
        <f t="shared" si="3"/>
        <v>0</v>
      </c>
      <c r="F10" s="220">
        <f t="shared" si="3"/>
        <v>0</v>
      </c>
      <c r="G10" s="220">
        <f t="shared" si="3"/>
        <v>0</v>
      </c>
      <c r="H10" s="220">
        <f t="shared" si="3"/>
        <v>0</v>
      </c>
      <c r="I10" s="220">
        <f t="shared" si="3"/>
        <v>0</v>
      </c>
      <c r="J10" s="220">
        <f t="shared" si="3"/>
        <v>0</v>
      </c>
      <c r="K10" s="220">
        <f t="shared" si="3"/>
        <v>0</v>
      </c>
      <c r="L10" s="220">
        <f t="shared" si="3"/>
        <v>0</v>
      </c>
      <c r="M10" s="224">
        <f t="shared" si="2"/>
        <v>0</v>
      </c>
    </row>
    <row r="11" ht="15" customHeight="1" spans="1:13">
      <c r="A11" s="218">
        <v>2.1</v>
      </c>
      <c r="B11" s="218" t="s">
        <v>130</v>
      </c>
      <c r="C11" s="222">
        <f>([1]计划!C6-[1]计划!C7)</f>
        <v>0</v>
      </c>
      <c r="D11" s="222">
        <f>([1]计划!D6-[1]计划!D7)</f>
        <v>0</v>
      </c>
      <c r="E11" s="222">
        <f>([1]计划!E6-[1]计划!E7)</f>
        <v>0</v>
      </c>
      <c r="F11" s="222">
        <f>([1]计划!F6-[1]计划!F7)</f>
        <v>0</v>
      </c>
      <c r="G11" s="222">
        <f>([1]计划!G6-[1]计划!G7)</f>
        <v>0</v>
      </c>
      <c r="H11" s="222">
        <f>([1]计划!H6-[1]计划!H7)</f>
        <v>0</v>
      </c>
      <c r="I11" s="222">
        <f>([1]计划!I6-[1]计划!I7)</f>
        <v>0</v>
      </c>
      <c r="J11" s="222">
        <f>([1]计划!J6-[1]计划!J7)</f>
        <v>0</v>
      </c>
      <c r="K11" s="222">
        <f>([1]计划!K6-[1]计划!K7)</f>
        <v>0</v>
      </c>
      <c r="L11" s="222">
        <f>([1]计划!L6-[1]计划!L7)</f>
        <v>0</v>
      </c>
      <c r="M11" s="224">
        <f t="shared" si="2"/>
        <v>0</v>
      </c>
    </row>
    <row r="12" s="205" customFormat="1" ht="15" customHeight="1" spans="1:13">
      <c r="A12" s="218">
        <v>2.2</v>
      </c>
      <c r="B12" s="224" t="s">
        <v>131</v>
      </c>
      <c r="C12" s="222">
        <f>[1]计划!C8</f>
        <v>0</v>
      </c>
      <c r="D12" s="222">
        <f>[1]计划!D8</f>
        <v>0</v>
      </c>
      <c r="E12" s="222">
        <f>[1]计划!E8</f>
        <v>0</v>
      </c>
      <c r="F12" s="222">
        <f>[1]计划!F8</f>
        <v>0</v>
      </c>
      <c r="G12" s="222">
        <f>[1]计划!G8</f>
        <v>0</v>
      </c>
      <c r="H12" s="222">
        <f>[1]计划!H8</f>
        <v>0</v>
      </c>
      <c r="I12" s="222">
        <f>[1]计划!I8</f>
        <v>0</v>
      </c>
      <c r="J12" s="222">
        <f>[1]计划!J8</f>
        <v>0</v>
      </c>
      <c r="K12" s="222">
        <f>[1]计划!K8</f>
        <v>0</v>
      </c>
      <c r="L12" s="222">
        <f>[1]计划!L8</f>
        <v>0</v>
      </c>
      <c r="M12" s="224">
        <f t="shared" si="2"/>
        <v>0</v>
      </c>
    </row>
    <row r="13" ht="15" customHeight="1" spans="1:13">
      <c r="A13" s="218">
        <v>2.3</v>
      </c>
      <c r="B13" s="221" t="s">
        <v>132</v>
      </c>
      <c r="C13" s="222">
        <f>[1]总成本!C22</f>
        <v>0</v>
      </c>
      <c r="D13" s="222">
        <f>[1]总成本!D22</f>
        <v>0</v>
      </c>
      <c r="E13" s="222">
        <f>[1]总成本!E22</f>
        <v>0</v>
      </c>
      <c r="F13" s="222">
        <f>[1]总成本!F22</f>
        <v>0</v>
      </c>
      <c r="G13" s="222">
        <f>[1]总成本!G22</f>
        <v>0</v>
      </c>
      <c r="H13" s="222">
        <f>[1]总成本!H22</f>
        <v>0</v>
      </c>
      <c r="I13" s="222">
        <f>[1]总成本!I22</f>
        <v>0</v>
      </c>
      <c r="J13" s="222">
        <f>[1]总成本!J22</f>
        <v>0</v>
      </c>
      <c r="K13" s="222">
        <f>[1]总成本!K22</f>
        <v>0</v>
      </c>
      <c r="L13" s="222">
        <f>[1]总成本!L22</f>
        <v>0</v>
      </c>
      <c r="M13" s="224">
        <f t="shared" si="2"/>
        <v>0</v>
      </c>
    </row>
    <row r="14" ht="15" customHeight="1" spans="1:13">
      <c r="A14" s="218">
        <v>2.4</v>
      </c>
      <c r="B14" s="221" t="s">
        <v>133</v>
      </c>
      <c r="C14" s="222">
        <f>[1]价格!D15</f>
        <v>0</v>
      </c>
      <c r="D14" s="222">
        <f>[1]价格!E15</f>
        <v>0</v>
      </c>
      <c r="E14" s="222">
        <f>[1]价格!F15</f>
        <v>0</v>
      </c>
      <c r="F14" s="222">
        <f>[1]价格!G15</f>
        <v>0</v>
      </c>
      <c r="G14" s="222">
        <f>[1]价格!H15</f>
        <v>0</v>
      </c>
      <c r="H14" s="222">
        <f>[1]价格!I15</f>
        <v>0</v>
      </c>
      <c r="I14" s="222">
        <f>[1]价格!J15</f>
        <v>0</v>
      </c>
      <c r="J14" s="222">
        <f>[1]价格!K15</f>
        <v>0</v>
      </c>
      <c r="K14" s="222">
        <f>[1]价格!L15</f>
        <v>0</v>
      </c>
      <c r="L14" s="222">
        <f>[1]价格!M15</f>
        <v>0</v>
      </c>
      <c r="M14" s="224">
        <f t="shared" si="2"/>
        <v>0</v>
      </c>
    </row>
    <row r="15" ht="15" customHeight="1" spans="1:13">
      <c r="A15" s="218">
        <v>2.5</v>
      </c>
      <c r="B15" s="221" t="s">
        <v>64</v>
      </c>
      <c r="C15" s="222">
        <f>[1]利润!C13</f>
        <v>0</v>
      </c>
      <c r="D15" s="222">
        <f>[1]利润!D13</f>
        <v>0</v>
      </c>
      <c r="E15" s="222">
        <f>[1]利润!E13</f>
        <v>0</v>
      </c>
      <c r="F15" s="222">
        <f>[1]利润!F13</f>
        <v>0</v>
      </c>
      <c r="G15" s="222">
        <f>[1]利润!G13</f>
        <v>0</v>
      </c>
      <c r="H15" s="222">
        <f>[1]利润!H13</f>
        <v>0</v>
      </c>
      <c r="I15" s="222">
        <f>[1]利润!I13</f>
        <v>0</v>
      </c>
      <c r="J15" s="222">
        <f>[1]利润!J13</f>
        <v>0</v>
      </c>
      <c r="K15" s="222">
        <f>[1]利润!K13</f>
        <v>0</v>
      </c>
      <c r="L15" s="222">
        <f>[1]利润!L13</f>
        <v>0</v>
      </c>
      <c r="M15" s="224">
        <f t="shared" si="2"/>
        <v>0</v>
      </c>
    </row>
    <row r="16" ht="15" customHeight="1" spans="1:13">
      <c r="A16" s="218">
        <v>2.6</v>
      </c>
      <c r="B16" s="221" t="s">
        <v>134</v>
      </c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4">
        <f t="shared" si="2"/>
        <v>0</v>
      </c>
    </row>
    <row r="17" ht="14" spans="1:13">
      <c r="A17" s="218">
        <v>3</v>
      </c>
      <c r="B17" s="219" t="s">
        <v>135</v>
      </c>
      <c r="C17" s="220">
        <f t="shared" ref="C17:L17" si="4">C5-C10</f>
        <v>0</v>
      </c>
      <c r="D17" s="220">
        <f t="shared" si="4"/>
        <v>0</v>
      </c>
      <c r="E17" s="220" t="e">
        <f t="shared" si="4"/>
        <v>#REF!</v>
      </c>
      <c r="F17" s="220" t="e">
        <f t="shared" si="4"/>
        <v>#REF!</v>
      </c>
      <c r="G17" s="220" t="e">
        <f t="shared" si="4"/>
        <v>#REF!</v>
      </c>
      <c r="H17" s="220">
        <f t="shared" si="4"/>
        <v>366000</v>
      </c>
      <c r="I17" s="220" t="e">
        <f t="shared" si="4"/>
        <v>#REF!</v>
      </c>
      <c r="J17" s="220" t="e">
        <f t="shared" si="4"/>
        <v>#REF!</v>
      </c>
      <c r="K17" s="220" t="e">
        <f t="shared" si="4"/>
        <v>#REF!</v>
      </c>
      <c r="L17" s="220">
        <f t="shared" si="4"/>
        <v>976000</v>
      </c>
      <c r="M17" s="224" t="e">
        <f t="shared" si="2"/>
        <v>#REF!</v>
      </c>
    </row>
    <row r="18" ht="14" spans="1:13">
      <c r="A18" s="225">
        <v>4</v>
      </c>
      <c r="B18" s="221" t="s">
        <v>136</v>
      </c>
      <c r="C18" s="222">
        <f>C17</f>
        <v>0</v>
      </c>
      <c r="D18" s="222">
        <f t="shared" ref="D18:L18" si="5">C18+D17</f>
        <v>0</v>
      </c>
      <c r="E18" s="222" t="e">
        <f t="shared" si="5"/>
        <v>#REF!</v>
      </c>
      <c r="F18" s="222" t="e">
        <f t="shared" si="5"/>
        <v>#REF!</v>
      </c>
      <c r="G18" s="222" t="e">
        <f t="shared" si="5"/>
        <v>#REF!</v>
      </c>
      <c r="H18" s="222" t="e">
        <f t="shared" si="5"/>
        <v>#REF!</v>
      </c>
      <c r="I18" s="222" t="e">
        <f t="shared" si="5"/>
        <v>#REF!</v>
      </c>
      <c r="J18" s="222" t="e">
        <f t="shared" si="5"/>
        <v>#REF!</v>
      </c>
      <c r="K18" s="222" t="e">
        <f t="shared" si="5"/>
        <v>#REF!</v>
      </c>
      <c r="L18" s="222" t="e">
        <f t="shared" si="5"/>
        <v>#REF!</v>
      </c>
      <c r="M18" s="221" t="s">
        <v>127</v>
      </c>
    </row>
    <row r="19" s="205" customFormat="1" ht="13" spans="1:13">
      <c r="A19" s="225">
        <v>5</v>
      </c>
      <c r="B19" s="221" t="s">
        <v>137</v>
      </c>
      <c r="C19" s="222">
        <f t="shared" ref="C19:L19" si="6">C17+C15</f>
        <v>0</v>
      </c>
      <c r="D19" s="222">
        <f t="shared" si="6"/>
        <v>0</v>
      </c>
      <c r="E19" s="222" t="e">
        <f t="shared" si="6"/>
        <v>#REF!</v>
      </c>
      <c r="F19" s="222" t="e">
        <f t="shared" si="6"/>
        <v>#REF!</v>
      </c>
      <c r="G19" s="222" t="e">
        <f t="shared" si="6"/>
        <v>#REF!</v>
      </c>
      <c r="H19" s="222">
        <f t="shared" si="6"/>
        <v>366000</v>
      </c>
      <c r="I19" s="222" t="e">
        <f t="shared" si="6"/>
        <v>#REF!</v>
      </c>
      <c r="J19" s="222" t="e">
        <f t="shared" si="6"/>
        <v>#REF!</v>
      </c>
      <c r="K19" s="222" t="e">
        <f t="shared" si="6"/>
        <v>#REF!</v>
      </c>
      <c r="L19" s="222">
        <f t="shared" si="6"/>
        <v>976000</v>
      </c>
      <c r="M19" s="224" t="e">
        <f>SUM(C19:L19)</f>
        <v>#REF!</v>
      </c>
    </row>
    <row r="20" s="205" customFormat="1" ht="13" spans="1:13">
      <c r="A20" s="218">
        <v>6</v>
      </c>
      <c r="B20" s="221" t="s">
        <v>138</v>
      </c>
      <c r="C20" s="222">
        <f>C19</f>
        <v>0</v>
      </c>
      <c r="D20" s="222">
        <f t="shared" ref="D20:L20" si="7">C20+D19</f>
        <v>0</v>
      </c>
      <c r="E20" s="222" t="e">
        <f t="shared" si="7"/>
        <v>#REF!</v>
      </c>
      <c r="F20" s="222" t="e">
        <f t="shared" si="7"/>
        <v>#REF!</v>
      </c>
      <c r="G20" s="222" t="e">
        <f t="shared" si="7"/>
        <v>#REF!</v>
      </c>
      <c r="H20" s="222" t="e">
        <f t="shared" si="7"/>
        <v>#REF!</v>
      </c>
      <c r="I20" s="222" t="e">
        <f t="shared" si="7"/>
        <v>#REF!</v>
      </c>
      <c r="J20" s="222" t="e">
        <f t="shared" si="7"/>
        <v>#REF!</v>
      </c>
      <c r="K20" s="222" t="e">
        <f t="shared" si="7"/>
        <v>#REF!</v>
      </c>
      <c r="L20" s="222" t="e">
        <f t="shared" si="7"/>
        <v>#REF!</v>
      </c>
      <c r="M20" s="221" t="s">
        <v>127</v>
      </c>
    </row>
    <row r="21" ht="14" spans="1:13">
      <c r="A21" s="226"/>
      <c r="B21" s="227" t="s">
        <v>139</v>
      </c>
      <c r="C21" s="227"/>
      <c r="D21" s="227"/>
      <c r="E21" s="227" t="s">
        <v>140</v>
      </c>
      <c r="F21" s="227"/>
      <c r="G21" s="227"/>
      <c r="H21" s="227"/>
      <c r="I21" s="227" t="s">
        <v>141</v>
      </c>
      <c r="J21" s="227"/>
      <c r="K21" s="227"/>
      <c r="L21" s="227"/>
      <c r="M21" s="238"/>
    </row>
    <row r="22" ht="14" spans="1:13">
      <c r="A22" s="228"/>
      <c r="B22" s="229" t="s">
        <v>142</v>
      </c>
      <c r="C22" s="229"/>
      <c r="D22" s="230" t="s">
        <v>143</v>
      </c>
      <c r="E22" s="231" t="e">
        <f>IRR(C17:L17,0.15)</f>
        <v>#VALUE!</v>
      </c>
      <c r="F22" s="229"/>
      <c r="G22" s="229"/>
      <c r="H22" s="229"/>
      <c r="I22" s="231" t="e">
        <f>IRR(C19:L19,0.15)</f>
        <v>#VALUE!</v>
      </c>
      <c r="J22" s="229"/>
      <c r="K22" s="229"/>
      <c r="L22" s="229"/>
      <c r="M22" s="239"/>
    </row>
    <row r="23" ht="14" spans="1:18">
      <c r="A23" s="228"/>
      <c r="B23" s="229" t="s">
        <v>144</v>
      </c>
      <c r="C23" s="229"/>
      <c r="D23" s="229"/>
      <c r="E23" s="232" t="e">
        <f>NPV(0.12,C17:L17)</f>
        <v>#REF!</v>
      </c>
      <c r="F23" s="229"/>
      <c r="G23" s="229"/>
      <c r="H23" s="229"/>
      <c r="I23" s="232" t="e">
        <f>NPV(0.12,C19:L19)</f>
        <v>#REF!</v>
      </c>
      <c r="J23" s="229"/>
      <c r="K23" s="229"/>
      <c r="L23" s="229"/>
      <c r="M23" s="239"/>
      <c r="R23" s="206">
        <f>30.9-29.82</f>
        <v>1.08</v>
      </c>
    </row>
    <row r="24" ht="14" spans="1:13">
      <c r="A24" s="233"/>
      <c r="B24" s="234" t="s">
        <v>145</v>
      </c>
      <c r="C24" s="234"/>
      <c r="D24" s="234"/>
      <c r="E24" s="235" t="e">
        <f>6-H18/I17</f>
        <v>#REF!</v>
      </c>
      <c r="F24" s="234"/>
      <c r="G24" s="234"/>
      <c r="H24" s="234"/>
      <c r="I24" s="235" t="e">
        <f>6-H20/I19</f>
        <v>#REF!</v>
      </c>
      <c r="J24" s="234"/>
      <c r="K24" s="234"/>
      <c r="L24" s="234"/>
      <c r="M24" s="240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74"/>
  <sheetViews>
    <sheetView workbookViewId="0">
      <pane xSplit="2" ySplit="7" topLeftCell="C8" activePane="bottomRight" state="frozen"/>
      <selection/>
      <selection pane="topRight"/>
      <selection pane="bottomLeft"/>
      <selection pane="bottomRight" activeCell="C27" sqref="C27:D27"/>
    </sheetView>
  </sheetViews>
  <sheetFormatPr defaultColWidth="9" defaultRowHeight="14.5"/>
  <cols>
    <col min="1" max="1" width="5.12727272727273" style="175" customWidth="1"/>
    <col min="2" max="2" width="17.5" style="175" customWidth="1"/>
    <col min="3" max="3" width="13.2545454545455" style="176" customWidth="1"/>
    <col min="4" max="4" width="18.7545454545455" style="176" customWidth="1"/>
    <col min="5" max="5" width="12.3727272727273" style="175" customWidth="1"/>
    <col min="6" max="6" width="10.1272727272727" style="175" customWidth="1"/>
    <col min="7" max="13" width="9" style="175" customWidth="1"/>
    <col min="14" max="30" width="9" style="175"/>
    <col min="31" max="31" width="4.37272727272727" style="175" customWidth="1"/>
    <col min="32" max="32" width="13.8727272727273" style="175" customWidth="1"/>
    <col min="33" max="16384" width="9" style="175"/>
  </cols>
  <sheetData>
    <row r="1" spans="1:4">
      <c r="A1" s="177" t="s">
        <v>146</v>
      </c>
      <c r="B1" s="177"/>
      <c r="C1" s="178" t="s">
        <v>147</v>
      </c>
      <c r="D1" s="179"/>
    </row>
    <row r="2" spans="1:4">
      <c r="A2" s="177" t="s">
        <v>148</v>
      </c>
      <c r="B2" s="177"/>
      <c r="C2" s="180" t="e">
        <f>#REF!</f>
        <v>#REF!</v>
      </c>
      <c r="D2" s="180"/>
    </row>
    <row r="3" ht="16.5" spans="1:4">
      <c r="A3" s="177" t="s">
        <v>149</v>
      </c>
      <c r="B3" s="177"/>
      <c r="C3" s="93" t="s">
        <v>150</v>
      </c>
      <c r="D3" s="181" t="s">
        <v>25</v>
      </c>
    </row>
    <row r="4" ht="33" spans="1:4">
      <c r="A4" s="177" t="s">
        <v>151</v>
      </c>
      <c r="B4" s="177"/>
      <c r="C4" s="97" t="s">
        <v>152</v>
      </c>
      <c r="D4" s="182"/>
    </row>
    <row r="5" spans="1:33">
      <c r="A5" s="177" t="s">
        <v>153</v>
      </c>
      <c r="B5" s="177"/>
      <c r="C5" s="183" t="s">
        <v>154</v>
      </c>
      <c r="D5" s="184"/>
      <c r="AG5" s="175" t="s">
        <v>26</v>
      </c>
    </row>
    <row r="6" ht="16.5" spans="1:33">
      <c r="A6" s="185" t="s">
        <v>21</v>
      </c>
      <c r="B6" s="186" t="s">
        <v>155</v>
      </c>
      <c r="C6" s="187">
        <f>销量!C9</f>
        <v>200</v>
      </c>
      <c r="D6" s="188">
        <f t="shared" ref="D6:D15" si="0">SUM(C6:C6)</f>
        <v>200</v>
      </c>
      <c r="O6" s="186" t="s">
        <v>3</v>
      </c>
      <c r="AE6" s="185" t="s">
        <v>21</v>
      </c>
      <c r="AF6" s="186" t="s">
        <v>3</v>
      </c>
      <c r="AG6" s="175" t="s">
        <v>27</v>
      </c>
    </row>
    <row r="7" spans="1:33">
      <c r="A7" s="177">
        <v>1</v>
      </c>
      <c r="B7" s="186" t="s">
        <v>28</v>
      </c>
      <c r="C7" s="188">
        <f>C6*销量!C8</f>
        <v>244000</v>
      </c>
      <c r="D7" s="188">
        <f t="shared" si="0"/>
        <v>244000</v>
      </c>
      <c r="E7" s="176"/>
      <c r="O7" s="186" t="s">
        <v>28</v>
      </c>
      <c r="AE7" s="185" t="s">
        <v>29</v>
      </c>
      <c r="AF7" s="186" t="s">
        <v>28</v>
      </c>
      <c r="AG7" s="175" t="s">
        <v>27</v>
      </c>
    </row>
    <row r="8" spans="1:33">
      <c r="A8" s="177">
        <v>2</v>
      </c>
      <c r="B8" s="177" t="s">
        <v>30</v>
      </c>
      <c r="C8" s="188"/>
      <c r="D8" s="188">
        <f t="shared" si="0"/>
        <v>0</v>
      </c>
      <c r="E8" s="189"/>
      <c r="O8" s="177" t="s">
        <v>32</v>
      </c>
      <c r="AE8" s="185" t="s">
        <v>31</v>
      </c>
      <c r="AF8" s="177" t="s">
        <v>32</v>
      </c>
      <c r="AG8" s="175" t="s">
        <v>27</v>
      </c>
    </row>
    <row r="9" spans="1:33">
      <c r="A9" s="177">
        <v>3</v>
      </c>
      <c r="B9" s="186" t="s">
        <v>33</v>
      </c>
      <c r="C9" s="188">
        <f>+C7-C8</f>
        <v>244000</v>
      </c>
      <c r="D9" s="188">
        <f t="shared" si="0"/>
        <v>244000</v>
      </c>
      <c r="O9" s="186" t="s">
        <v>33</v>
      </c>
      <c r="AE9" s="185" t="s">
        <v>34</v>
      </c>
      <c r="AF9" s="186" t="s">
        <v>33</v>
      </c>
      <c r="AG9" s="175" t="s">
        <v>35</v>
      </c>
    </row>
    <row r="10" spans="1:33">
      <c r="A10" s="177">
        <v>4</v>
      </c>
      <c r="B10" s="185" t="s">
        <v>36</v>
      </c>
      <c r="C10" s="188">
        <f>C6*C33</f>
        <v>171800</v>
      </c>
      <c r="D10" s="188">
        <f t="shared" si="0"/>
        <v>171800</v>
      </c>
      <c r="O10" s="185" t="s">
        <v>36</v>
      </c>
      <c r="AE10" s="185" t="s">
        <v>37</v>
      </c>
      <c r="AF10" s="185" t="s">
        <v>36</v>
      </c>
      <c r="AG10" s="175" t="s">
        <v>38</v>
      </c>
    </row>
    <row r="11" spans="1:32">
      <c r="A11" s="177">
        <v>5</v>
      </c>
      <c r="B11" s="185" t="s">
        <v>39</v>
      </c>
      <c r="C11" s="188">
        <f>+C6*C36</f>
        <v>10516.4</v>
      </c>
      <c r="D11" s="188">
        <f t="shared" si="0"/>
        <v>10516.4</v>
      </c>
      <c r="O11" s="185" t="s">
        <v>39</v>
      </c>
      <c r="AE11" s="185" t="s">
        <v>40</v>
      </c>
      <c r="AF11" s="185" t="s">
        <v>39</v>
      </c>
    </row>
    <row r="12" spans="1:32">
      <c r="A12" s="177">
        <v>6</v>
      </c>
      <c r="B12" s="185" t="s">
        <v>41</v>
      </c>
      <c r="C12" s="188">
        <f>+C6*C37</f>
        <v>5294.8</v>
      </c>
      <c r="D12" s="188">
        <f t="shared" si="0"/>
        <v>5294.8</v>
      </c>
      <c r="O12" s="185" t="s">
        <v>41</v>
      </c>
      <c r="AE12" s="185" t="s">
        <v>42</v>
      </c>
      <c r="AF12" s="185" t="s">
        <v>41</v>
      </c>
    </row>
    <row r="13" spans="1:33">
      <c r="A13" s="177">
        <v>7</v>
      </c>
      <c r="B13" s="185" t="s">
        <v>43</v>
      </c>
      <c r="C13" s="188">
        <f>+C6*C38</f>
        <v>10736</v>
      </c>
      <c r="D13" s="188">
        <f t="shared" si="0"/>
        <v>10736</v>
      </c>
      <c r="O13" s="185" t="s">
        <v>43</v>
      </c>
      <c r="AE13" s="185" t="s">
        <v>44</v>
      </c>
      <c r="AF13" s="185" t="s">
        <v>43</v>
      </c>
      <c r="AG13" s="175" t="s">
        <v>27</v>
      </c>
    </row>
    <row r="14" spans="1:32">
      <c r="A14" s="177">
        <v>8</v>
      </c>
      <c r="B14" s="190" t="s">
        <v>45</v>
      </c>
      <c r="C14" s="188">
        <f>SUM(C11:C13)</f>
        <v>26547.2</v>
      </c>
      <c r="D14" s="188">
        <f t="shared" si="0"/>
        <v>26547.2</v>
      </c>
      <c r="O14" s="190" t="s">
        <v>45</v>
      </c>
      <c r="AE14" s="185" t="s">
        <v>46</v>
      </c>
      <c r="AF14" s="190" t="s">
        <v>45</v>
      </c>
    </row>
    <row r="15" spans="1:32">
      <c r="A15" s="177">
        <v>9</v>
      </c>
      <c r="B15" s="190" t="s">
        <v>47</v>
      </c>
      <c r="C15" s="188">
        <f>+C9-C10-C14</f>
        <v>45652.8</v>
      </c>
      <c r="D15" s="188">
        <f t="shared" si="0"/>
        <v>45652.8</v>
      </c>
      <c r="O15" s="190" t="s">
        <v>47</v>
      </c>
      <c r="AE15" s="185" t="s">
        <v>48</v>
      </c>
      <c r="AF15" s="190" t="s">
        <v>47</v>
      </c>
    </row>
    <row r="16" spans="1:32">
      <c r="A16" s="177">
        <v>10</v>
      </c>
      <c r="B16" s="185" t="s">
        <v>49</v>
      </c>
      <c r="C16" s="191">
        <f>+C15/C9</f>
        <v>0.187101639344262</v>
      </c>
      <c r="D16" s="191">
        <f t="shared" ref="D16" si="1">+D15/D9</f>
        <v>0.187101639344262</v>
      </c>
      <c r="O16" s="185" t="s">
        <v>49</v>
      </c>
      <c r="AE16" s="185" t="s">
        <v>50</v>
      </c>
      <c r="AF16" s="185" t="s">
        <v>49</v>
      </c>
    </row>
    <row r="17" spans="1:32">
      <c r="A17" s="177">
        <v>11</v>
      </c>
      <c r="B17" s="185" t="s">
        <v>51</v>
      </c>
      <c r="C17" s="188">
        <f>C6*C43+C18</f>
        <v>10004</v>
      </c>
      <c r="D17" s="188">
        <f>SUM(C17:C17)</f>
        <v>10004</v>
      </c>
      <c r="E17" s="189"/>
      <c r="O17" s="185" t="s">
        <v>51</v>
      </c>
      <c r="AE17" s="185" t="s">
        <v>52</v>
      </c>
      <c r="AF17" s="185" t="s">
        <v>51</v>
      </c>
    </row>
    <row r="18" s="173" customFormat="1" spans="1:7">
      <c r="A18" s="177">
        <v>12</v>
      </c>
      <c r="B18" s="192" t="s">
        <v>156</v>
      </c>
      <c r="C18" s="193">
        <f>$D$18/$D$6*C6</f>
        <v>0</v>
      </c>
      <c r="D18" s="193">
        <f>项目投资!D26</f>
        <v>0</v>
      </c>
      <c r="E18" s="194" t="s">
        <v>157</v>
      </c>
      <c r="F18" s="194"/>
      <c r="G18" s="194"/>
    </row>
    <row r="19" spans="1:33">
      <c r="A19" s="177">
        <v>13</v>
      </c>
      <c r="B19" s="185" t="s">
        <v>53</v>
      </c>
      <c r="C19" s="188">
        <f>C6*C44</f>
        <v>1708</v>
      </c>
      <c r="D19" s="188">
        <f>SUM(C19:C19)</f>
        <v>1708</v>
      </c>
      <c r="E19" s="173"/>
      <c r="O19" s="185" t="s">
        <v>53</v>
      </c>
      <c r="AE19" s="185" t="s">
        <v>54</v>
      </c>
      <c r="AF19" s="185" t="s">
        <v>53</v>
      </c>
      <c r="AG19" s="175" t="s">
        <v>27</v>
      </c>
    </row>
    <row r="20" spans="1:32">
      <c r="A20" s="177">
        <v>14</v>
      </c>
      <c r="B20" s="185" t="s">
        <v>55</v>
      </c>
      <c r="C20" s="188">
        <f>C6*C45</f>
        <v>8296</v>
      </c>
      <c r="D20" s="188">
        <f>SUM(C20:C20)</f>
        <v>8296</v>
      </c>
      <c r="O20" s="185" t="s">
        <v>55</v>
      </c>
      <c r="AE20" s="185" t="s">
        <v>56</v>
      </c>
      <c r="AF20" s="185" t="s">
        <v>55</v>
      </c>
    </row>
    <row r="21" spans="1:32">
      <c r="A21" s="177">
        <v>15</v>
      </c>
      <c r="B21" s="185" t="s">
        <v>57</v>
      </c>
      <c r="C21" s="195">
        <f>$D$21/$D$6*C6</f>
        <v>39166.6666666667</v>
      </c>
      <c r="D21" s="188">
        <f>项目投资!D27</f>
        <v>39166.6666666667</v>
      </c>
      <c r="O21" s="185" t="s">
        <v>57</v>
      </c>
      <c r="AE21" s="185"/>
      <c r="AF21" s="185"/>
    </row>
    <row r="22" spans="1:32">
      <c r="A22" s="177">
        <v>16</v>
      </c>
      <c r="B22" s="185" t="s">
        <v>58</v>
      </c>
      <c r="C22" s="188">
        <f>C6*C47</f>
        <v>7320</v>
      </c>
      <c r="D22" s="188">
        <f>SUM(C22:C22)</f>
        <v>7320</v>
      </c>
      <c r="O22" s="185" t="s">
        <v>58</v>
      </c>
      <c r="AE22" s="185" t="s">
        <v>59</v>
      </c>
      <c r="AF22" s="185" t="s">
        <v>58</v>
      </c>
    </row>
    <row r="23" spans="1:32">
      <c r="A23" s="177">
        <v>17</v>
      </c>
      <c r="B23" s="190" t="s">
        <v>60</v>
      </c>
      <c r="C23" s="195">
        <f>+C22+C21+C20+C19+C17</f>
        <v>66494.6666666667</v>
      </c>
      <c r="D23" s="195">
        <f t="shared" ref="D23" si="2">+D22+D21+D20+D19+D17</f>
        <v>66494.6666666667</v>
      </c>
      <c r="O23" s="190" t="s">
        <v>60</v>
      </c>
      <c r="AE23" s="185" t="s">
        <v>61</v>
      </c>
      <c r="AF23" s="190" t="s">
        <v>60</v>
      </c>
    </row>
    <row r="24" spans="1:32">
      <c r="A24" s="177">
        <v>18</v>
      </c>
      <c r="B24" s="196" t="s">
        <v>62</v>
      </c>
      <c r="C24" s="195">
        <f>+C15-C23</f>
        <v>-20841.8666666667</v>
      </c>
      <c r="D24" s="195">
        <f t="shared" ref="D24" si="3">+D15-D23</f>
        <v>-20841.8666666667</v>
      </c>
      <c r="F24" s="197"/>
      <c r="O24" s="185" t="s">
        <v>62</v>
      </c>
      <c r="AE24" s="185" t="s">
        <v>63</v>
      </c>
      <c r="AF24" s="185" t="s">
        <v>62</v>
      </c>
    </row>
    <row r="25" spans="1:32">
      <c r="A25" s="177">
        <v>19</v>
      </c>
      <c r="B25" s="185" t="s">
        <v>158</v>
      </c>
      <c r="C25" s="195">
        <f>IF(C24&lt;0,0,C24*0.15)</f>
        <v>0</v>
      </c>
      <c r="D25" s="195">
        <f>IF(D24&lt;0,0,D24*0.15)</f>
        <v>0</v>
      </c>
      <c r="E25" s="2"/>
      <c r="F25" s="2"/>
      <c r="G25" s="2"/>
      <c r="O25" s="185" t="s">
        <v>64</v>
      </c>
      <c r="AE25" s="185" t="s">
        <v>65</v>
      </c>
      <c r="AF25" s="185" t="s">
        <v>64</v>
      </c>
    </row>
    <row r="26" spans="1:32">
      <c r="A26" s="177">
        <v>20</v>
      </c>
      <c r="B26" s="185" t="s">
        <v>66</v>
      </c>
      <c r="C26" s="195">
        <f t="shared" ref="C26" si="4">C24-C25</f>
        <v>-20841.8666666667</v>
      </c>
      <c r="D26" s="188">
        <f>D24-D25</f>
        <v>-20841.8666666667</v>
      </c>
      <c r="E26" s="2"/>
      <c r="F26" s="2"/>
      <c r="G26" s="2"/>
      <c r="O26" s="185" t="s">
        <v>66</v>
      </c>
      <c r="AE26" s="185" t="s">
        <v>67</v>
      </c>
      <c r="AF26" s="185" t="s">
        <v>66</v>
      </c>
    </row>
    <row r="27" spans="1:32">
      <c r="A27" s="177">
        <v>21</v>
      </c>
      <c r="B27" s="185" t="s">
        <v>70</v>
      </c>
      <c r="C27" s="198">
        <f>C26/C9</f>
        <v>-0.0854174863387978</v>
      </c>
      <c r="D27" s="198">
        <f>D26/D9</f>
        <v>-0.0854174863387978</v>
      </c>
      <c r="E27" s="2"/>
      <c r="F27" s="2"/>
      <c r="G27" s="2"/>
      <c r="O27" s="185" t="s">
        <v>70</v>
      </c>
      <c r="AE27" s="185" t="s">
        <v>69</v>
      </c>
      <c r="AF27" s="185" t="s">
        <v>70</v>
      </c>
    </row>
    <row r="28" spans="5:15">
      <c r="E28" s="2"/>
      <c r="F28" s="2"/>
      <c r="G28" s="2"/>
      <c r="O28" s="185"/>
    </row>
    <row r="29" spans="1:31">
      <c r="A29" s="175" t="s">
        <v>71</v>
      </c>
      <c r="D29" s="176" t="s">
        <v>20</v>
      </c>
      <c r="E29" s="2"/>
      <c r="F29" s="2"/>
      <c r="G29" s="2"/>
      <c r="O29" s="185"/>
      <c r="AE29" s="175" t="s">
        <v>71</v>
      </c>
    </row>
    <row r="30" spans="1:32">
      <c r="A30" s="185" t="s">
        <v>72</v>
      </c>
      <c r="B30" s="190" t="s">
        <v>73</v>
      </c>
      <c r="C30" s="195"/>
      <c r="D30" s="195"/>
      <c r="E30" s="2"/>
      <c r="F30" s="2"/>
      <c r="G30" s="2"/>
      <c r="I30" s="2"/>
      <c r="O30" s="190" t="s">
        <v>73</v>
      </c>
      <c r="AE30" s="185" t="s">
        <v>74</v>
      </c>
      <c r="AF30" s="190" t="s">
        <v>73</v>
      </c>
    </row>
    <row r="31" spans="1:32">
      <c r="A31" s="177">
        <v>1</v>
      </c>
      <c r="B31" s="192" t="s">
        <v>75</v>
      </c>
      <c r="C31" s="199">
        <f>销量!C8</f>
        <v>1220</v>
      </c>
      <c r="D31" s="195"/>
      <c r="E31" s="2"/>
      <c r="F31" s="2"/>
      <c r="G31" s="2"/>
      <c r="I31" s="2"/>
      <c r="O31" s="185" t="s">
        <v>75</v>
      </c>
      <c r="AE31" s="185" t="s">
        <v>29</v>
      </c>
      <c r="AF31" s="185" t="s">
        <v>75</v>
      </c>
    </row>
    <row r="32" spans="1:32">
      <c r="A32" s="177">
        <v>2</v>
      </c>
      <c r="B32" s="185" t="s">
        <v>159</v>
      </c>
      <c r="C32" s="188">
        <f>C9/C6</f>
        <v>1220</v>
      </c>
      <c r="D32" s="195"/>
      <c r="E32" s="2"/>
      <c r="F32" s="2"/>
      <c r="G32" s="2"/>
      <c r="H32" s="2"/>
      <c r="I32" s="2"/>
      <c r="J32" s="2"/>
      <c r="K32" s="2"/>
      <c r="AE32" s="185"/>
      <c r="AF32" s="185"/>
    </row>
    <row r="33" ht="16.5" spans="1:32">
      <c r="A33" s="177">
        <v>3</v>
      </c>
      <c r="B33" s="192" t="s">
        <v>76</v>
      </c>
      <c r="C33" s="70">
        <f>材料成本!E20</f>
        <v>859</v>
      </c>
      <c r="D33" s="195"/>
      <c r="F33" s="2"/>
      <c r="G33" s="2"/>
      <c r="H33" s="2"/>
      <c r="I33" s="2"/>
      <c r="J33" s="2"/>
      <c r="K33" s="2"/>
      <c r="O33" s="185" t="s">
        <v>76</v>
      </c>
      <c r="AE33" s="185" t="s">
        <v>31</v>
      </c>
      <c r="AF33" s="185" t="s">
        <v>76</v>
      </c>
    </row>
    <row r="34" ht="17.25" customHeight="1" spans="1:32">
      <c r="A34" s="177">
        <v>4</v>
      </c>
      <c r="B34" s="185" t="s">
        <v>78</v>
      </c>
      <c r="C34" s="200">
        <f>C32-C33</f>
        <v>361</v>
      </c>
      <c r="D34" s="195"/>
      <c r="F34" s="2"/>
      <c r="G34" s="2"/>
      <c r="H34" s="2"/>
      <c r="I34" s="2"/>
      <c r="J34" s="2"/>
      <c r="K34" s="2"/>
      <c r="O34" s="185" t="s">
        <v>78</v>
      </c>
      <c r="AE34" s="185" t="s">
        <v>77</v>
      </c>
      <c r="AF34" s="185" t="s">
        <v>78</v>
      </c>
    </row>
    <row r="35" spans="1:32">
      <c r="A35" s="185" t="s">
        <v>74</v>
      </c>
      <c r="B35" s="190" t="s">
        <v>10</v>
      </c>
      <c r="C35" s="195"/>
      <c r="D35" s="195"/>
      <c r="E35" s="2"/>
      <c r="F35" s="2"/>
      <c r="G35" s="2"/>
      <c r="H35" s="2"/>
      <c r="I35" s="2"/>
      <c r="J35" s="2"/>
      <c r="K35" s="2"/>
      <c r="L35" s="2"/>
      <c r="M35" s="2"/>
      <c r="N35" s="2"/>
      <c r="O35" s="190" t="s">
        <v>10</v>
      </c>
      <c r="AE35" s="185" t="s">
        <v>80</v>
      </c>
      <c r="AF35" s="190" t="s">
        <v>10</v>
      </c>
    </row>
    <row r="36" spans="1:32">
      <c r="A36" s="177">
        <v>1</v>
      </c>
      <c r="B36" s="185" t="s">
        <v>81</v>
      </c>
      <c r="C36" s="193">
        <f>标准成本!D4</f>
        <v>52.582</v>
      </c>
      <c r="D36" s="199"/>
      <c r="E36" s="2"/>
      <c r="F36" s="2"/>
      <c r="G36" s="2"/>
      <c r="H36" s="2"/>
      <c r="I36" s="2"/>
      <c r="J36" s="2"/>
      <c r="K36" s="2"/>
      <c r="L36" s="2"/>
      <c r="M36" s="2"/>
      <c r="N36" s="2"/>
      <c r="O36" s="185" t="s">
        <v>81</v>
      </c>
      <c r="AE36" s="185" t="s">
        <v>77</v>
      </c>
      <c r="AF36" s="185" t="s">
        <v>81</v>
      </c>
    </row>
    <row r="37" spans="1:32">
      <c r="A37" s="177">
        <v>2</v>
      </c>
      <c r="B37" s="185" t="s">
        <v>82</v>
      </c>
      <c r="C37" s="193">
        <f>标准成本!D6</f>
        <v>26.474</v>
      </c>
      <c r="D37" s="199"/>
      <c r="E37" s="2"/>
      <c r="F37" s="2"/>
      <c r="G37" s="2"/>
      <c r="H37" s="2"/>
      <c r="I37" s="2"/>
      <c r="J37" s="2"/>
      <c r="K37" s="2"/>
      <c r="L37" s="2"/>
      <c r="M37" s="2"/>
      <c r="N37" s="2"/>
      <c r="O37" s="185" t="s">
        <v>82</v>
      </c>
      <c r="AE37" s="185" t="s">
        <v>34</v>
      </c>
      <c r="AF37" s="185" t="s">
        <v>82</v>
      </c>
    </row>
    <row r="38" spans="1:32">
      <c r="A38" s="177">
        <v>3</v>
      </c>
      <c r="B38" s="185" t="s">
        <v>83</v>
      </c>
      <c r="C38" s="193">
        <f>标准成本!D10</f>
        <v>53.68</v>
      </c>
      <c r="D38" s="199"/>
      <c r="E38" s="2"/>
      <c r="F38" s="2"/>
      <c r="G38" s="2"/>
      <c r="H38" s="2"/>
      <c r="I38" s="2"/>
      <c r="J38" s="2"/>
      <c r="K38" s="2"/>
      <c r="L38" s="2"/>
      <c r="M38" s="2"/>
      <c r="N38" s="2"/>
      <c r="O38" s="185" t="s">
        <v>83</v>
      </c>
      <c r="AE38" s="185" t="s">
        <v>40</v>
      </c>
      <c r="AF38" s="185" t="s">
        <v>83</v>
      </c>
    </row>
    <row r="39" spans="1:32">
      <c r="A39" s="185" t="s">
        <v>80</v>
      </c>
      <c r="B39" s="190" t="s">
        <v>85</v>
      </c>
      <c r="C39" s="195"/>
      <c r="D39" s="195"/>
      <c r="O39" s="190" t="s">
        <v>85</v>
      </c>
      <c r="AE39" s="185" t="s">
        <v>84</v>
      </c>
      <c r="AF39" s="190" t="s">
        <v>85</v>
      </c>
    </row>
    <row r="40" spans="1:32">
      <c r="A40" s="177">
        <v>1</v>
      </c>
      <c r="B40" s="185" t="s">
        <v>86</v>
      </c>
      <c r="C40" s="195">
        <f>C34-C36-C37-C38</f>
        <v>228.264</v>
      </c>
      <c r="D40" s="195"/>
      <c r="O40" s="185" t="s">
        <v>86</v>
      </c>
      <c r="AE40" s="185" t="s">
        <v>29</v>
      </c>
      <c r="AF40" s="185" t="s">
        <v>86</v>
      </c>
    </row>
    <row r="41" spans="1:32">
      <c r="A41" s="177">
        <v>2</v>
      </c>
      <c r="B41" s="185" t="s">
        <v>87</v>
      </c>
      <c r="C41" s="195"/>
      <c r="D41" s="195"/>
      <c r="O41" s="185" t="s">
        <v>87</v>
      </c>
      <c r="AE41" s="185" t="s">
        <v>31</v>
      </c>
      <c r="AF41" s="185" t="s">
        <v>87</v>
      </c>
    </row>
    <row r="42" spans="1:32">
      <c r="A42" s="185" t="s">
        <v>84</v>
      </c>
      <c r="B42" s="190" t="s">
        <v>89</v>
      </c>
      <c r="C42" s="195"/>
      <c r="D42" s="195"/>
      <c r="O42" s="190" t="s">
        <v>89</v>
      </c>
      <c r="AE42" s="185" t="s">
        <v>88</v>
      </c>
      <c r="AF42" s="190" t="s">
        <v>89</v>
      </c>
    </row>
    <row r="43" spans="1:32">
      <c r="A43" s="177">
        <v>1</v>
      </c>
      <c r="B43" s="196" t="s">
        <v>90</v>
      </c>
      <c r="C43" s="193">
        <f>标准成本!D5</f>
        <v>50.02</v>
      </c>
      <c r="D43" s="195"/>
      <c r="O43" s="185" t="s">
        <v>90</v>
      </c>
      <c r="AE43" s="185" t="s">
        <v>29</v>
      </c>
      <c r="AF43" s="185" t="s">
        <v>90</v>
      </c>
    </row>
    <row r="44" spans="1:32">
      <c r="A44" s="177">
        <v>2</v>
      </c>
      <c r="B44" s="196" t="s">
        <v>91</v>
      </c>
      <c r="C44" s="193">
        <f>标准成本!D9</f>
        <v>8.54</v>
      </c>
      <c r="D44" s="195"/>
      <c r="O44" s="185" t="s">
        <v>91</v>
      </c>
      <c r="AE44" s="185" t="s">
        <v>31</v>
      </c>
      <c r="AF44" s="185" t="s">
        <v>91</v>
      </c>
    </row>
    <row r="45" spans="1:32">
      <c r="A45" s="177">
        <v>3</v>
      </c>
      <c r="B45" s="196" t="s">
        <v>92</v>
      </c>
      <c r="C45" s="193">
        <f>标准成本!D8</f>
        <v>41.48</v>
      </c>
      <c r="D45" s="195"/>
      <c r="O45" s="185" t="s">
        <v>92</v>
      </c>
      <c r="AE45" s="185" t="s">
        <v>77</v>
      </c>
      <c r="AF45" s="185" t="s">
        <v>92</v>
      </c>
    </row>
    <row r="46" s="174" customFormat="1" spans="1:32">
      <c r="A46" s="177">
        <v>4</v>
      </c>
      <c r="B46" s="196" t="s">
        <v>93</v>
      </c>
      <c r="C46" s="201">
        <f>C21/C6</f>
        <v>195.833333333333</v>
      </c>
      <c r="D46" s="201"/>
      <c r="O46" s="196" t="s">
        <v>95</v>
      </c>
      <c r="AE46" s="196" t="s">
        <v>37</v>
      </c>
      <c r="AF46" s="196" t="s">
        <v>95</v>
      </c>
    </row>
    <row r="47" s="174" customFormat="1" spans="1:32">
      <c r="A47" s="177">
        <v>5</v>
      </c>
      <c r="B47" s="196" t="s">
        <v>95</v>
      </c>
      <c r="C47" s="201">
        <f>标准成本!D11</f>
        <v>36.6</v>
      </c>
      <c r="D47" s="201"/>
      <c r="O47" s="196" t="s">
        <v>95</v>
      </c>
      <c r="AE47" s="196" t="s">
        <v>37</v>
      </c>
      <c r="AF47" s="196" t="s">
        <v>95</v>
      </c>
    </row>
    <row r="48" spans="1:32">
      <c r="A48" s="185" t="s">
        <v>88</v>
      </c>
      <c r="B48" s="190" t="s">
        <v>106</v>
      </c>
      <c r="C48" s="195">
        <f>C40-C43-C44-C45-C47-C46</f>
        <v>-104.209333333333</v>
      </c>
      <c r="D48" s="195"/>
      <c r="O48" s="190" t="s">
        <v>106</v>
      </c>
      <c r="AE48" s="185" t="s">
        <v>105</v>
      </c>
      <c r="AF48" s="190" t="s">
        <v>106</v>
      </c>
    </row>
    <row r="51" spans="3:3">
      <c r="C51" s="202"/>
    </row>
    <row r="54" spans="2:9">
      <c r="B54" s="2"/>
      <c r="C54" s="27"/>
      <c r="D54" s="27"/>
      <c r="E54" s="2"/>
      <c r="F54" s="2"/>
      <c r="G54" s="2"/>
      <c r="H54" s="2"/>
      <c r="I54" s="2"/>
    </row>
    <row r="55" spans="2:9">
      <c r="B55" s="2"/>
      <c r="C55" s="27"/>
      <c r="D55" s="27"/>
      <c r="E55" s="2"/>
      <c r="F55" s="2"/>
      <c r="G55" s="2"/>
      <c r="H55" s="2"/>
      <c r="I55" s="2"/>
    </row>
    <row r="56" spans="2:9">
      <c r="B56" s="2"/>
      <c r="C56" s="27"/>
      <c r="D56" s="27"/>
      <c r="E56" s="2"/>
      <c r="F56" s="2"/>
      <c r="G56" s="2"/>
      <c r="H56" s="2"/>
      <c r="I56" s="2"/>
    </row>
    <row r="57" spans="2:9">
      <c r="B57" s="2"/>
      <c r="C57" s="27"/>
      <c r="D57" s="27"/>
      <c r="E57" s="2"/>
      <c r="F57" s="2"/>
      <c r="G57" s="2"/>
      <c r="H57" s="2"/>
      <c r="I57" s="2"/>
    </row>
    <row r="58" spans="2:9">
      <c r="B58" s="2"/>
      <c r="C58" s="27"/>
      <c r="D58" s="27"/>
      <c r="E58" s="2"/>
      <c r="F58" s="2"/>
      <c r="G58" s="2"/>
      <c r="H58" s="2"/>
      <c r="I58" s="2"/>
    </row>
    <row r="59" spans="2:9">
      <c r="B59" s="2"/>
      <c r="C59" s="27"/>
      <c r="D59" s="27"/>
      <c r="E59" s="2"/>
      <c r="F59" s="2"/>
      <c r="G59" s="2"/>
      <c r="H59" s="2"/>
      <c r="I59" s="2"/>
    </row>
    <row r="60" spans="2:9">
      <c r="B60" s="2"/>
      <c r="C60" s="27"/>
      <c r="D60" s="27"/>
      <c r="E60" s="2"/>
      <c r="F60" s="2"/>
      <c r="G60" s="2"/>
      <c r="H60" s="2"/>
      <c r="I60" s="2"/>
    </row>
    <row r="61" spans="2:9">
      <c r="B61" s="2"/>
      <c r="C61" s="27"/>
      <c r="D61" s="27"/>
      <c r="E61" s="2"/>
      <c r="F61" s="2"/>
      <c r="G61" s="2"/>
      <c r="H61" s="2"/>
      <c r="I61" s="2"/>
    </row>
    <row r="62" spans="2:9">
      <c r="B62" s="2"/>
      <c r="C62" s="27"/>
      <c r="D62" s="27"/>
      <c r="E62" s="2"/>
      <c r="F62" s="2"/>
      <c r="G62" s="2"/>
      <c r="H62" s="2"/>
      <c r="I62" s="2"/>
    </row>
    <row r="63" spans="2:9">
      <c r="B63" s="2"/>
      <c r="C63" s="27"/>
      <c r="D63" s="27"/>
      <c r="E63" s="2"/>
      <c r="F63" s="2"/>
      <c r="G63" s="2"/>
      <c r="H63" s="2"/>
      <c r="I63" s="2"/>
    </row>
    <row r="64" spans="2:9">
      <c r="B64" s="2"/>
      <c r="C64" s="27"/>
      <c r="D64" s="27"/>
      <c r="E64" s="2"/>
      <c r="F64" s="2"/>
      <c r="G64" s="2"/>
      <c r="H64" s="2"/>
      <c r="I64" s="2"/>
    </row>
    <row r="65" spans="2:9">
      <c r="B65" s="2"/>
      <c r="C65" s="27"/>
      <c r="D65" s="27"/>
      <c r="E65" s="2"/>
      <c r="F65" s="2"/>
      <c r="G65" s="2"/>
      <c r="H65" s="2"/>
      <c r="I65" s="2"/>
    </row>
    <row r="66" spans="2:9">
      <c r="B66" s="2"/>
      <c r="C66" s="27"/>
      <c r="D66" s="27"/>
      <c r="E66" s="2"/>
      <c r="F66" s="2"/>
      <c r="G66" s="2"/>
      <c r="H66" s="2"/>
      <c r="I66" s="2"/>
    </row>
    <row r="67" spans="2:5">
      <c r="B67" s="2"/>
      <c r="C67" s="27"/>
      <c r="D67" s="27"/>
      <c r="E67" s="2"/>
    </row>
    <row r="68" spans="2:5">
      <c r="B68" s="2"/>
      <c r="C68" s="27"/>
      <c r="D68" s="27"/>
      <c r="E68" s="2"/>
    </row>
    <row r="69" spans="2:5">
      <c r="B69" s="2"/>
      <c r="C69" s="27"/>
      <c r="D69" s="27"/>
      <c r="E69" s="2"/>
    </row>
    <row r="70" spans="2:5">
      <c r="B70" s="2"/>
      <c r="C70" s="27"/>
      <c r="D70" s="27"/>
      <c r="E70" s="2"/>
    </row>
    <row r="71" spans="2:5">
      <c r="B71" s="2"/>
      <c r="C71" s="27"/>
      <c r="D71" s="27"/>
      <c r="E71" s="2"/>
    </row>
    <row r="72" spans="2:5">
      <c r="B72" s="2"/>
      <c r="C72" s="27"/>
      <c r="D72" s="27"/>
      <c r="E72" s="2"/>
    </row>
    <row r="73" spans="2:5">
      <c r="B73" s="2"/>
      <c r="C73" s="27"/>
      <c r="D73" s="27"/>
      <c r="E73" s="2"/>
    </row>
    <row r="74" spans="2:5">
      <c r="B74" s="2"/>
      <c r="C74" s="27"/>
      <c r="D74" s="27"/>
      <c r="E74" s="2"/>
    </row>
  </sheetData>
  <mergeCells count="8">
    <mergeCell ref="A1:B1"/>
    <mergeCell ref="C1:D1"/>
    <mergeCell ref="A2:B2"/>
    <mergeCell ref="C2:D2"/>
    <mergeCell ref="A3:B3"/>
    <mergeCell ref="A4:B4"/>
    <mergeCell ref="A5:B5"/>
    <mergeCell ref="D3:D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74"/>
  <sheetViews>
    <sheetView workbookViewId="0">
      <pane xSplit="2" ySplit="7" topLeftCell="C8" activePane="bottomRight" state="frozen"/>
      <selection/>
      <selection pane="topRight"/>
      <selection pane="bottomLeft"/>
      <selection pane="bottomRight" activeCell="C27" sqref="C27:D27"/>
    </sheetView>
  </sheetViews>
  <sheetFormatPr defaultColWidth="9" defaultRowHeight="14.5"/>
  <cols>
    <col min="1" max="1" width="5.12727272727273" style="175" customWidth="1"/>
    <col min="2" max="2" width="17.5" style="175" customWidth="1"/>
    <col min="3" max="3" width="17.6363636363636" style="176" customWidth="1"/>
    <col min="4" max="4" width="18.7545454545455" style="176" customWidth="1"/>
    <col min="5" max="5" width="12.3727272727273" style="175" customWidth="1"/>
    <col min="6" max="6" width="10.1272727272727" style="175" customWidth="1"/>
    <col min="7" max="12" width="9" style="175" customWidth="1"/>
    <col min="13" max="25" width="9" style="175"/>
    <col min="26" max="26" width="4.37272727272727" style="175" customWidth="1"/>
    <col min="27" max="27" width="13.8727272727273" style="175" customWidth="1"/>
    <col min="28" max="16384" width="9" style="175"/>
  </cols>
  <sheetData>
    <row r="1" spans="1:4">
      <c r="A1" s="177" t="s">
        <v>146</v>
      </c>
      <c r="B1" s="177"/>
      <c r="C1" s="178" t="s">
        <v>160</v>
      </c>
      <c r="D1" s="179"/>
    </row>
    <row r="2" spans="1:4">
      <c r="A2" s="177" t="s">
        <v>148</v>
      </c>
      <c r="B2" s="177"/>
      <c r="C2" s="203" t="e">
        <f>#REF!</f>
        <v>#REF!</v>
      </c>
      <c r="D2" s="204"/>
    </row>
    <row r="3" ht="16.5" spans="1:4">
      <c r="A3" s="177" t="s">
        <v>149</v>
      </c>
      <c r="B3" s="177"/>
      <c r="C3" s="93" t="s">
        <v>150</v>
      </c>
      <c r="D3" s="181" t="s">
        <v>25</v>
      </c>
    </row>
    <row r="4" ht="16.5" customHeight="1" spans="1:4">
      <c r="A4" s="177" t="s">
        <v>151</v>
      </c>
      <c r="B4" s="177"/>
      <c r="C4" s="97" t="s">
        <v>152</v>
      </c>
      <c r="D4" s="182"/>
    </row>
    <row r="5" spans="1:28">
      <c r="A5" s="177" t="s">
        <v>153</v>
      </c>
      <c r="B5" s="177"/>
      <c r="C5" s="183" t="s">
        <v>154</v>
      </c>
      <c r="D5" s="184"/>
      <c r="AB5" s="175" t="s">
        <v>26</v>
      </c>
    </row>
    <row r="6" ht="16.5" spans="1:28">
      <c r="A6" s="185" t="s">
        <v>21</v>
      </c>
      <c r="B6" s="186" t="s">
        <v>155</v>
      </c>
      <c r="C6" s="187">
        <f>销量!C10</f>
        <v>300</v>
      </c>
      <c r="D6" s="188">
        <f>SUM(C6:C6)</f>
        <v>300</v>
      </c>
      <c r="Z6" s="185" t="s">
        <v>21</v>
      </c>
      <c r="AA6" s="186" t="s">
        <v>3</v>
      </c>
      <c r="AB6" s="175" t="s">
        <v>27</v>
      </c>
    </row>
    <row r="7" spans="1:28">
      <c r="A7" s="177">
        <v>1</v>
      </c>
      <c r="B7" s="186" t="s">
        <v>28</v>
      </c>
      <c r="C7" s="188">
        <f>C6*销量!C8</f>
        <v>366000</v>
      </c>
      <c r="D7" s="188">
        <f t="shared" ref="D7:D17" si="0">SUM(C7:C7)</f>
        <v>366000</v>
      </c>
      <c r="E7" s="176"/>
      <c r="Z7" s="185" t="s">
        <v>29</v>
      </c>
      <c r="AA7" s="186" t="s">
        <v>28</v>
      </c>
      <c r="AB7" s="175" t="s">
        <v>27</v>
      </c>
    </row>
    <row r="8" spans="1:28">
      <c r="A8" s="177">
        <v>2</v>
      </c>
      <c r="B8" s="177" t="s">
        <v>30</v>
      </c>
      <c r="C8" s="188">
        <f>C7*(1-销量!$O$8)</f>
        <v>14640</v>
      </c>
      <c r="D8" s="188">
        <f t="shared" si="0"/>
        <v>14640</v>
      </c>
      <c r="E8" s="189"/>
      <c r="Z8" s="185" t="s">
        <v>31</v>
      </c>
      <c r="AA8" s="177" t="s">
        <v>32</v>
      </c>
      <c r="AB8" s="175" t="s">
        <v>27</v>
      </c>
    </row>
    <row r="9" spans="1:28">
      <c r="A9" s="177">
        <v>3</v>
      </c>
      <c r="B9" s="186" t="s">
        <v>33</v>
      </c>
      <c r="C9" s="188">
        <f>+C7-C8</f>
        <v>351360</v>
      </c>
      <c r="D9" s="188">
        <f t="shared" si="0"/>
        <v>351360</v>
      </c>
      <c r="Z9" s="185" t="s">
        <v>34</v>
      </c>
      <c r="AA9" s="186" t="s">
        <v>33</v>
      </c>
      <c r="AB9" s="175" t="s">
        <v>35</v>
      </c>
    </row>
    <row r="10" spans="1:28">
      <c r="A10" s="177">
        <v>4</v>
      </c>
      <c r="B10" s="185" t="s">
        <v>36</v>
      </c>
      <c r="C10" s="188">
        <f>C6*C33</f>
        <v>247392</v>
      </c>
      <c r="D10" s="188">
        <f t="shared" si="0"/>
        <v>247392</v>
      </c>
      <c r="Z10" s="185" t="s">
        <v>37</v>
      </c>
      <c r="AA10" s="185" t="s">
        <v>36</v>
      </c>
      <c r="AB10" s="175" t="s">
        <v>38</v>
      </c>
    </row>
    <row r="11" spans="1:27">
      <c r="A11" s="177">
        <v>5</v>
      </c>
      <c r="B11" s="185" t="s">
        <v>39</v>
      </c>
      <c r="C11" s="188">
        <f>+C6*C36</f>
        <v>15774.6</v>
      </c>
      <c r="D11" s="188">
        <f t="shared" si="0"/>
        <v>15774.6</v>
      </c>
      <c r="Z11" s="185" t="s">
        <v>40</v>
      </c>
      <c r="AA11" s="185" t="s">
        <v>39</v>
      </c>
    </row>
    <row r="12" spans="1:27">
      <c r="A12" s="177">
        <v>6</v>
      </c>
      <c r="B12" s="185" t="s">
        <v>41</v>
      </c>
      <c r="C12" s="188">
        <f>+C6*C37</f>
        <v>7942.2</v>
      </c>
      <c r="D12" s="188">
        <f t="shared" si="0"/>
        <v>7942.2</v>
      </c>
      <c r="Z12" s="185" t="s">
        <v>42</v>
      </c>
      <c r="AA12" s="185" t="s">
        <v>41</v>
      </c>
    </row>
    <row r="13" spans="1:28">
      <c r="A13" s="177">
        <v>7</v>
      </c>
      <c r="B13" s="185" t="s">
        <v>43</v>
      </c>
      <c r="C13" s="188">
        <f>+C6*C38</f>
        <v>16104</v>
      </c>
      <c r="D13" s="188">
        <f t="shared" si="0"/>
        <v>16104</v>
      </c>
      <c r="Z13" s="185" t="s">
        <v>44</v>
      </c>
      <c r="AA13" s="185" t="s">
        <v>43</v>
      </c>
      <c r="AB13" s="175" t="s">
        <v>27</v>
      </c>
    </row>
    <row r="14" spans="1:27">
      <c r="A14" s="177">
        <v>8</v>
      </c>
      <c r="B14" s="190" t="s">
        <v>45</v>
      </c>
      <c r="C14" s="188">
        <f>SUM(C11:C13)</f>
        <v>39820.8</v>
      </c>
      <c r="D14" s="188">
        <f t="shared" si="0"/>
        <v>39820.8</v>
      </c>
      <c r="Z14" s="185" t="s">
        <v>46</v>
      </c>
      <c r="AA14" s="190" t="s">
        <v>45</v>
      </c>
    </row>
    <row r="15" spans="1:27">
      <c r="A15" s="177">
        <v>9</v>
      </c>
      <c r="B15" s="190" t="s">
        <v>47</v>
      </c>
      <c r="C15" s="188">
        <f>+C9-C10-C14</f>
        <v>64147.2</v>
      </c>
      <c r="D15" s="188">
        <f t="shared" si="0"/>
        <v>64147.2</v>
      </c>
      <c r="Z15" s="185" t="s">
        <v>48</v>
      </c>
      <c r="AA15" s="190" t="s">
        <v>47</v>
      </c>
    </row>
    <row r="16" spans="1:27">
      <c r="A16" s="177">
        <v>10</v>
      </c>
      <c r="B16" s="185" t="s">
        <v>49</v>
      </c>
      <c r="C16" s="191">
        <f>+C15/C9</f>
        <v>0.182568306010929</v>
      </c>
      <c r="D16" s="191">
        <f t="shared" ref="D16" si="1">+D15/D9</f>
        <v>0.182568306010929</v>
      </c>
      <c r="Z16" s="185" t="s">
        <v>50</v>
      </c>
      <c r="AA16" s="185" t="s">
        <v>49</v>
      </c>
    </row>
    <row r="17" spans="1:27">
      <c r="A17" s="177">
        <v>11</v>
      </c>
      <c r="B17" s="185" t="s">
        <v>51</v>
      </c>
      <c r="C17" s="188">
        <f>C6*C43+C18</f>
        <v>15006</v>
      </c>
      <c r="D17" s="188">
        <f t="shared" si="0"/>
        <v>15006</v>
      </c>
      <c r="E17" s="189"/>
      <c r="Z17" s="185" t="s">
        <v>52</v>
      </c>
      <c r="AA17" s="185" t="s">
        <v>51</v>
      </c>
    </row>
    <row r="18" s="173" customFormat="1" spans="1:7">
      <c r="A18" s="177">
        <v>12</v>
      </c>
      <c r="B18" s="192" t="s">
        <v>156</v>
      </c>
      <c r="C18" s="193">
        <f>$D$18/$D$6*C6</f>
        <v>0</v>
      </c>
      <c r="D18" s="193">
        <f>项目投资!D26</f>
        <v>0</v>
      </c>
      <c r="E18" s="194" t="s">
        <v>157</v>
      </c>
      <c r="F18" s="194"/>
      <c r="G18" s="194"/>
    </row>
    <row r="19" spans="1:28">
      <c r="A19" s="177">
        <v>13</v>
      </c>
      <c r="B19" s="185" t="s">
        <v>53</v>
      </c>
      <c r="C19" s="188">
        <f>C6*C44</f>
        <v>2562</v>
      </c>
      <c r="D19" s="188">
        <f>SUM(C19:C19)</f>
        <v>2562</v>
      </c>
      <c r="E19" s="173"/>
      <c r="Z19" s="185" t="s">
        <v>54</v>
      </c>
      <c r="AA19" s="185" t="s">
        <v>53</v>
      </c>
      <c r="AB19" s="175" t="s">
        <v>27</v>
      </c>
    </row>
    <row r="20" spans="1:27">
      <c r="A20" s="177">
        <v>14</v>
      </c>
      <c r="B20" s="185" t="s">
        <v>55</v>
      </c>
      <c r="C20" s="188">
        <f>C6*C45</f>
        <v>12444</v>
      </c>
      <c r="D20" s="188">
        <f>SUM(C20:C20)</f>
        <v>12444</v>
      </c>
      <c r="Z20" s="185" t="s">
        <v>56</v>
      </c>
      <c r="AA20" s="185" t="s">
        <v>55</v>
      </c>
    </row>
    <row r="21" spans="1:27">
      <c r="A21" s="177">
        <v>15</v>
      </c>
      <c r="B21" s="185" t="s">
        <v>57</v>
      </c>
      <c r="C21" s="195">
        <f>$D$21/$D$6*C6</f>
        <v>39166.6666666667</v>
      </c>
      <c r="D21" s="188">
        <f>项目投资!E27</f>
        <v>39166.6666666667</v>
      </c>
      <c r="Z21" s="185"/>
      <c r="AA21" s="185"/>
    </row>
    <row r="22" spans="1:27">
      <c r="A22" s="177">
        <v>16</v>
      </c>
      <c r="B22" s="185" t="s">
        <v>58</v>
      </c>
      <c r="C22" s="188">
        <f>C6*C47</f>
        <v>10980</v>
      </c>
      <c r="D22" s="188">
        <f>SUM(C22:C22)</f>
        <v>10980</v>
      </c>
      <c r="Z22" s="185" t="s">
        <v>59</v>
      </c>
      <c r="AA22" s="185" t="s">
        <v>58</v>
      </c>
    </row>
    <row r="23" spans="1:27">
      <c r="A23" s="177">
        <v>17</v>
      </c>
      <c r="B23" s="190" t="s">
        <v>60</v>
      </c>
      <c r="C23" s="195">
        <f>+C22+C21+C20+C19+C17</f>
        <v>80158.6666666667</v>
      </c>
      <c r="D23" s="195">
        <f t="shared" ref="D23" si="2">+D22+D21+D20+D19+D17</f>
        <v>80158.6666666667</v>
      </c>
      <c r="Z23" s="185" t="s">
        <v>61</v>
      </c>
      <c r="AA23" s="190" t="s">
        <v>60</v>
      </c>
    </row>
    <row r="24" spans="1:27">
      <c r="A24" s="177">
        <v>18</v>
      </c>
      <c r="B24" s="196" t="s">
        <v>62</v>
      </c>
      <c r="C24" s="195">
        <f>+C15-C23</f>
        <v>-16011.4666666667</v>
      </c>
      <c r="D24" s="195">
        <f t="shared" ref="D24" si="3">+D15-D23</f>
        <v>-16011.4666666667</v>
      </c>
      <c r="F24" s="197"/>
      <c r="Z24" s="185" t="s">
        <v>63</v>
      </c>
      <c r="AA24" s="185" t="s">
        <v>62</v>
      </c>
    </row>
    <row r="25" spans="1:27">
      <c r="A25" s="177">
        <v>19</v>
      </c>
      <c r="B25" s="185" t="s">
        <v>161</v>
      </c>
      <c r="C25" s="195">
        <f>IF(C24&lt;0,0,C24*0.15)</f>
        <v>0</v>
      </c>
      <c r="D25" s="195">
        <f>IF(D24&lt;0,0,D24*0.15)</f>
        <v>0</v>
      </c>
      <c r="E25" s="2"/>
      <c r="F25" s="2"/>
      <c r="G25" s="2"/>
      <c r="Z25" s="185" t="s">
        <v>65</v>
      </c>
      <c r="AA25" s="185" t="s">
        <v>64</v>
      </c>
    </row>
    <row r="26" spans="1:27">
      <c r="A26" s="177">
        <v>20</v>
      </c>
      <c r="B26" s="185" t="s">
        <v>66</v>
      </c>
      <c r="C26" s="195">
        <f t="shared" ref="C26" si="4">C24-C25</f>
        <v>-16011.4666666667</v>
      </c>
      <c r="D26" s="188">
        <f>+SUM(C26:C26)</f>
        <v>-16011.4666666667</v>
      </c>
      <c r="E26" s="2"/>
      <c r="F26" s="2"/>
      <c r="G26" s="2"/>
      <c r="Z26" s="185" t="s">
        <v>67</v>
      </c>
      <c r="AA26" s="185" t="s">
        <v>66</v>
      </c>
    </row>
    <row r="27" spans="1:27">
      <c r="A27" s="177">
        <v>21</v>
      </c>
      <c r="B27" s="185" t="s">
        <v>70</v>
      </c>
      <c r="C27" s="198">
        <f>C26/C9</f>
        <v>-0.0455699757134184</v>
      </c>
      <c r="D27" s="198">
        <f>D26/D9</f>
        <v>-0.0455699757134184</v>
      </c>
      <c r="E27" s="2"/>
      <c r="F27" s="2"/>
      <c r="G27" s="2"/>
      <c r="Z27" s="185" t="s">
        <v>69</v>
      </c>
      <c r="AA27" s="185" t="s">
        <v>70</v>
      </c>
    </row>
    <row r="28" spans="5:7">
      <c r="E28" s="2"/>
      <c r="F28" s="2"/>
      <c r="G28" s="2"/>
    </row>
    <row r="29" spans="1:26">
      <c r="A29" s="175" t="s">
        <v>71</v>
      </c>
      <c r="D29" s="176" t="s">
        <v>20</v>
      </c>
      <c r="E29" s="2"/>
      <c r="F29" s="2"/>
      <c r="G29" s="2"/>
      <c r="Z29" s="175" t="s">
        <v>71</v>
      </c>
    </row>
    <row r="30" spans="1:27">
      <c r="A30" s="185" t="s">
        <v>72</v>
      </c>
      <c r="B30" s="190" t="s">
        <v>73</v>
      </c>
      <c r="C30" s="195"/>
      <c r="D30" s="195"/>
      <c r="E30" s="2"/>
      <c r="F30" s="2"/>
      <c r="G30" s="2"/>
      <c r="I30" s="2"/>
      <c r="Z30" s="185" t="s">
        <v>74</v>
      </c>
      <c r="AA30" s="190" t="s">
        <v>73</v>
      </c>
    </row>
    <row r="31" spans="1:27">
      <c r="A31" s="177">
        <v>1</v>
      </c>
      <c r="B31" s="192" t="s">
        <v>75</v>
      </c>
      <c r="C31" s="199">
        <f>销量!P8</f>
        <v>1171.2</v>
      </c>
      <c r="D31" s="195"/>
      <c r="E31" s="2"/>
      <c r="F31" s="2"/>
      <c r="G31" s="2"/>
      <c r="I31" s="2"/>
      <c r="Z31" s="185" t="s">
        <v>29</v>
      </c>
      <c r="AA31" s="185" t="s">
        <v>75</v>
      </c>
    </row>
    <row r="32" spans="1:27">
      <c r="A32" s="177">
        <v>2</v>
      </c>
      <c r="B32" s="185" t="s">
        <v>159</v>
      </c>
      <c r="C32" s="188">
        <f>C9/C6</f>
        <v>1171.2</v>
      </c>
      <c r="D32" s="195"/>
      <c r="E32" s="2"/>
      <c r="F32" s="2"/>
      <c r="G32" s="2"/>
      <c r="H32" s="2"/>
      <c r="I32" s="2"/>
      <c r="J32" s="2"/>
      <c r="K32" s="2"/>
      <c r="Z32" s="185"/>
      <c r="AA32" s="185"/>
    </row>
    <row r="33" spans="1:27">
      <c r="A33" s="177">
        <v>3</v>
      </c>
      <c r="B33" s="192" t="s">
        <v>76</v>
      </c>
      <c r="C33" s="188">
        <f>材料成本!F20</f>
        <v>824.64</v>
      </c>
      <c r="D33" s="195"/>
      <c r="F33" s="2"/>
      <c r="G33" s="2"/>
      <c r="H33" s="2"/>
      <c r="I33" s="2"/>
      <c r="J33" s="2"/>
      <c r="K33" s="2"/>
      <c r="Z33" s="185" t="s">
        <v>31</v>
      </c>
      <c r="AA33" s="185" t="s">
        <v>76</v>
      </c>
    </row>
    <row r="34" ht="17.25" customHeight="1" spans="1:27">
      <c r="A34" s="177">
        <v>4</v>
      </c>
      <c r="B34" s="185" t="s">
        <v>78</v>
      </c>
      <c r="C34" s="200">
        <f>C32-C33</f>
        <v>346.56</v>
      </c>
      <c r="D34" s="195"/>
      <c r="F34" s="2"/>
      <c r="G34" s="2"/>
      <c r="H34" s="2"/>
      <c r="I34" s="2"/>
      <c r="J34" s="2"/>
      <c r="K34" s="2"/>
      <c r="Z34" s="185" t="s">
        <v>77</v>
      </c>
      <c r="AA34" s="185" t="s">
        <v>78</v>
      </c>
    </row>
    <row r="35" spans="1:27">
      <c r="A35" s="185" t="s">
        <v>74</v>
      </c>
      <c r="B35" s="190" t="s">
        <v>10</v>
      </c>
      <c r="C35" s="195"/>
      <c r="D35" s="195"/>
      <c r="E35" s="2"/>
      <c r="F35" s="2"/>
      <c r="G35" s="2"/>
      <c r="H35" s="2"/>
      <c r="I35" s="2"/>
      <c r="J35" s="2"/>
      <c r="K35" s="2"/>
      <c r="L35" s="2"/>
      <c r="Z35" s="185" t="s">
        <v>80</v>
      </c>
      <c r="AA35" s="190" t="s">
        <v>10</v>
      </c>
    </row>
    <row r="36" spans="1:27">
      <c r="A36" s="177">
        <v>1</v>
      </c>
      <c r="B36" s="185" t="s">
        <v>81</v>
      </c>
      <c r="C36" s="193">
        <f>标准成本!D4</f>
        <v>52.582</v>
      </c>
      <c r="D36" s="199"/>
      <c r="E36" s="2"/>
      <c r="F36" s="2"/>
      <c r="G36" s="2"/>
      <c r="H36" s="2"/>
      <c r="I36" s="2"/>
      <c r="J36" s="2"/>
      <c r="K36" s="2"/>
      <c r="L36" s="2"/>
      <c r="Z36" s="185" t="s">
        <v>77</v>
      </c>
      <c r="AA36" s="185" t="s">
        <v>81</v>
      </c>
    </row>
    <row r="37" spans="1:27">
      <c r="A37" s="177">
        <v>2</v>
      </c>
      <c r="B37" s="185" t="s">
        <v>82</v>
      </c>
      <c r="C37" s="193">
        <f>标准成本!D6</f>
        <v>26.474</v>
      </c>
      <c r="D37" s="199"/>
      <c r="E37" s="2"/>
      <c r="F37" s="2"/>
      <c r="G37" s="2"/>
      <c r="H37" s="2"/>
      <c r="I37" s="2"/>
      <c r="J37" s="2"/>
      <c r="K37" s="2"/>
      <c r="L37" s="2"/>
      <c r="Z37" s="185" t="s">
        <v>34</v>
      </c>
      <c r="AA37" s="185" t="s">
        <v>82</v>
      </c>
    </row>
    <row r="38" spans="1:27">
      <c r="A38" s="177">
        <v>3</v>
      </c>
      <c r="B38" s="185" t="s">
        <v>83</v>
      </c>
      <c r="C38" s="193">
        <f>标准成本!D10</f>
        <v>53.68</v>
      </c>
      <c r="D38" s="199"/>
      <c r="E38" s="2"/>
      <c r="F38" s="2"/>
      <c r="G38" s="2"/>
      <c r="H38" s="2"/>
      <c r="I38" s="2"/>
      <c r="J38" s="2"/>
      <c r="K38" s="2"/>
      <c r="L38" s="2"/>
      <c r="Z38" s="185" t="s">
        <v>40</v>
      </c>
      <c r="AA38" s="185" t="s">
        <v>83</v>
      </c>
    </row>
    <row r="39" spans="1:27">
      <c r="A39" s="185" t="s">
        <v>80</v>
      </c>
      <c r="B39" s="190" t="s">
        <v>85</v>
      </c>
      <c r="C39" s="195"/>
      <c r="D39" s="195"/>
      <c r="Z39" s="185" t="s">
        <v>84</v>
      </c>
      <c r="AA39" s="190" t="s">
        <v>85</v>
      </c>
    </row>
    <row r="40" spans="1:27">
      <c r="A40" s="177">
        <v>1</v>
      </c>
      <c r="B40" s="185" t="s">
        <v>86</v>
      </c>
      <c r="C40" s="195">
        <f>C34-C36-C37-C38</f>
        <v>213.824</v>
      </c>
      <c r="D40" s="195"/>
      <c r="Z40" s="185" t="s">
        <v>29</v>
      </c>
      <c r="AA40" s="185" t="s">
        <v>86</v>
      </c>
    </row>
    <row r="41" spans="1:27">
      <c r="A41" s="177">
        <v>2</v>
      </c>
      <c r="B41" s="185" t="s">
        <v>87</v>
      </c>
      <c r="C41" s="195"/>
      <c r="D41" s="195"/>
      <c r="Z41" s="185" t="s">
        <v>31</v>
      </c>
      <c r="AA41" s="185" t="s">
        <v>87</v>
      </c>
    </row>
    <row r="42" spans="1:27">
      <c r="A42" s="185" t="s">
        <v>84</v>
      </c>
      <c r="B42" s="190" t="s">
        <v>89</v>
      </c>
      <c r="C42" s="195"/>
      <c r="D42" s="195"/>
      <c r="Z42" s="185" t="s">
        <v>88</v>
      </c>
      <c r="AA42" s="190" t="s">
        <v>89</v>
      </c>
    </row>
    <row r="43" spans="1:27">
      <c r="A43" s="177">
        <v>1</v>
      </c>
      <c r="B43" s="196" t="s">
        <v>90</v>
      </c>
      <c r="C43" s="193">
        <f>标准成本!D5</f>
        <v>50.02</v>
      </c>
      <c r="D43" s="195"/>
      <c r="Z43" s="185" t="s">
        <v>29</v>
      </c>
      <c r="AA43" s="185" t="s">
        <v>90</v>
      </c>
    </row>
    <row r="44" spans="1:27">
      <c r="A44" s="177">
        <v>2</v>
      </c>
      <c r="B44" s="196" t="s">
        <v>91</v>
      </c>
      <c r="C44" s="193">
        <f>标准成本!D9</f>
        <v>8.54</v>
      </c>
      <c r="D44" s="195"/>
      <c r="Z44" s="185" t="s">
        <v>31</v>
      </c>
      <c r="AA44" s="185" t="s">
        <v>91</v>
      </c>
    </row>
    <row r="45" spans="1:27">
      <c r="A45" s="177">
        <v>3</v>
      </c>
      <c r="B45" s="196" t="s">
        <v>92</v>
      </c>
      <c r="C45" s="193">
        <f>标准成本!D8</f>
        <v>41.48</v>
      </c>
      <c r="D45" s="195"/>
      <c r="Z45" s="185" t="s">
        <v>77</v>
      </c>
      <c r="AA45" s="185" t="s">
        <v>92</v>
      </c>
    </row>
    <row r="46" s="174" customFormat="1" spans="1:27">
      <c r="A46" s="177">
        <v>4</v>
      </c>
      <c r="B46" s="196" t="s">
        <v>93</v>
      </c>
      <c r="C46" s="201">
        <f>C21/C6</f>
        <v>130.555555555556</v>
      </c>
      <c r="D46" s="201"/>
      <c r="Z46" s="196" t="s">
        <v>37</v>
      </c>
      <c r="AA46" s="196" t="s">
        <v>95</v>
      </c>
    </row>
    <row r="47" s="174" customFormat="1" spans="1:27">
      <c r="A47" s="177">
        <v>5</v>
      </c>
      <c r="B47" s="196" t="s">
        <v>95</v>
      </c>
      <c r="C47" s="201">
        <f>标准成本!D11</f>
        <v>36.6</v>
      </c>
      <c r="D47" s="201"/>
      <c r="Z47" s="196" t="s">
        <v>37</v>
      </c>
      <c r="AA47" s="196" t="s">
        <v>95</v>
      </c>
    </row>
    <row r="48" spans="1:27">
      <c r="A48" s="185" t="s">
        <v>88</v>
      </c>
      <c r="B48" s="190" t="s">
        <v>106</v>
      </c>
      <c r="C48" s="195">
        <f>C40-C43-C44-C45-C47-C46</f>
        <v>-53.3715555555555</v>
      </c>
      <c r="D48" s="195"/>
      <c r="Z48" s="185" t="s">
        <v>105</v>
      </c>
      <c r="AA48" s="190" t="s">
        <v>106</v>
      </c>
    </row>
    <row r="51" spans="3:3">
      <c r="C51" s="202"/>
    </row>
    <row r="54" spans="2:9">
      <c r="B54" s="2"/>
      <c r="C54" s="27"/>
      <c r="D54" s="27"/>
      <c r="E54" s="2"/>
      <c r="F54" s="2"/>
      <c r="G54" s="2"/>
      <c r="H54" s="2"/>
      <c r="I54" s="2"/>
    </row>
    <row r="55" spans="2:9">
      <c r="B55" s="2"/>
      <c r="C55" s="27"/>
      <c r="D55" s="27"/>
      <c r="E55" s="2"/>
      <c r="F55" s="2"/>
      <c r="G55" s="2"/>
      <c r="H55" s="2"/>
      <c r="I55" s="2"/>
    </row>
    <row r="56" spans="2:9">
      <c r="B56" s="2"/>
      <c r="C56" s="27"/>
      <c r="D56" s="27"/>
      <c r="E56" s="2"/>
      <c r="F56" s="2"/>
      <c r="G56" s="2"/>
      <c r="H56" s="2"/>
      <c r="I56" s="2"/>
    </row>
    <row r="57" spans="2:9">
      <c r="B57" s="2"/>
      <c r="C57" s="27"/>
      <c r="D57" s="27"/>
      <c r="E57" s="2"/>
      <c r="F57" s="2"/>
      <c r="G57" s="2"/>
      <c r="H57" s="2"/>
      <c r="I57" s="2"/>
    </row>
    <row r="58" spans="2:9">
      <c r="B58" s="2"/>
      <c r="C58" s="27"/>
      <c r="D58" s="27"/>
      <c r="E58" s="2"/>
      <c r="F58" s="2"/>
      <c r="G58" s="2"/>
      <c r="H58" s="2"/>
      <c r="I58" s="2"/>
    </row>
    <row r="59" spans="2:9">
      <c r="B59" s="2"/>
      <c r="C59" s="27"/>
      <c r="D59" s="27"/>
      <c r="E59" s="2"/>
      <c r="F59" s="2"/>
      <c r="G59" s="2"/>
      <c r="H59" s="2"/>
      <c r="I59" s="2"/>
    </row>
    <row r="60" spans="2:9">
      <c r="B60" s="2"/>
      <c r="C60" s="27"/>
      <c r="D60" s="27"/>
      <c r="E60" s="2"/>
      <c r="F60" s="2"/>
      <c r="G60" s="2"/>
      <c r="H60" s="2"/>
      <c r="I60" s="2"/>
    </row>
    <row r="61" spans="2:9">
      <c r="B61" s="2"/>
      <c r="C61" s="27"/>
      <c r="D61" s="27"/>
      <c r="E61" s="2"/>
      <c r="F61" s="2"/>
      <c r="G61" s="2"/>
      <c r="H61" s="2"/>
      <c r="I61" s="2"/>
    </row>
    <row r="62" spans="2:9">
      <c r="B62" s="2"/>
      <c r="C62" s="27"/>
      <c r="D62" s="27"/>
      <c r="E62" s="2"/>
      <c r="F62" s="2"/>
      <c r="G62" s="2"/>
      <c r="H62" s="2"/>
      <c r="I62" s="2"/>
    </row>
    <row r="63" spans="2:9">
      <c r="B63" s="2"/>
      <c r="C63" s="27"/>
      <c r="D63" s="27"/>
      <c r="E63" s="2"/>
      <c r="F63" s="2"/>
      <c r="G63" s="2"/>
      <c r="H63" s="2"/>
      <c r="I63" s="2"/>
    </row>
    <row r="64" spans="2:9">
      <c r="B64" s="2"/>
      <c r="C64" s="27"/>
      <c r="D64" s="27"/>
      <c r="E64" s="2"/>
      <c r="F64" s="2"/>
      <c r="G64" s="2"/>
      <c r="H64" s="2"/>
      <c r="I64" s="2"/>
    </row>
    <row r="65" spans="2:9">
      <c r="B65" s="2"/>
      <c r="C65" s="27"/>
      <c r="D65" s="27"/>
      <c r="E65" s="2"/>
      <c r="F65" s="2"/>
      <c r="G65" s="2"/>
      <c r="H65" s="2"/>
      <c r="I65" s="2"/>
    </row>
    <row r="66" spans="2:9">
      <c r="B66" s="2"/>
      <c r="C66" s="27"/>
      <c r="D66" s="27"/>
      <c r="E66" s="2"/>
      <c r="F66" s="2"/>
      <c r="G66" s="2"/>
      <c r="H66" s="2"/>
      <c r="I66" s="2"/>
    </row>
    <row r="67" spans="2:5">
      <c r="B67" s="2"/>
      <c r="C67" s="27"/>
      <c r="D67" s="27"/>
      <c r="E67" s="2"/>
    </row>
    <row r="68" spans="2:5">
      <c r="B68" s="2"/>
      <c r="C68" s="27"/>
      <c r="D68" s="27"/>
      <c r="E68" s="2"/>
    </row>
    <row r="69" spans="2:5">
      <c r="B69" s="2"/>
      <c r="C69" s="27"/>
      <c r="D69" s="27"/>
      <c r="E69" s="2"/>
    </row>
    <row r="70" spans="2:5">
      <c r="B70" s="2"/>
      <c r="C70" s="27"/>
      <c r="D70" s="27"/>
      <c r="E70" s="2"/>
    </row>
    <row r="71" spans="2:5">
      <c r="B71" s="2"/>
      <c r="C71" s="27"/>
      <c r="D71" s="27"/>
      <c r="E71" s="2"/>
    </row>
    <row r="72" spans="2:5">
      <c r="B72" s="2"/>
      <c r="C72" s="27"/>
      <c r="D72" s="27"/>
      <c r="E72" s="2"/>
    </row>
    <row r="73" spans="2:5">
      <c r="B73" s="2"/>
      <c r="C73" s="27"/>
      <c r="D73" s="27"/>
      <c r="E73" s="2"/>
    </row>
    <row r="74" spans="2:5">
      <c r="B74" s="2"/>
      <c r="C74" s="27"/>
      <c r="D74" s="27"/>
      <c r="E74" s="2"/>
    </row>
  </sheetData>
  <mergeCells count="8">
    <mergeCell ref="A1:B1"/>
    <mergeCell ref="C1:D1"/>
    <mergeCell ref="A2:B2"/>
    <mergeCell ref="C2:D2"/>
    <mergeCell ref="A3:B3"/>
    <mergeCell ref="A4:B4"/>
    <mergeCell ref="A5:B5"/>
    <mergeCell ref="D3:D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74"/>
  <sheetViews>
    <sheetView workbookViewId="0">
      <pane xSplit="2" ySplit="7" topLeftCell="C8" activePane="bottomRight" state="frozen"/>
      <selection/>
      <selection pane="topRight"/>
      <selection pane="bottomLeft"/>
      <selection pane="bottomRight" activeCell="G27" sqref="G27"/>
    </sheetView>
  </sheetViews>
  <sheetFormatPr defaultColWidth="9" defaultRowHeight="14.5"/>
  <cols>
    <col min="1" max="1" width="5.12727272727273" style="175" customWidth="1"/>
    <col min="2" max="2" width="17.5" style="175" customWidth="1"/>
    <col min="3" max="3" width="12.9090909090909" style="176" customWidth="1"/>
    <col min="4" max="4" width="12.6363636363636" style="176" customWidth="1"/>
    <col min="5" max="5" width="12.3727272727273" style="175" customWidth="1"/>
    <col min="6" max="6" width="10.1272727272727" style="175" customWidth="1"/>
    <col min="7" max="13" width="9" style="175" customWidth="1"/>
    <col min="14" max="30" width="9" style="175"/>
    <col min="31" max="31" width="4.37272727272727" style="175" customWidth="1"/>
    <col min="32" max="32" width="13.8727272727273" style="175" customWidth="1"/>
    <col min="33" max="16384" width="9" style="175"/>
  </cols>
  <sheetData>
    <row r="1" spans="1:4">
      <c r="A1" s="177" t="s">
        <v>146</v>
      </c>
      <c r="B1" s="177"/>
      <c r="C1" s="178" t="s">
        <v>162</v>
      </c>
      <c r="D1" s="179"/>
    </row>
    <row r="2" spans="1:4">
      <c r="A2" s="177" t="s">
        <v>148</v>
      </c>
      <c r="B2" s="177"/>
      <c r="C2" s="180" t="e">
        <f>#REF!</f>
        <v>#REF!</v>
      </c>
      <c r="D2" s="180"/>
    </row>
    <row r="3" ht="16.5" spans="1:4">
      <c r="A3" s="177" t="s">
        <v>149</v>
      </c>
      <c r="B3" s="177"/>
      <c r="C3" s="93" t="s">
        <v>150</v>
      </c>
      <c r="D3" s="181" t="s">
        <v>25</v>
      </c>
    </row>
    <row r="4" ht="33" spans="1:4">
      <c r="A4" s="177" t="s">
        <v>151</v>
      </c>
      <c r="B4" s="177"/>
      <c r="C4" s="97" t="s">
        <v>152</v>
      </c>
      <c r="D4" s="182"/>
    </row>
    <row r="5" spans="1:33">
      <c r="A5" s="177" t="s">
        <v>153</v>
      </c>
      <c r="B5" s="177"/>
      <c r="C5" s="183" t="s">
        <v>154</v>
      </c>
      <c r="D5" s="184"/>
      <c r="AG5" s="175" t="s">
        <v>26</v>
      </c>
    </row>
    <row r="6" ht="16.5" spans="1:33">
      <c r="A6" s="185" t="s">
        <v>21</v>
      </c>
      <c r="B6" s="186" t="s">
        <v>155</v>
      </c>
      <c r="C6" s="187">
        <f>销量!C11</f>
        <v>300</v>
      </c>
      <c r="D6" s="188">
        <f>SUM(C6:C6)</f>
        <v>300</v>
      </c>
      <c r="O6" s="186" t="s">
        <v>3</v>
      </c>
      <c r="AE6" s="185" t="s">
        <v>21</v>
      </c>
      <c r="AF6" s="186" t="s">
        <v>3</v>
      </c>
      <c r="AG6" s="175" t="s">
        <v>27</v>
      </c>
    </row>
    <row r="7" spans="1:33">
      <c r="A7" s="177">
        <v>1</v>
      </c>
      <c r="B7" s="186" t="s">
        <v>28</v>
      </c>
      <c r="C7" s="188">
        <f>C6*销量!C8</f>
        <v>366000</v>
      </c>
      <c r="D7" s="188">
        <f t="shared" ref="D7:D22" si="0">SUM(C7:C7)</f>
        <v>366000</v>
      </c>
      <c r="E7" s="176"/>
      <c r="O7" s="186" t="s">
        <v>28</v>
      </c>
      <c r="AE7" s="185" t="s">
        <v>29</v>
      </c>
      <c r="AF7" s="186" t="s">
        <v>28</v>
      </c>
      <c r="AG7" s="175" t="s">
        <v>27</v>
      </c>
    </row>
    <row r="8" spans="1:33">
      <c r="A8" s="177">
        <v>2</v>
      </c>
      <c r="B8" s="177" t="s">
        <v>30</v>
      </c>
      <c r="C8" s="188">
        <f>C7*(1-销量!$O$9)</f>
        <v>28694.4</v>
      </c>
      <c r="D8" s="188">
        <f t="shared" si="0"/>
        <v>28694.4</v>
      </c>
      <c r="E8" s="189"/>
      <c r="O8" s="177" t="s">
        <v>32</v>
      </c>
      <c r="AE8" s="185" t="s">
        <v>31</v>
      </c>
      <c r="AF8" s="177" t="s">
        <v>32</v>
      </c>
      <c r="AG8" s="175" t="s">
        <v>27</v>
      </c>
    </row>
    <row r="9" spans="1:33">
      <c r="A9" s="177">
        <v>3</v>
      </c>
      <c r="B9" s="186" t="s">
        <v>33</v>
      </c>
      <c r="C9" s="188">
        <f>+C7-C8</f>
        <v>337305.6</v>
      </c>
      <c r="D9" s="188">
        <f t="shared" si="0"/>
        <v>337305.6</v>
      </c>
      <c r="O9" s="186" t="s">
        <v>33</v>
      </c>
      <c r="AE9" s="185" t="s">
        <v>34</v>
      </c>
      <c r="AF9" s="186" t="s">
        <v>33</v>
      </c>
      <c r="AG9" s="175" t="s">
        <v>35</v>
      </c>
    </row>
    <row r="10" spans="1:33">
      <c r="A10" s="177">
        <v>4</v>
      </c>
      <c r="B10" s="185" t="s">
        <v>36</v>
      </c>
      <c r="C10" s="188">
        <f>C6*C33</f>
        <v>237496.32</v>
      </c>
      <c r="D10" s="188">
        <f t="shared" si="0"/>
        <v>237496.32</v>
      </c>
      <c r="O10" s="185" t="s">
        <v>36</v>
      </c>
      <c r="AE10" s="185" t="s">
        <v>37</v>
      </c>
      <c r="AF10" s="185" t="s">
        <v>36</v>
      </c>
      <c r="AG10" s="175" t="s">
        <v>38</v>
      </c>
    </row>
    <row r="11" spans="1:32">
      <c r="A11" s="177">
        <v>5</v>
      </c>
      <c r="B11" s="185" t="s">
        <v>39</v>
      </c>
      <c r="C11" s="188">
        <f>+C6*C36</f>
        <v>15774.6</v>
      </c>
      <c r="D11" s="188">
        <f t="shared" si="0"/>
        <v>15774.6</v>
      </c>
      <c r="O11" s="185" t="s">
        <v>39</v>
      </c>
      <c r="AE11" s="185" t="s">
        <v>40</v>
      </c>
      <c r="AF11" s="185" t="s">
        <v>39</v>
      </c>
    </row>
    <row r="12" spans="1:32">
      <c r="A12" s="177">
        <v>6</v>
      </c>
      <c r="B12" s="185" t="s">
        <v>41</v>
      </c>
      <c r="C12" s="188">
        <f>+C6*C37</f>
        <v>7942.2</v>
      </c>
      <c r="D12" s="188">
        <f t="shared" si="0"/>
        <v>7942.2</v>
      </c>
      <c r="O12" s="185" t="s">
        <v>41</v>
      </c>
      <c r="AE12" s="185" t="s">
        <v>42</v>
      </c>
      <c r="AF12" s="185" t="s">
        <v>41</v>
      </c>
    </row>
    <row r="13" spans="1:33">
      <c r="A13" s="177">
        <v>7</v>
      </c>
      <c r="B13" s="185" t="s">
        <v>43</v>
      </c>
      <c r="C13" s="188">
        <f>+C6*C38</f>
        <v>16104</v>
      </c>
      <c r="D13" s="188">
        <f t="shared" si="0"/>
        <v>16104</v>
      </c>
      <c r="O13" s="185" t="s">
        <v>43</v>
      </c>
      <c r="AE13" s="185" t="s">
        <v>44</v>
      </c>
      <c r="AF13" s="185" t="s">
        <v>43</v>
      </c>
      <c r="AG13" s="175" t="s">
        <v>27</v>
      </c>
    </row>
    <row r="14" spans="1:32">
      <c r="A14" s="177">
        <v>8</v>
      </c>
      <c r="B14" s="190" t="s">
        <v>45</v>
      </c>
      <c r="C14" s="188">
        <f>SUM(C11:C13)</f>
        <v>39820.8</v>
      </c>
      <c r="D14" s="188">
        <f t="shared" si="0"/>
        <v>39820.8</v>
      </c>
      <c r="O14" s="190" t="s">
        <v>45</v>
      </c>
      <c r="AE14" s="185" t="s">
        <v>46</v>
      </c>
      <c r="AF14" s="190" t="s">
        <v>45</v>
      </c>
    </row>
    <row r="15" spans="1:32">
      <c r="A15" s="177">
        <v>9</v>
      </c>
      <c r="B15" s="190" t="s">
        <v>47</v>
      </c>
      <c r="C15" s="188">
        <f>+C9-C10-C14</f>
        <v>59988.48</v>
      </c>
      <c r="D15" s="188">
        <f t="shared" si="0"/>
        <v>59988.48</v>
      </c>
      <c r="O15" s="190" t="s">
        <v>47</v>
      </c>
      <c r="AE15" s="185" t="s">
        <v>48</v>
      </c>
      <c r="AF15" s="190" t="s">
        <v>47</v>
      </c>
    </row>
    <row r="16" spans="1:32">
      <c r="A16" s="177">
        <v>10</v>
      </c>
      <c r="B16" s="185" t="s">
        <v>49</v>
      </c>
      <c r="C16" s="191">
        <f>+C15/C9</f>
        <v>0.177846083788707</v>
      </c>
      <c r="D16" s="191">
        <f t="shared" ref="D16" si="1">+D15/D9</f>
        <v>0.177846083788707</v>
      </c>
      <c r="O16" s="185" t="s">
        <v>49</v>
      </c>
      <c r="AE16" s="185" t="s">
        <v>50</v>
      </c>
      <c r="AF16" s="185" t="s">
        <v>49</v>
      </c>
    </row>
    <row r="17" spans="1:32">
      <c r="A17" s="177">
        <v>11</v>
      </c>
      <c r="B17" s="185" t="s">
        <v>51</v>
      </c>
      <c r="C17" s="188">
        <f>C6*C43+C18</f>
        <v>15006</v>
      </c>
      <c r="D17" s="188">
        <f t="shared" si="0"/>
        <v>15006</v>
      </c>
      <c r="E17" s="189"/>
      <c r="O17" s="185" t="s">
        <v>51</v>
      </c>
      <c r="AE17" s="185" t="s">
        <v>52</v>
      </c>
      <c r="AF17" s="185" t="s">
        <v>51</v>
      </c>
    </row>
    <row r="18" s="173" customFormat="1" spans="1:7">
      <c r="A18" s="177">
        <v>12</v>
      </c>
      <c r="B18" s="192" t="s">
        <v>156</v>
      </c>
      <c r="C18" s="193">
        <f>$D$18/$D$6*C6</f>
        <v>0</v>
      </c>
      <c r="D18" s="193">
        <f>项目投资!D26</f>
        <v>0</v>
      </c>
      <c r="E18" s="194" t="s">
        <v>157</v>
      </c>
      <c r="F18" s="194"/>
      <c r="G18" s="194"/>
    </row>
    <row r="19" spans="1:33">
      <c r="A19" s="177">
        <v>13</v>
      </c>
      <c r="B19" s="185" t="s">
        <v>53</v>
      </c>
      <c r="C19" s="188">
        <f>C6*C44</f>
        <v>2562</v>
      </c>
      <c r="D19" s="188">
        <f t="shared" si="0"/>
        <v>2562</v>
      </c>
      <c r="E19" s="173"/>
      <c r="O19" s="185" t="s">
        <v>53</v>
      </c>
      <c r="AE19" s="185" t="s">
        <v>54</v>
      </c>
      <c r="AF19" s="185" t="s">
        <v>53</v>
      </c>
      <c r="AG19" s="175" t="s">
        <v>27</v>
      </c>
    </row>
    <row r="20" spans="1:32">
      <c r="A20" s="177">
        <v>14</v>
      </c>
      <c r="B20" s="185" t="s">
        <v>55</v>
      </c>
      <c r="C20" s="188">
        <f>C6*C45</f>
        <v>12444</v>
      </c>
      <c r="D20" s="188">
        <f t="shared" si="0"/>
        <v>12444</v>
      </c>
      <c r="O20" s="185" t="s">
        <v>55</v>
      </c>
      <c r="AE20" s="185" t="s">
        <v>56</v>
      </c>
      <c r="AF20" s="185" t="s">
        <v>55</v>
      </c>
    </row>
    <row r="21" spans="1:32">
      <c r="A21" s="177">
        <v>15</v>
      </c>
      <c r="B21" s="185" t="s">
        <v>57</v>
      </c>
      <c r="C21" s="195">
        <f>$D$21/$D$6*C6</f>
        <v>39166.6666666667</v>
      </c>
      <c r="D21" s="188">
        <f>项目投资!F27</f>
        <v>39166.6666666667</v>
      </c>
      <c r="O21" s="185" t="s">
        <v>57</v>
      </c>
      <c r="AE21" s="185"/>
      <c r="AF21" s="185"/>
    </row>
    <row r="22" spans="1:32">
      <c r="A22" s="177">
        <v>16</v>
      </c>
      <c r="B22" s="185" t="s">
        <v>58</v>
      </c>
      <c r="C22" s="188">
        <f>C6*C47</f>
        <v>10980</v>
      </c>
      <c r="D22" s="188">
        <f t="shared" si="0"/>
        <v>10980</v>
      </c>
      <c r="O22" s="185" t="s">
        <v>58</v>
      </c>
      <c r="AE22" s="185" t="s">
        <v>59</v>
      </c>
      <c r="AF22" s="185" t="s">
        <v>58</v>
      </c>
    </row>
    <row r="23" spans="1:32">
      <c r="A23" s="177">
        <v>17</v>
      </c>
      <c r="B23" s="190" t="s">
        <v>60</v>
      </c>
      <c r="C23" s="195">
        <f>+C22+C21+C20+C19+C17</f>
        <v>80158.6666666667</v>
      </c>
      <c r="D23" s="195">
        <f t="shared" ref="D23" si="2">+D22+D21+D20+D19+D17</f>
        <v>80158.6666666667</v>
      </c>
      <c r="O23" s="190" t="s">
        <v>60</v>
      </c>
      <c r="AE23" s="185" t="s">
        <v>61</v>
      </c>
      <c r="AF23" s="190" t="s">
        <v>60</v>
      </c>
    </row>
    <row r="24" spans="1:32">
      <c r="A24" s="177">
        <v>18</v>
      </c>
      <c r="B24" s="196" t="s">
        <v>62</v>
      </c>
      <c r="C24" s="195">
        <f>+C15-C23</f>
        <v>-20170.1866666667</v>
      </c>
      <c r="D24" s="195">
        <f t="shared" ref="D24" si="3">+D15-D23</f>
        <v>-20170.1866666667</v>
      </c>
      <c r="F24" s="197"/>
      <c r="O24" s="185" t="s">
        <v>62</v>
      </c>
      <c r="AE24" s="185" t="s">
        <v>63</v>
      </c>
      <c r="AF24" s="185" t="s">
        <v>62</v>
      </c>
    </row>
    <row r="25" spans="1:32">
      <c r="A25" s="177">
        <v>19</v>
      </c>
      <c r="B25" s="185" t="s">
        <v>161</v>
      </c>
      <c r="C25" s="195">
        <f>IF(C24&lt;0,0,C24*0.15)</f>
        <v>0</v>
      </c>
      <c r="D25" s="195">
        <f>IF(D24&lt;0,0,D24*0.15)</f>
        <v>0</v>
      </c>
      <c r="E25" s="2"/>
      <c r="F25" s="2"/>
      <c r="G25" s="2"/>
      <c r="O25" s="185" t="s">
        <v>64</v>
      </c>
      <c r="AE25" s="185" t="s">
        <v>65</v>
      </c>
      <c r="AF25" s="185" t="s">
        <v>64</v>
      </c>
    </row>
    <row r="26" spans="1:32">
      <c r="A26" s="177">
        <v>20</v>
      </c>
      <c r="B26" s="185" t="s">
        <v>66</v>
      </c>
      <c r="C26" s="195">
        <f t="shared" ref="C26" si="4">C24-C25</f>
        <v>-20170.1866666667</v>
      </c>
      <c r="D26" s="188">
        <f>+SUM(C26:C26)</f>
        <v>-20170.1866666667</v>
      </c>
      <c r="E26" s="2"/>
      <c r="F26" s="2"/>
      <c r="G26" s="2"/>
      <c r="O26" s="185" t="s">
        <v>66</v>
      </c>
      <c r="AE26" s="185" t="s">
        <v>67</v>
      </c>
      <c r="AF26" s="185" t="s">
        <v>66</v>
      </c>
    </row>
    <row r="27" spans="1:32">
      <c r="A27" s="177">
        <v>21</v>
      </c>
      <c r="B27" s="185" t="s">
        <v>70</v>
      </c>
      <c r="C27" s="198">
        <f>C26/C9</f>
        <v>-0.0597979596741551</v>
      </c>
      <c r="D27" s="198">
        <f>D26/D9</f>
        <v>-0.0597979596741551</v>
      </c>
      <c r="E27" s="2"/>
      <c r="F27" s="2"/>
      <c r="G27" s="2"/>
      <c r="O27" s="185" t="s">
        <v>70</v>
      </c>
      <c r="AE27" s="185" t="s">
        <v>69</v>
      </c>
      <c r="AF27" s="185" t="s">
        <v>70</v>
      </c>
    </row>
    <row r="28" spans="5:15">
      <c r="E28" s="2"/>
      <c r="F28" s="2"/>
      <c r="G28" s="2"/>
      <c r="O28" s="185"/>
    </row>
    <row r="29" spans="1:31">
      <c r="A29" s="175" t="s">
        <v>71</v>
      </c>
      <c r="D29" s="176" t="s">
        <v>20</v>
      </c>
      <c r="E29" s="2"/>
      <c r="F29" s="2"/>
      <c r="G29" s="2"/>
      <c r="O29" s="185"/>
      <c r="AE29" s="175" t="s">
        <v>71</v>
      </c>
    </row>
    <row r="30" spans="1:32">
      <c r="A30" s="185" t="s">
        <v>72</v>
      </c>
      <c r="B30" s="190" t="s">
        <v>73</v>
      </c>
      <c r="C30" s="195"/>
      <c r="D30" s="195"/>
      <c r="E30" s="2"/>
      <c r="F30" s="2"/>
      <c r="G30" s="2"/>
      <c r="I30" s="2"/>
      <c r="O30" s="190" t="s">
        <v>73</v>
      </c>
      <c r="AE30" s="185" t="s">
        <v>74</v>
      </c>
      <c r="AF30" s="190" t="s">
        <v>73</v>
      </c>
    </row>
    <row r="31" spans="1:32">
      <c r="A31" s="177">
        <v>1</v>
      </c>
      <c r="B31" s="192" t="s">
        <v>75</v>
      </c>
      <c r="C31" s="199">
        <f>销量!P9</f>
        <v>1124.352</v>
      </c>
      <c r="D31" s="195"/>
      <c r="E31" s="2"/>
      <c r="F31" s="2"/>
      <c r="G31" s="2"/>
      <c r="I31" s="2"/>
      <c r="O31" s="185" t="s">
        <v>75</v>
      </c>
      <c r="AE31" s="185" t="s">
        <v>29</v>
      </c>
      <c r="AF31" s="185" t="s">
        <v>75</v>
      </c>
    </row>
    <row r="32" spans="1:32">
      <c r="A32" s="177">
        <v>2</v>
      </c>
      <c r="B32" s="185" t="s">
        <v>159</v>
      </c>
      <c r="C32" s="188">
        <f>C9/C6</f>
        <v>1124.352</v>
      </c>
      <c r="D32" s="195"/>
      <c r="E32" s="2"/>
      <c r="F32" s="2"/>
      <c r="G32" s="2"/>
      <c r="H32" s="2"/>
      <c r="I32" s="2"/>
      <c r="J32" s="2"/>
      <c r="K32" s="2"/>
      <c r="AE32" s="185"/>
      <c r="AF32" s="185"/>
    </row>
    <row r="33" spans="1:32">
      <c r="A33" s="177">
        <v>3</v>
      </c>
      <c r="B33" s="192" t="s">
        <v>76</v>
      </c>
      <c r="C33" s="188">
        <f>材料成本!G20</f>
        <v>791.6544</v>
      </c>
      <c r="D33" s="195"/>
      <c r="F33" s="2"/>
      <c r="G33" s="2"/>
      <c r="H33" s="2"/>
      <c r="I33" s="2"/>
      <c r="J33" s="2"/>
      <c r="K33" s="2"/>
      <c r="O33" s="185" t="s">
        <v>76</v>
      </c>
      <c r="AE33" s="185" t="s">
        <v>31</v>
      </c>
      <c r="AF33" s="185" t="s">
        <v>76</v>
      </c>
    </row>
    <row r="34" ht="17.25" customHeight="1" spans="1:32">
      <c r="A34" s="177">
        <v>4</v>
      </c>
      <c r="B34" s="185" t="s">
        <v>78</v>
      </c>
      <c r="C34" s="200">
        <f>C32-C33</f>
        <v>332.6976</v>
      </c>
      <c r="D34" s="195"/>
      <c r="F34" s="2"/>
      <c r="G34" s="2"/>
      <c r="H34" s="2"/>
      <c r="I34" s="2"/>
      <c r="J34" s="2"/>
      <c r="K34" s="2"/>
      <c r="O34" s="185" t="s">
        <v>78</v>
      </c>
      <c r="AE34" s="185" t="s">
        <v>77</v>
      </c>
      <c r="AF34" s="185" t="s">
        <v>78</v>
      </c>
    </row>
    <row r="35" spans="1:32">
      <c r="A35" s="185" t="s">
        <v>74</v>
      </c>
      <c r="B35" s="190" t="s">
        <v>10</v>
      </c>
      <c r="C35" s="195"/>
      <c r="D35" s="195"/>
      <c r="E35" s="2"/>
      <c r="F35" s="2"/>
      <c r="G35" s="2"/>
      <c r="H35" s="2"/>
      <c r="I35" s="2"/>
      <c r="J35" s="2"/>
      <c r="K35" s="2"/>
      <c r="L35" s="2"/>
      <c r="M35" s="2"/>
      <c r="N35" s="2"/>
      <c r="O35" s="190" t="s">
        <v>10</v>
      </c>
      <c r="AE35" s="185" t="s">
        <v>80</v>
      </c>
      <c r="AF35" s="190" t="s">
        <v>10</v>
      </c>
    </row>
    <row r="36" spans="1:32">
      <c r="A36" s="177">
        <v>1</v>
      </c>
      <c r="B36" s="185" t="s">
        <v>81</v>
      </c>
      <c r="C36" s="193">
        <f>标准成本!D4</f>
        <v>52.582</v>
      </c>
      <c r="D36" s="199"/>
      <c r="E36" s="2"/>
      <c r="F36" s="2"/>
      <c r="G36" s="2"/>
      <c r="H36" s="2"/>
      <c r="I36" s="2"/>
      <c r="J36" s="2"/>
      <c r="K36" s="2"/>
      <c r="L36" s="2"/>
      <c r="M36" s="2"/>
      <c r="N36" s="2"/>
      <c r="O36" s="185" t="s">
        <v>81</v>
      </c>
      <c r="AE36" s="185" t="s">
        <v>77</v>
      </c>
      <c r="AF36" s="185" t="s">
        <v>81</v>
      </c>
    </row>
    <row r="37" spans="1:32">
      <c r="A37" s="177">
        <v>2</v>
      </c>
      <c r="B37" s="185" t="s">
        <v>82</v>
      </c>
      <c r="C37" s="193">
        <f>标准成本!D6</f>
        <v>26.474</v>
      </c>
      <c r="D37" s="199"/>
      <c r="E37" s="2"/>
      <c r="F37" s="2"/>
      <c r="G37" s="2"/>
      <c r="H37" s="2"/>
      <c r="I37" s="2"/>
      <c r="J37" s="2"/>
      <c r="K37" s="2"/>
      <c r="L37" s="2"/>
      <c r="M37" s="2"/>
      <c r="N37" s="2"/>
      <c r="O37" s="185" t="s">
        <v>82</v>
      </c>
      <c r="AE37" s="185" t="s">
        <v>34</v>
      </c>
      <c r="AF37" s="185" t="s">
        <v>82</v>
      </c>
    </row>
    <row r="38" spans="1:32">
      <c r="A38" s="177">
        <v>3</v>
      </c>
      <c r="B38" s="185" t="s">
        <v>83</v>
      </c>
      <c r="C38" s="193">
        <f>标准成本!D10</f>
        <v>53.68</v>
      </c>
      <c r="D38" s="199"/>
      <c r="E38" s="2"/>
      <c r="F38" s="2"/>
      <c r="G38" s="2"/>
      <c r="H38" s="2"/>
      <c r="I38" s="2"/>
      <c r="J38" s="2"/>
      <c r="K38" s="2"/>
      <c r="L38" s="2"/>
      <c r="M38" s="2"/>
      <c r="N38" s="2"/>
      <c r="O38" s="185" t="s">
        <v>83</v>
      </c>
      <c r="AE38" s="185" t="s">
        <v>40</v>
      </c>
      <c r="AF38" s="185" t="s">
        <v>83</v>
      </c>
    </row>
    <row r="39" spans="1:32">
      <c r="A39" s="185" t="s">
        <v>80</v>
      </c>
      <c r="B39" s="190" t="s">
        <v>85</v>
      </c>
      <c r="C39" s="195"/>
      <c r="D39" s="195"/>
      <c r="O39" s="190" t="s">
        <v>85</v>
      </c>
      <c r="AE39" s="185" t="s">
        <v>84</v>
      </c>
      <c r="AF39" s="190" t="s">
        <v>85</v>
      </c>
    </row>
    <row r="40" spans="1:32">
      <c r="A40" s="177">
        <v>1</v>
      </c>
      <c r="B40" s="185" t="s">
        <v>86</v>
      </c>
      <c r="C40" s="195">
        <f>C34-C36-C37-C38</f>
        <v>199.9616</v>
      </c>
      <c r="D40" s="195"/>
      <c r="O40" s="185" t="s">
        <v>86</v>
      </c>
      <c r="AE40" s="185" t="s">
        <v>29</v>
      </c>
      <c r="AF40" s="185" t="s">
        <v>86</v>
      </c>
    </row>
    <row r="41" spans="1:32">
      <c r="A41" s="177">
        <v>2</v>
      </c>
      <c r="B41" s="185" t="s">
        <v>87</v>
      </c>
      <c r="C41" s="195"/>
      <c r="D41" s="195"/>
      <c r="O41" s="185" t="s">
        <v>87</v>
      </c>
      <c r="AE41" s="185" t="s">
        <v>31</v>
      </c>
      <c r="AF41" s="185" t="s">
        <v>87</v>
      </c>
    </row>
    <row r="42" spans="1:32">
      <c r="A42" s="185" t="s">
        <v>84</v>
      </c>
      <c r="B42" s="190" t="s">
        <v>89</v>
      </c>
      <c r="C42" s="195"/>
      <c r="D42" s="195"/>
      <c r="O42" s="190" t="s">
        <v>89</v>
      </c>
      <c r="AE42" s="185" t="s">
        <v>88</v>
      </c>
      <c r="AF42" s="190" t="s">
        <v>89</v>
      </c>
    </row>
    <row r="43" spans="1:32">
      <c r="A43" s="177">
        <v>1</v>
      </c>
      <c r="B43" s="196" t="s">
        <v>90</v>
      </c>
      <c r="C43" s="193">
        <f>标准成本!D5</f>
        <v>50.02</v>
      </c>
      <c r="D43" s="195"/>
      <c r="O43" s="185" t="s">
        <v>90</v>
      </c>
      <c r="AE43" s="185" t="s">
        <v>29</v>
      </c>
      <c r="AF43" s="185" t="s">
        <v>90</v>
      </c>
    </row>
    <row r="44" spans="1:32">
      <c r="A44" s="177">
        <v>2</v>
      </c>
      <c r="B44" s="196" t="s">
        <v>91</v>
      </c>
      <c r="C44" s="193">
        <f>标准成本!D9</f>
        <v>8.54</v>
      </c>
      <c r="D44" s="195"/>
      <c r="O44" s="185" t="s">
        <v>91</v>
      </c>
      <c r="AE44" s="185" t="s">
        <v>31</v>
      </c>
      <c r="AF44" s="185" t="s">
        <v>91</v>
      </c>
    </row>
    <row r="45" spans="1:32">
      <c r="A45" s="177">
        <v>3</v>
      </c>
      <c r="B45" s="196" t="s">
        <v>92</v>
      </c>
      <c r="C45" s="193">
        <f>标准成本!D8</f>
        <v>41.48</v>
      </c>
      <c r="D45" s="195"/>
      <c r="O45" s="185" t="s">
        <v>92</v>
      </c>
      <c r="AE45" s="185" t="s">
        <v>77</v>
      </c>
      <c r="AF45" s="185" t="s">
        <v>92</v>
      </c>
    </row>
    <row r="46" s="174" customFormat="1" spans="1:32">
      <c r="A46" s="177">
        <v>4</v>
      </c>
      <c r="B46" s="196" t="s">
        <v>93</v>
      </c>
      <c r="C46" s="201">
        <f>C21/C6</f>
        <v>130.555555555556</v>
      </c>
      <c r="D46" s="201"/>
      <c r="O46" s="196" t="s">
        <v>95</v>
      </c>
      <c r="AE46" s="196" t="s">
        <v>37</v>
      </c>
      <c r="AF46" s="196" t="s">
        <v>95</v>
      </c>
    </row>
    <row r="47" s="174" customFormat="1" spans="1:32">
      <c r="A47" s="177">
        <v>5</v>
      </c>
      <c r="B47" s="196" t="s">
        <v>95</v>
      </c>
      <c r="C47" s="201">
        <f>标准成本!D11</f>
        <v>36.6</v>
      </c>
      <c r="D47" s="201"/>
      <c r="O47" s="196" t="s">
        <v>95</v>
      </c>
      <c r="AE47" s="196" t="s">
        <v>37</v>
      </c>
      <c r="AF47" s="196" t="s">
        <v>95</v>
      </c>
    </row>
    <row r="48" spans="1:32">
      <c r="A48" s="185" t="s">
        <v>88</v>
      </c>
      <c r="B48" s="190" t="s">
        <v>106</v>
      </c>
      <c r="C48" s="195">
        <f>C40-C43-C44-C45-C47-C46</f>
        <v>-67.2339555555557</v>
      </c>
      <c r="D48" s="195"/>
      <c r="O48" s="190" t="s">
        <v>106</v>
      </c>
      <c r="AE48" s="185" t="s">
        <v>105</v>
      </c>
      <c r="AF48" s="190" t="s">
        <v>106</v>
      </c>
    </row>
    <row r="51" spans="3:3">
      <c r="C51" s="202"/>
    </row>
    <row r="54" spans="2:9">
      <c r="B54" s="2"/>
      <c r="C54" s="27"/>
      <c r="D54" s="27"/>
      <c r="E54" s="2"/>
      <c r="F54" s="2"/>
      <c r="G54" s="2"/>
      <c r="H54" s="2"/>
      <c r="I54" s="2"/>
    </row>
    <row r="55" spans="2:9">
      <c r="B55" s="2"/>
      <c r="C55" s="27"/>
      <c r="D55" s="27"/>
      <c r="E55" s="2"/>
      <c r="F55" s="2"/>
      <c r="G55" s="2"/>
      <c r="H55" s="2"/>
      <c r="I55" s="2"/>
    </row>
    <row r="56" spans="2:9">
      <c r="B56" s="2"/>
      <c r="C56" s="27"/>
      <c r="D56" s="27"/>
      <c r="E56" s="2"/>
      <c r="F56" s="2"/>
      <c r="G56" s="2"/>
      <c r="H56" s="2"/>
      <c r="I56" s="2"/>
    </row>
    <row r="57" spans="2:9">
      <c r="B57" s="2"/>
      <c r="C57" s="27"/>
      <c r="D57" s="27"/>
      <c r="E57" s="2"/>
      <c r="F57" s="2"/>
      <c r="G57" s="2"/>
      <c r="H57" s="2"/>
      <c r="I57" s="2"/>
    </row>
    <row r="58" spans="2:9">
      <c r="B58" s="2"/>
      <c r="C58" s="27"/>
      <c r="D58" s="27"/>
      <c r="E58" s="2"/>
      <c r="F58" s="2"/>
      <c r="G58" s="2"/>
      <c r="H58" s="2"/>
      <c r="I58" s="2"/>
    </row>
    <row r="59" spans="2:9">
      <c r="B59" s="2"/>
      <c r="C59" s="27"/>
      <c r="D59" s="27"/>
      <c r="E59" s="2"/>
      <c r="F59" s="2"/>
      <c r="G59" s="2"/>
      <c r="H59" s="2"/>
      <c r="I59" s="2"/>
    </row>
    <row r="60" spans="2:9">
      <c r="B60" s="2"/>
      <c r="C60" s="27"/>
      <c r="D60" s="27"/>
      <c r="E60" s="2"/>
      <c r="F60" s="2"/>
      <c r="G60" s="2"/>
      <c r="H60" s="2"/>
      <c r="I60" s="2"/>
    </row>
    <row r="61" spans="2:9">
      <c r="B61" s="2"/>
      <c r="C61" s="27"/>
      <c r="D61" s="27"/>
      <c r="E61" s="2"/>
      <c r="F61" s="2"/>
      <c r="G61" s="2"/>
      <c r="H61" s="2"/>
      <c r="I61" s="2"/>
    </row>
    <row r="62" spans="2:9">
      <c r="B62" s="2"/>
      <c r="C62" s="27"/>
      <c r="D62" s="27"/>
      <c r="E62" s="2"/>
      <c r="F62" s="2"/>
      <c r="G62" s="2"/>
      <c r="H62" s="2"/>
      <c r="I62" s="2"/>
    </row>
    <row r="63" spans="2:9">
      <c r="B63" s="2"/>
      <c r="C63" s="27"/>
      <c r="D63" s="27"/>
      <c r="E63" s="2"/>
      <c r="F63" s="2"/>
      <c r="G63" s="2"/>
      <c r="H63" s="2"/>
      <c r="I63" s="2"/>
    </row>
    <row r="64" spans="2:9">
      <c r="B64" s="2"/>
      <c r="C64" s="27"/>
      <c r="D64" s="27"/>
      <c r="E64" s="2"/>
      <c r="F64" s="2"/>
      <c r="G64" s="2"/>
      <c r="H64" s="2"/>
      <c r="I64" s="2"/>
    </row>
    <row r="65" spans="2:9">
      <c r="B65" s="2"/>
      <c r="C65" s="27"/>
      <c r="D65" s="27"/>
      <c r="E65" s="2"/>
      <c r="F65" s="2"/>
      <c r="G65" s="2"/>
      <c r="H65" s="2"/>
      <c r="I65" s="2"/>
    </row>
    <row r="66" spans="2:9">
      <c r="B66" s="2"/>
      <c r="C66" s="27"/>
      <c r="D66" s="27"/>
      <c r="E66" s="2"/>
      <c r="F66" s="2"/>
      <c r="G66" s="2"/>
      <c r="H66" s="2"/>
      <c r="I66" s="2"/>
    </row>
    <row r="67" spans="2:5">
      <c r="B67" s="2"/>
      <c r="C67" s="27"/>
      <c r="D67" s="27"/>
      <c r="E67" s="2"/>
    </row>
    <row r="68" spans="2:5">
      <c r="B68" s="2"/>
      <c r="C68" s="27"/>
      <c r="D68" s="27"/>
      <c r="E68" s="2"/>
    </row>
    <row r="69" spans="2:5">
      <c r="B69" s="2"/>
      <c r="C69" s="27"/>
      <c r="D69" s="27"/>
      <c r="E69" s="2"/>
    </row>
    <row r="70" spans="2:5">
      <c r="B70" s="2"/>
      <c r="C70" s="27"/>
      <c r="D70" s="27"/>
      <c r="E70" s="2"/>
    </row>
    <row r="71" spans="2:5">
      <c r="B71" s="2"/>
      <c r="C71" s="27"/>
      <c r="D71" s="27"/>
      <c r="E71" s="2"/>
    </row>
    <row r="72" spans="2:5">
      <c r="B72" s="2"/>
      <c r="C72" s="27"/>
      <c r="D72" s="27"/>
      <c r="E72" s="2"/>
    </row>
    <row r="73" spans="2:5">
      <c r="B73" s="2"/>
      <c r="C73" s="27"/>
      <c r="D73" s="27"/>
      <c r="E73" s="2"/>
    </row>
    <row r="74" spans="2:5">
      <c r="B74" s="2"/>
      <c r="C74" s="27"/>
      <c r="D74" s="27"/>
      <c r="E74" s="2"/>
    </row>
  </sheetData>
  <mergeCells count="8">
    <mergeCell ref="A1:B1"/>
    <mergeCell ref="C1:D1"/>
    <mergeCell ref="A2:B2"/>
    <mergeCell ref="C2:D2"/>
    <mergeCell ref="A3:B3"/>
    <mergeCell ref="A4:B4"/>
    <mergeCell ref="A5:B5"/>
    <mergeCell ref="D3:D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zoomScale="80" zoomScaleNormal="80" workbookViewId="0">
      <pane xSplit="6" ySplit="2" topLeftCell="G3" activePane="bottomRight" state="frozen"/>
      <selection/>
      <selection pane="topRight"/>
      <selection pane="bottomLeft"/>
      <selection pane="bottomRight" activeCell="G27" sqref="G27"/>
    </sheetView>
  </sheetViews>
  <sheetFormatPr defaultColWidth="9" defaultRowHeight="14"/>
  <cols>
    <col min="1" max="1" width="20.6272727272727" customWidth="1"/>
    <col min="2" max="2" width="14.2545454545455" style="126" customWidth="1"/>
    <col min="3" max="3" width="13.1272727272727" customWidth="1"/>
    <col min="4" max="6" width="14.5" customWidth="1"/>
    <col min="7" max="7" width="14.7545454545455" customWidth="1"/>
    <col min="8" max="8" width="26.5" customWidth="1"/>
    <col min="9" max="9" width="16.2545454545455" customWidth="1"/>
    <col min="10" max="10" width="14.1272727272727" customWidth="1"/>
  </cols>
  <sheetData>
    <row r="1" ht="21" spans="1:10">
      <c r="A1" s="127" t="s">
        <v>163</v>
      </c>
      <c r="B1" s="127"/>
      <c r="C1" s="127"/>
      <c r="E1" s="128" t="s">
        <v>164</v>
      </c>
      <c r="F1" s="129"/>
      <c r="G1" s="129"/>
      <c r="H1" s="130"/>
      <c r="J1" s="165"/>
    </row>
    <row r="2" ht="23.45" customHeight="1" spans="1:10">
      <c r="A2" s="131" t="s">
        <v>1</v>
      </c>
      <c r="B2" s="132" t="s">
        <v>165</v>
      </c>
      <c r="C2" s="133" t="s">
        <v>166</v>
      </c>
      <c r="E2" s="134" t="s">
        <v>167</v>
      </c>
      <c r="F2" s="134" t="s">
        <v>1</v>
      </c>
      <c r="G2" s="135" t="s">
        <v>168</v>
      </c>
      <c r="H2" s="134" t="s">
        <v>166</v>
      </c>
      <c r="J2" s="166"/>
    </row>
    <row r="3" ht="15.75" customHeight="1" spans="1:10">
      <c r="A3" s="136" t="s">
        <v>169</v>
      </c>
      <c r="B3" s="137"/>
      <c r="C3" s="138"/>
      <c r="E3" s="139" t="s">
        <v>170</v>
      </c>
      <c r="F3" s="140" t="s">
        <v>171</v>
      </c>
      <c r="G3" s="141"/>
      <c r="H3" s="142" t="s">
        <v>172</v>
      </c>
      <c r="J3" s="166"/>
    </row>
    <row r="4" ht="15.75" customHeight="1" spans="1:10">
      <c r="A4" s="136" t="s">
        <v>173</v>
      </c>
      <c r="B4" s="137"/>
      <c r="C4" s="143"/>
      <c r="E4" s="144"/>
      <c r="F4" s="140" t="s">
        <v>174</v>
      </c>
      <c r="G4" s="141"/>
      <c r="H4" s="145"/>
      <c r="J4" s="166"/>
    </row>
    <row r="5" ht="15.75" customHeight="1" spans="1:10">
      <c r="A5" s="136" t="s">
        <v>175</v>
      </c>
      <c r="B5" s="146">
        <f>SUM(G3:G4)</f>
        <v>0</v>
      </c>
      <c r="C5" s="138"/>
      <c r="E5" s="147" t="s">
        <v>176</v>
      </c>
      <c r="F5" s="148" t="s">
        <v>177</v>
      </c>
      <c r="G5" s="141"/>
      <c r="H5" s="149"/>
      <c r="J5" s="167"/>
    </row>
    <row r="6" ht="15.75" customHeight="1" spans="1:10">
      <c r="A6" s="136" t="s">
        <v>178</v>
      </c>
      <c r="B6" s="137"/>
      <c r="C6" s="138"/>
      <c r="E6" s="150"/>
      <c r="F6" s="148" t="s">
        <v>179</v>
      </c>
      <c r="G6" s="141"/>
      <c r="H6" s="145" t="s">
        <v>180</v>
      </c>
      <c r="J6" s="167"/>
    </row>
    <row r="7" ht="15.75" customHeight="1" spans="1:10">
      <c r="A7" s="151" t="s">
        <v>181</v>
      </c>
      <c r="B7" s="146">
        <f>SUM(B3:B6)</f>
        <v>0</v>
      </c>
      <c r="C7" s="138"/>
      <c r="E7" s="150"/>
      <c r="F7" s="148" t="s">
        <v>182</v>
      </c>
      <c r="G7" s="141"/>
      <c r="H7" s="145"/>
      <c r="J7" s="167"/>
    </row>
    <row r="8" ht="15.75" customHeight="1" spans="1:10">
      <c r="A8" s="152" t="s">
        <v>183</v>
      </c>
      <c r="B8" s="146">
        <f>SUM(G5:G12)</f>
        <v>0</v>
      </c>
      <c r="C8" s="153"/>
      <c r="E8" s="150"/>
      <c r="F8" s="148" t="s">
        <v>184</v>
      </c>
      <c r="G8" s="141"/>
      <c r="H8" s="145"/>
      <c r="J8" s="167"/>
    </row>
    <row r="9" ht="15.75" customHeight="1" spans="1:10">
      <c r="A9" s="136" t="s">
        <v>185</v>
      </c>
      <c r="B9" s="146">
        <f>SUM(G13:G21)</f>
        <v>11.75</v>
      </c>
      <c r="C9" s="138"/>
      <c r="E9" s="150"/>
      <c r="F9" s="140" t="s">
        <v>186</v>
      </c>
      <c r="G9" s="141"/>
      <c r="H9" s="145" t="s">
        <v>187</v>
      </c>
      <c r="J9" s="167"/>
    </row>
    <row r="10" ht="15.75" customHeight="1" spans="1:10">
      <c r="A10" s="143" t="s">
        <v>25</v>
      </c>
      <c r="B10" s="146">
        <f>B7+B8+B9</f>
        <v>11.75</v>
      </c>
      <c r="C10" s="138"/>
      <c r="E10" s="150"/>
      <c r="F10" s="140" t="s">
        <v>188</v>
      </c>
      <c r="G10" s="141"/>
      <c r="H10" s="154" t="s">
        <v>189</v>
      </c>
      <c r="J10" s="167"/>
    </row>
    <row r="11" ht="15.75" customHeight="1" spans="5:10">
      <c r="E11" s="150"/>
      <c r="F11" s="140" t="s">
        <v>190</v>
      </c>
      <c r="G11" s="141"/>
      <c r="H11" s="154"/>
      <c r="J11" s="167"/>
    </row>
    <row r="12" ht="15.75" customHeight="1" spans="5:10">
      <c r="E12" s="155"/>
      <c r="F12" s="140" t="s">
        <v>191</v>
      </c>
      <c r="G12" s="141">
        <v>0</v>
      </c>
      <c r="H12" s="145"/>
      <c r="J12" s="167"/>
    </row>
    <row r="13" ht="15.75" customHeight="1" spans="5:10">
      <c r="E13" s="139" t="s">
        <v>57</v>
      </c>
      <c r="F13" s="140" t="s">
        <v>192</v>
      </c>
      <c r="G13" s="141">
        <v>0</v>
      </c>
      <c r="H13" s="154"/>
      <c r="J13" s="168"/>
    </row>
    <row r="14" ht="15.75" customHeight="1" spans="5:10">
      <c r="E14" s="144"/>
      <c r="F14" s="140" t="s">
        <v>193</v>
      </c>
      <c r="G14" s="141">
        <v>0.5</v>
      </c>
      <c r="H14" s="145"/>
      <c r="J14" s="168"/>
    </row>
    <row r="15" ht="15.75" customHeight="1" spans="5:10">
      <c r="E15" s="144"/>
      <c r="F15" s="140" t="s">
        <v>194</v>
      </c>
      <c r="G15" s="141">
        <v>0.5</v>
      </c>
      <c r="H15" s="145"/>
      <c r="J15" s="168"/>
    </row>
    <row r="16" ht="15.75" customHeight="1" spans="5:10">
      <c r="E16" s="144"/>
      <c r="F16" s="140" t="s">
        <v>195</v>
      </c>
      <c r="G16" s="141">
        <v>0.3</v>
      </c>
      <c r="H16" s="145" t="s">
        <v>196</v>
      </c>
      <c r="J16" s="168"/>
    </row>
    <row r="17" ht="15.75" customHeight="1" spans="5:10">
      <c r="E17" s="144"/>
      <c r="F17" s="140" t="s">
        <v>197</v>
      </c>
      <c r="G17" s="141">
        <v>0.8</v>
      </c>
      <c r="H17" s="145" t="s">
        <v>198</v>
      </c>
      <c r="J17" s="168"/>
    </row>
    <row r="18" ht="15.75" customHeight="1" spans="5:10">
      <c r="E18" s="144"/>
      <c r="F18" s="140" t="s">
        <v>199</v>
      </c>
      <c r="G18" s="141">
        <v>4.4</v>
      </c>
      <c r="H18" s="154" t="s">
        <v>200</v>
      </c>
      <c r="J18" s="168"/>
    </row>
    <row r="19" ht="15.75" customHeight="1" spans="5:10">
      <c r="E19" s="144"/>
      <c r="F19" s="140" t="s">
        <v>201</v>
      </c>
      <c r="G19" s="141">
        <v>5</v>
      </c>
      <c r="H19" s="145" t="s">
        <v>202</v>
      </c>
      <c r="J19" s="168"/>
    </row>
    <row r="20" ht="15.75" customHeight="1" spans="5:10">
      <c r="E20" s="144"/>
      <c r="F20" s="140" t="s">
        <v>203</v>
      </c>
      <c r="G20" s="141">
        <v>0.25</v>
      </c>
      <c r="H20" s="145"/>
      <c r="J20" s="168"/>
    </row>
    <row r="21" ht="15.75" customHeight="1" spans="5:10">
      <c r="E21" s="156"/>
      <c r="F21" s="140" t="s">
        <v>134</v>
      </c>
      <c r="G21" s="141">
        <v>0</v>
      </c>
      <c r="H21" s="145"/>
      <c r="J21" s="168"/>
    </row>
    <row r="22" ht="15.75" customHeight="1" spans="5:10">
      <c r="E22" s="134" t="s">
        <v>25</v>
      </c>
      <c r="F22" s="140"/>
      <c r="G22" s="135">
        <f>SUM(G3:G21)</f>
        <v>11.75</v>
      </c>
      <c r="H22" s="140"/>
      <c r="J22" s="169"/>
    </row>
    <row r="23" ht="30.75" customHeight="1" spans="5:8">
      <c r="E23" s="157" t="s">
        <v>204</v>
      </c>
      <c r="F23" s="157"/>
      <c r="G23" s="157"/>
      <c r="H23" s="157"/>
    </row>
    <row r="25" ht="16.5" spans="1:10">
      <c r="A25" s="65" t="s">
        <v>1</v>
      </c>
      <c r="B25" s="65" t="s">
        <v>165</v>
      </c>
      <c r="C25" s="65" t="s">
        <v>205</v>
      </c>
      <c r="D25" s="158" t="s">
        <v>206</v>
      </c>
      <c r="E25" s="158" t="s">
        <v>207</v>
      </c>
      <c r="F25" s="158" t="s">
        <v>208</v>
      </c>
      <c r="G25" s="158" t="s">
        <v>209</v>
      </c>
      <c r="H25" s="158" t="s">
        <v>210</v>
      </c>
      <c r="I25" s="158" t="s">
        <v>25</v>
      </c>
      <c r="J25" s="170" t="s">
        <v>211</v>
      </c>
    </row>
    <row r="26" ht="16.5" spans="1:10">
      <c r="A26" s="159" t="s">
        <v>156</v>
      </c>
      <c r="B26" s="160">
        <f>(B5+B8)*10000</f>
        <v>0</v>
      </c>
      <c r="C26" s="161">
        <v>0.05</v>
      </c>
      <c r="D26" s="61">
        <f>B26*(1-C26)/3</f>
        <v>0</v>
      </c>
      <c r="E26" s="61">
        <f t="shared" ref="E26:F27" si="0">D26</f>
        <v>0</v>
      </c>
      <c r="F26" s="61">
        <f t="shared" si="0"/>
        <v>0</v>
      </c>
      <c r="G26" s="61"/>
      <c r="H26" s="61"/>
      <c r="I26" s="61">
        <f>SUM(D26:H26)</f>
        <v>0</v>
      </c>
      <c r="J26" s="61">
        <f>B26*0.05</f>
        <v>0</v>
      </c>
    </row>
    <row r="27" ht="16.5" spans="1:10">
      <c r="A27" s="159" t="s">
        <v>212</v>
      </c>
      <c r="B27" s="160">
        <f>B9*10000</f>
        <v>117500</v>
      </c>
      <c r="C27" s="61"/>
      <c r="D27" s="61">
        <f>B27/3</f>
        <v>39166.6666666667</v>
      </c>
      <c r="E27" s="61">
        <f t="shared" si="0"/>
        <v>39166.6666666667</v>
      </c>
      <c r="F27" s="61">
        <f t="shared" si="0"/>
        <v>39166.6666666667</v>
      </c>
      <c r="G27" s="61"/>
      <c r="H27" s="61"/>
      <c r="I27" s="61">
        <f>SUM(D27:H27)</f>
        <v>117500</v>
      </c>
      <c r="J27" s="61"/>
    </row>
    <row r="28" ht="16.5" spans="1:10">
      <c r="A28" s="162" t="s">
        <v>114</v>
      </c>
      <c r="B28" s="163"/>
      <c r="C28" s="164"/>
      <c r="D28" s="61">
        <f>SUM(D26:D27)</f>
        <v>39166.6666666667</v>
      </c>
      <c r="E28" s="61">
        <f t="shared" ref="E28:H28" si="1">SUM(E26:E27)</f>
        <v>39166.6666666667</v>
      </c>
      <c r="F28" s="61">
        <f t="shared" si="1"/>
        <v>39166.6666666667</v>
      </c>
      <c r="G28" s="61"/>
      <c r="H28" s="61">
        <f t="shared" si="1"/>
        <v>0</v>
      </c>
      <c r="I28" s="171"/>
      <c r="J28" s="171"/>
    </row>
    <row r="40" spans="9:9">
      <c r="I40" s="172"/>
    </row>
    <row r="41" ht="37.5" customHeight="1"/>
  </sheetData>
  <mergeCells count="8">
    <mergeCell ref="A1:C1"/>
    <mergeCell ref="E1:H1"/>
    <mergeCell ref="E23:H23"/>
    <mergeCell ref="A28:C28"/>
    <mergeCell ref="E3:E4"/>
    <mergeCell ref="E5:E12"/>
    <mergeCell ref="E13:E21"/>
    <mergeCell ref="J3:J4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zoomScale="85" zoomScaleNormal="85" workbookViewId="0">
      <selection activeCell="H13" sqref="H13"/>
    </sheetView>
  </sheetViews>
  <sheetFormatPr defaultColWidth="9" defaultRowHeight="19"/>
  <cols>
    <col min="1" max="1" width="14" style="84" customWidth="1"/>
    <col min="2" max="2" width="14.1272727272727" style="84" customWidth="1"/>
    <col min="3" max="3" width="18.1727272727273" style="84" customWidth="1"/>
    <col min="4" max="11" width="14.8636363636364" style="84" customWidth="1"/>
    <col min="12" max="12" width="11.6272727272727" style="84" customWidth="1"/>
    <col min="13" max="13" width="15.6272727272727" style="84" customWidth="1"/>
    <col min="14" max="14" width="12.2545454545455" style="84" customWidth="1"/>
    <col min="15" max="15" width="9" style="84"/>
    <col min="16" max="16" width="19.4545454545455" style="84"/>
    <col min="17" max="16384" width="9" style="84"/>
  </cols>
  <sheetData>
    <row r="1" ht="29.25" customHeight="1" spans="1:12">
      <c r="A1" s="85" t="s">
        <v>213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ht="24" customHeight="1" spans="1:12">
      <c r="A2" s="86" t="s">
        <v>214</v>
      </c>
      <c r="E2" s="87"/>
      <c r="F2" s="87"/>
      <c r="G2" s="87"/>
      <c r="H2" s="87"/>
      <c r="I2" s="87"/>
      <c r="J2" s="87"/>
      <c r="K2" s="87"/>
      <c r="L2" s="87"/>
    </row>
    <row r="3" spans="3:8">
      <c r="C3" s="84" t="s">
        <v>215</v>
      </c>
      <c r="D3" s="88" t="s">
        <v>216</v>
      </c>
      <c r="E3" s="89">
        <v>0.04</v>
      </c>
      <c r="F3" s="90"/>
      <c r="G3" s="90"/>
      <c r="H3" s="90"/>
    </row>
    <row r="4" spans="11:11">
      <c r="K4" s="119"/>
    </row>
    <row r="5" ht="45" customHeight="1" spans="1:12">
      <c r="A5" s="91" t="s">
        <v>217</v>
      </c>
      <c r="B5" s="92" t="s">
        <v>149</v>
      </c>
      <c r="C5" s="93" t="s">
        <v>150</v>
      </c>
      <c r="D5" s="94"/>
      <c r="E5" s="71"/>
      <c r="F5" s="95"/>
      <c r="G5" s="96"/>
      <c r="H5" s="96"/>
      <c r="I5" s="96"/>
      <c r="J5" s="96"/>
      <c r="K5" s="120"/>
      <c r="L5" s="112" t="s">
        <v>25</v>
      </c>
    </row>
    <row r="6" ht="31.5" customHeight="1" spans="1:14">
      <c r="A6" s="91"/>
      <c r="B6" s="92" t="s">
        <v>151</v>
      </c>
      <c r="C6" s="97" t="s">
        <v>152</v>
      </c>
      <c r="D6" s="94"/>
      <c r="E6" s="71"/>
      <c r="F6" s="95"/>
      <c r="G6" s="96"/>
      <c r="H6" s="96"/>
      <c r="I6" s="96"/>
      <c r="J6" s="96"/>
      <c r="K6" s="121"/>
      <c r="L6" s="112"/>
      <c r="N6" s="84">
        <v>100</v>
      </c>
    </row>
    <row r="7" ht="49.5" spans="1:15">
      <c r="A7" s="91"/>
      <c r="B7" s="98" t="s">
        <v>218</v>
      </c>
      <c r="C7" s="99" t="s">
        <v>219</v>
      </c>
      <c r="D7" s="94"/>
      <c r="E7" s="100"/>
      <c r="F7" s="95"/>
      <c r="G7" s="96"/>
      <c r="H7" s="96"/>
      <c r="I7" s="96"/>
      <c r="J7" s="96"/>
      <c r="K7" s="121"/>
      <c r="L7" s="112"/>
      <c r="N7" s="84">
        <v>100</v>
      </c>
      <c r="O7" s="84">
        <f>N7/$N$6</f>
        <v>1</v>
      </c>
    </row>
    <row r="8" ht="57" spans="1:16">
      <c r="A8" s="91"/>
      <c r="B8" s="101" t="s">
        <v>220</v>
      </c>
      <c r="C8" s="94">
        <v>1220</v>
      </c>
      <c r="D8" s="94"/>
      <c r="E8" s="102"/>
      <c r="F8" s="103"/>
      <c r="G8" s="104"/>
      <c r="H8" s="104"/>
      <c r="I8" s="104"/>
      <c r="J8" s="104"/>
      <c r="K8" s="121"/>
      <c r="L8" s="112"/>
      <c r="M8" s="118">
        <f>SUM(C8:K8)</f>
        <v>1220</v>
      </c>
      <c r="N8" s="84">
        <f>N7*(1-$E$3)</f>
        <v>96</v>
      </c>
      <c r="O8" s="84">
        <f t="shared" ref="O8:O9" si="0">N8/$N$6</f>
        <v>0.96</v>
      </c>
      <c r="P8" s="118">
        <f>M8*N8/100</f>
        <v>1171.2</v>
      </c>
    </row>
    <row r="9" spans="1:16">
      <c r="A9" s="91" t="s">
        <v>221</v>
      </c>
      <c r="B9" s="91" t="s">
        <v>206</v>
      </c>
      <c r="C9" s="105">
        <v>200</v>
      </c>
      <c r="D9" s="105"/>
      <c r="E9" s="106"/>
      <c r="F9" s="107"/>
      <c r="G9" s="107"/>
      <c r="H9" s="107"/>
      <c r="I9" s="107"/>
      <c r="J9" s="107"/>
      <c r="K9" s="111"/>
      <c r="L9" s="122">
        <f>SUM(C9:K9)</f>
        <v>200</v>
      </c>
      <c r="N9" s="84">
        <f t="shared" ref="N9" si="1">N8*(1-$E$3)</f>
        <v>92.16</v>
      </c>
      <c r="O9" s="84">
        <f t="shared" si="0"/>
        <v>0.9216</v>
      </c>
      <c r="P9" s="118">
        <f>M8*N9/100</f>
        <v>1124.352</v>
      </c>
    </row>
    <row r="10" spans="1:12">
      <c r="A10" s="91"/>
      <c r="B10" s="91" t="s">
        <v>207</v>
      </c>
      <c r="C10" s="108">
        <v>300</v>
      </c>
      <c r="D10" s="108"/>
      <c r="E10" s="106"/>
      <c r="F10" s="107"/>
      <c r="G10" s="107"/>
      <c r="H10" s="107"/>
      <c r="I10" s="107"/>
      <c r="J10" s="107"/>
      <c r="K10" s="123"/>
      <c r="L10" s="122">
        <f t="shared" ref="L10:L14" si="2">SUM(C10:K10)</f>
        <v>300</v>
      </c>
    </row>
    <row r="11" spans="1:12">
      <c r="A11" s="91"/>
      <c r="B11" s="91" t="s">
        <v>208</v>
      </c>
      <c r="C11" s="108">
        <v>300</v>
      </c>
      <c r="D11" s="108"/>
      <c r="E11" s="106"/>
      <c r="F11" s="107"/>
      <c r="G11" s="107"/>
      <c r="H11" s="107"/>
      <c r="I11" s="107"/>
      <c r="J11" s="107"/>
      <c r="K11" s="111"/>
      <c r="L11" s="122">
        <f t="shared" si="2"/>
        <v>300</v>
      </c>
    </row>
    <row r="12" spans="1:12">
      <c r="A12" s="91"/>
      <c r="B12" s="91" t="s">
        <v>209</v>
      </c>
      <c r="C12" s="109"/>
      <c r="D12" s="109"/>
      <c r="E12" s="106"/>
      <c r="F12" s="107"/>
      <c r="G12" s="107"/>
      <c r="H12" s="107"/>
      <c r="I12" s="107"/>
      <c r="J12" s="107"/>
      <c r="K12" s="124"/>
      <c r="L12" s="122">
        <f t="shared" si="2"/>
        <v>0</v>
      </c>
    </row>
    <row r="13" spans="1:12">
      <c r="A13" s="91"/>
      <c r="B13" s="91" t="s">
        <v>210</v>
      </c>
      <c r="C13" s="109"/>
      <c r="D13" s="109"/>
      <c r="E13" s="109"/>
      <c r="F13" s="107"/>
      <c r="G13" s="107"/>
      <c r="H13" s="107"/>
      <c r="I13" s="107"/>
      <c r="J13" s="107"/>
      <c r="K13" s="124"/>
      <c r="L13" s="122">
        <f t="shared" si="2"/>
        <v>0</v>
      </c>
    </row>
    <row r="14" spans="1:12">
      <c r="A14" s="91"/>
      <c r="B14" s="91" t="s">
        <v>222</v>
      </c>
      <c r="C14" s="110"/>
      <c r="D14" s="110"/>
      <c r="E14" s="110"/>
      <c r="F14" s="111"/>
      <c r="G14" s="111"/>
      <c r="H14" s="111"/>
      <c r="I14" s="111"/>
      <c r="J14" s="111"/>
      <c r="K14" s="111"/>
      <c r="L14" s="122">
        <f t="shared" si="2"/>
        <v>0</v>
      </c>
    </row>
    <row r="15" spans="1:12">
      <c r="A15" s="112" t="s">
        <v>25</v>
      </c>
      <c r="B15" s="112"/>
      <c r="C15" s="113">
        <f>SUM(C9:C14)</f>
        <v>800</v>
      </c>
      <c r="D15" s="113">
        <f>SUM(D9:D14)</f>
        <v>0</v>
      </c>
      <c r="E15" s="113">
        <f t="shared" ref="E15:L15" si="3">SUM(E9:E14)</f>
        <v>0</v>
      </c>
      <c r="F15" s="113">
        <f t="shared" si="3"/>
        <v>0</v>
      </c>
      <c r="G15" s="113">
        <f t="shared" si="3"/>
        <v>0</v>
      </c>
      <c r="H15" s="113">
        <f t="shared" si="3"/>
        <v>0</v>
      </c>
      <c r="I15" s="113">
        <f t="shared" si="3"/>
        <v>0</v>
      </c>
      <c r="J15" s="113">
        <f t="shared" si="3"/>
        <v>0</v>
      </c>
      <c r="K15" s="113">
        <f t="shared" si="3"/>
        <v>0</v>
      </c>
      <c r="L15" s="113">
        <f t="shared" si="3"/>
        <v>800</v>
      </c>
    </row>
    <row r="16" spans="1:3">
      <c r="A16" s="114"/>
      <c r="B16" s="114"/>
      <c r="C16" s="114"/>
    </row>
    <row r="17" ht="29.25" customHeight="1" spans="2:14">
      <c r="B17" s="115" t="s">
        <v>223</v>
      </c>
      <c r="C17" s="116">
        <v>859</v>
      </c>
      <c r="D17" s="116">
        <f>材料成本!E12</f>
        <v>0</v>
      </c>
      <c r="E17" s="116"/>
      <c r="F17" s="116"/>
      <c r="G17" s="116"/>
      <c r="H17" s="116"/>
      <c r="I17" s="116"/>
      <c r="J17" s="116"/>
      <c r="K17" s="115"/>
      <c r="L17" s="115"/>
      <c r="M17" s="114"/>
      <c r="N17" s="118"/>
    </row>
    <row r="18" ht="29.25" customHeight="1" spans="2:14">
      <c r="B18" s="115" t="s">
        <v>73</v>
      </c>
      <c r="C18" s="116">
        <f>C8-C17</f>
        <v>361</v>
      </c>
      <c r="D18" s="116">
        <f t="shared" ref="D18:J18" si="4">D8-D17</f>
        <v>0</v>
      </c>
      <c r="E18" s="116"/>
      <c r="F18" s="116">
        <f t="shared" si="4"/>
        <v>0</v>
      </c>
      <c r="G18" s="116">
        <f t="shared" si="4"/>
        <v>0</v>
      </c>
      <c r="H18" s="116">
        <f t="shared" si="4"/>
        <v>0</v>
      </c>
      <c r="I18" s="116">
        <f t="shared" si="4"/>
        <v>0</v>
      </c>
      <c r="J18" s="116">
        <f t="shared" si="4"/>
        <v>0</v>
      </c>
      <c r="K18" s="115"/>
      <c r="L18" s="115"/>
      <c r="M18" s="114"/>
      <c r="N18" s="118"/>
    </row>
    <row r="19" ht="29.25" customHeight="1" spans="2:14">
      <c r="B19" s="115" t="s">
        <v>224</v>
      </c>
      <c r="C19" s="117">
        <f>C18/C8</f>
        <v>0.295901639344262</v>
      </c>
      <c r="D19" s="117" t="e">
        <f t="shared" ref="D19:J19" si="5">D18/D8</f>
        <v>#DIV/0!</v>
      </c>
      <c r="E19" s="117" t="e">
        <f t="shared" si="5"/>
        <v>#DIV/0!</v>
      </c>
      <c r="F19" s="117" t="e">
        <f t="shared" si="5"/>
        <v>#DIV/0!</v>
      </c>
      <c r="G19" s="117" t="e">
        <f t="shared" si="5"/>
        <v>#DIV/0!</v>
      </c>
      <c r="H19" s="117" t="e">
        <f t="shared" si="5"/>
        <v>#DIV/0!</v>
      </c>
      <c r="I19" s="117" t="e">
        <f t="shared" si="5"/>
        <v>#DIV/0!</v>
      </c>
      <c r="J19" s="117" t="e">
        <f t="shared" si="5"/>
        <v>#DIV/0!</v>
      </c>
      <c r="K19" s="115"/>
      <c r="L19" s="115"/>
      <c r="M19" s="125"/>
      <c r="N19" s="125"/>
    </row>
    <row r="21" spans="3:13">
      <c r="C21" s="118"/>
      <c r="D21" s="118"/>
      <c r="E21" s="118"/>
      <c r="M21" s="118"/>
    </row>
    <row r="22" spans="3:13">
      <c r="C22" s="118"/>
      <c r="D22" s="118"/>
      <c r="E22" s="118"/>
      <c r="M22" s="118"/>
    </row>
  </sheetData>
  <mergeCells count="5">
    <mergeCell ref="A1:L1"/>
    <mergeCell ref="A15:B15"/>
    <mergeCell ref="A5:A8"/>
    <mergeCell ref="A9:A14"/>
    <mergeCell ref="L5:L8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zoomScale="80" zoomScaleNormal="80" workbookViewId="0">
      <pane xSplit="3" ySplit="5" topLeftCell="D6" activePane="bottomRight" state="frozen"/>
      <selection/>
      <selection pane="topRight"/>
      <selection pane="bottomLeft"/>
      <selection pane="bottomRight" activeCell="I29" sqref="I29"/>
    </sheetView>
  </sheetViews>
  <sheetFormatPr defaultColWidth="9" defaultRowHeight="16.5"/>
  <cols>
    <col min="1" max="1" width="8.37272727272727" style="41" customWidth="1"/>
    <col min="2" max="2" width="8.87272727272727" style="41" customWidth="1"/>
    <col min="3" max="3" width="14" style="41" customWidth="1"/>
    <col min="4" max="4" width="16.6272727272727" style="41" customWidth="1"/>
    <col min="5" max="5" width="17" style="41" customWidth="1"/>
    <col min="6" max="11" width="16.2545454545455" style="41" customWidth="1"/>
    <col min="12" max="12" width="17.1272727272727" style="41" customWidth="1"/>
    <col min="13" max="13" width="17.3727272727273" style="41" customWidth="1"/>
    <col min="14" max="14" width="16" style="41" customWidth="1"/>
    <col min="15" max="16384" width="9" style="41"/>
  </cols>
  <sheetData>
    <row r="1" s="39" customFormat="1" ht="28.5" customHeight="1" spans="1:14">
      <c r="A1" s="42" t="s">
        <v>7</v>
      </c>
      <c r="B1" s="42"/>
      <c r="C1" s="42"/>
      <c r="N1" s="73"/>
    </row>
    <row r="2" spans="1:13">
      <c r="A2" s="43" t="s">
        <v>225</v>
      </c>
      <c r="B2" s="43"/>
      <c r="C2" s="44"/>
      <c r="D2" s="44"/>
      <c r="E2" s="45" t="s">
        <v>226</v>
      </c>
      <c r="F2" s="46"/>
      <c r="G2" s="46"/>
      <c r="H2" s="46"/>
      <c r="I2" s="46"/>
      <c r="J2" s="46"/>
      <c r="K2" s="46"/>
      <c r="L2" s="46"/>
      <c r="M2" s="74"/>
    </row>
    <row r="3" ht="24" customHeight="1" spans="1:13">
      <c r="A3" s="47" t="s">
        <v>21</v>
      </c>
      <c r="B3" s="47" t="s">
        <v>227</v>
      </c>
      <c r="C3" s="47" t="s">
        <v>228</v>
      </c>
      <c r="D3" s="48" t="s">
        <v>154</v>
      </c>
      <c r="E3" s="48"/>
      <c r="F3" s="47" t="s">
        <v>229</v>
      </c>
      <c r="G3" s="49" t="s">
        <v>230</v>
      </c>
      <c r="H3" s="49"/>
      <c r="I3" s="49"/>
      <c r="J3" s="49"/>
      <c r="K3" s="49"/>
      <c r="L3" s="75"/>
      <c r="M3" s="76" t="s">
        <v>166</v>
      </c>
    </row>
    <row r="4" spans="1:13">
      <c r="A4" s="47"/>
      <c r="B4" s="47"/>
      <c r="C4" s="47" t="s">
        <v>149</v>
      </c>
      <c r="D4" s="50" t="s">
        <v>150</v>
      </c>
      <c r="E4" s="50">
        <f>销量!D5</f>
        <v>0</v>
      </c>
      <c r="F4" s="50">
        <f>销量!E5</f>
        <v>0</v>
      </c>
      <c r="G4" s="50">
        <f>销量!F5</f>
        <v>0</v>
      </c>
      <c r="H4" s="50">
        <f>销量!G5</f>
        <v>0</v>
      </c>
      <c r="I4" s="50">
        <f>销量!H5</f>
        <v>0</v>
      </c>
      <c r="J4" s="50">
        <f>销量!I5</f>
        <v>0</v>
      </c>
      <c r="K4" s="50">
        <f>销量!J5</f>
        <v>0</v>
      </c>
      <c r="L4" s="50"/>
      <c r="M4" s="77"/>
    </row>
    <row r="5" ht="33" spans="1:13">
      <c r="A5" s="47"/>
      <c r="B5" s="47"/>
      <c r="C5" s="47" t="s">
        <v>231</v>
      </c>
      <c r="D5" s="51" t="s">
        <v>152</v>
      </c>
      <c r="E5" s="51">
        <f>销量!D6</f>
        <v>0</v>
      </c>
      <c r="F5" s="51">
        <f>销量!E6</f>
        <v>0</v>
      </c>
      <c r="G5" s="51">
        <f>销量!F6</f>
        <v>0</v>
      </c>
      <c r="H5" s="51">
        <f>销量!G6</f>
        <v>0</v>
      </c>
      <c r="I5" s="51">
        <f>销量!H6</f>
        <v>0</v>
      </c>
      <c r="J5" s="51">
        <f>销量!I6</f>
        <v>0</v>
      </c>
      <c r="K5" s="51">
        <f>销量!J6</f>
        <v>0</v>
      </c>
      <c r="L5" s="51"/>
      <c r="M5" s="78"/>
    </row>
    <row r="6" s="40" customFormat="1" ht="38.25" customHeight="1" spans="1:13">
      <c r="A6" s="52">
        <v>1</v>
      </c>
      <c r="B6" s="53"/>
      <c r="C6" s="54"/>
      <c r="D6" s="55">
        <v>859</v>
      </c>
      <c r="E6" s="55"/>
      <c r="F6" s="55"/>
      <c r="G6" s="55"/>
      <c r="H6" s="55"/>
      <c r="I6" s="55"/>
      <c r="J6" s="55"/>
      <c r="K6" s="55"/>
      <c r="L6" s="57"/>
      <c r="M6" s="11"/>
    </row>
    <row r="7" s="40" customFormat="1" customHeight="1" spans="1:13">
      <c r="A7" s="52">
        <v>2</v>
      </c>
      <c r="B7" s="53"/>
      <c r="C7" s="54"/>
      <c r="D7" s="56"/>
      <c r="E7" s="56"/>
      <c r="F7" s="56"/>
      <c r="G7" s="56"/>
      <c r="H7" s="56"/>
      <c r="I7" s="56"/>
      <c r="J7" s="56"/>
      <c r="K7" s="56"/>
      <c r="L7" s="56"/>
      <c r="M7" s="79"/>
    </row>
    <row r="8" s="40" customFormat="1" customHeight="1" spans="1:13">
      <c r="A8" s="52">
        <v>3</v>
      </c>
      <c r="B8" s="53"/>
      <c r="C8" s="54"/>
      <c r="D8" s="57"/>
      <c r="E8" s="56"/>
      <c r="F8" s="57"/>
      <c r="G8" s="57"/>
      <c r="H8" s="57"/>
      <c r="I8" s="57"/>
      <c r="J8" s="57"/>
      <c r="K8" s="57"/>
      <c r="L8" s="56"/>
      <c r="M8" s="79"/>
    </row>
    <row r="9" s="40" customFormat="1" spans="1:13">
      <c r="A9" s="52">
        <v>4</v>
      </c>
      <c r="B9" s="53"/>
      <c r="C9" s="54"/>
      <c r="D9" s="57"/>
      <c r="E9" s="56"/>
      <c r="F9" s="57"/>
      <c r="G9" s="57"/>
      <c r="H9" s="57"/>
      <c r="I9" s="57"/>
      <c r="J9" s="57"/>
      <c r="K9" s="57"/>
      <c r="L9" s="56"/>
      <c r="M9" s="79"/>
    </row>
    <row r="10" s="40" customFormat="1" customHeight="1" spans="1:15">
      <c r="A10" s="52">
        <v>5</v>
      </c>
      <c r="B10" s="53"/>
      <c r="C10" s="54"/>
      <c r="D10" s="57"/>
      <c r="E10" s="56"/>
      <c r="F10" s="57"/>
      <c r="G10" s="57"/>
      <c r="H10" s="57"/>
      <c r="I10" s="57"/>
      <c r="J10" s="57"/>
      <c r="K10" s="57"/>
      <c r="L10" s="56"/>
      <c r="M10" s="79"/>
      <c r="N10" s="80"/>
      <c r="O10" s="81"/>
    </row>
    <row r="11" s="40" customFormat="1" customHeight="1" spans="1:15">
      <c r="A11" s="52">
        <v>6</v>
      </c>
      <c r="B11" s="53"/>
      <c r="C11" s="54"/>
      <c r="D11" s="57"/>
      <c r="E11" s="56"/>
      <c r="F11" s="57"/>
      <c r="G11" s="57"/>
      <c r="H11" s="57"/>
      <c r="I11" s="57"/>
      <c r="J11" s="57"/>
      <c r="K11" s="57"/>
      <c r="L11" s="56"/>
      <c r="M11" s="79"/>
      <c r="N11" s="80"/>
      <c r="O11" s="81"/>
    </row>
    <row r="12" ht="31.5" customHeight="1" spans="1:13">
      <c r="A12" s="58" t="s">
        <v>232</v>
      </c>
      <c r="B12" s="59"/>
      <c r="C12" s="60"/>
      <c r="D12" s="61">
        <f>SUM(D6:D11)</f>
        <v>859</v>
      </c>
      <c r="E12" s="61">
        <f>SUM(E6:E11)</f>
        <v>0</v>
      </c>
      <c r="F12" s="61">
        <f>SUM(F6:F11)</f>
        <v>0</v>
      </c>
      <c r="G12" s="61">
        <f t="shared" ref="G12:L12" si="0">SUM(G6:G11)</f>
        <v>0</v>
      </c>
      <c r="H12" s="61">
        <f t="shared" si="0"/>
        <v>0</v>
      </c>
      <c r="I12" s="61">
        <f t="shared" si="0"/>
        <v>0</v>
      </c>
      <c r="J12" s="61">
        <f t="shared" si="0"/>
        <v>0</v>
      </c>
      <c r="K12" s="61">
        <f t="shared" si="0"/>
        <v>0</v>
      </c>
      <c r="L12" s="61">
        <f t="shared" si="0"/>
        <v>0</v>
      </c>
      <c r="M12" s="82" t="s">
        <v>233</v>
      </c>
    </row>
    <row r="13" spans="4:11">
      <c r="D13" s="62"/>
      <c r="E13" s="63"/>
      <c r="F13" s="63"/>
      <c r="G13" s="63"/>
      <c r="H13" s="63"/>
      <c r="I13" s="63"/>
      <c r="J13" s="63"/>
      <c r="K13" s="63"/>
    </row>
    <row r="14" spans="4:11">
      <c r="D14" s="63"/>
      <c r="E14" s="63"/>
      <c r="F14" s="63"/>
      <c r="G14" s="63"/>
      <c r="H14" s="63"/>
      <c r="I14" s="63"/>
      <c r="J14" s="63"/>
      <c r="K14" s="63"/>
    </row>
    <row r="15" spans="4:11">
      <c r="D15" s="63"/>
      <c r="E15" s="63"/>
      <c r="F15" s="63"/>
      <c r="G15" s="63"/>
      <c r="H15" s="63"/>
      <c r="I15" s="63"/>
      <c r="J15" s="63"/>
      <c r="K15" s="63"/>
    </row>
    <row r="17" ht="27.75" customHeight="1" spans="3:13">
      <c r="C17" s="64"/>
      <c r="D17" s="65" t="s">
        <v>234</v>
      </c>
      <c r="E17" s="65"/>
      <c r="F17" s="65"/>
      <c r="G17" s="65"/>
      <c r="H17" s="65"/>
      <c r="I17" s="65"/>
      <c r="J17" s="65"/>
      <c r="K17" s="65"/>
      <c r="L17" s="65"/>
      <c r="M17" s="65"/>
    </row>
    <row r="18" spans="3:13">
      <c r="C18" s="66" t="s">
        <v>149</v>
      </c>
      <c r="D18" s="66" t="s">
        <v>235</v>
      </c>
      <c r="E18" s="67" t="s">
        <v>236</v>
      </c>
      <c r="F18" s="68"/>
      <c r="G18" s="68"/>
      <c r="H18" s="68"/>
      <c r="I18" s="68"/>
      <c r="J18" s="68"/>
      <c r="K18" s="68"/>
      <c r="L18" s="68"/>
      <c r="M18" s="83"/>
    </row>
    <row r="19" spans="2:13">
      <c r="B19" s="63"/>
      <c r="C19" s="69"/>
      <c r="D19" s="69"/>
      <c r="E19" s="65">
        <v>2024</v>
      </c>
      <c r="F19" s="65">
        <v>2025</v>
      </c>
      <c r="G19" s="65">
        <v>2026</v>
      </c>
      <c r="H19" s="65">
        <v>2027</v>
      </c>
      <c r="I19" s="65">
        <v>2028</v>
      </c>
      <c r="J19" s="65">
        <v>2029</v>
      </c>
      <c r="K19" s="65">
        <v>2030</v>
      </c>
      <c r="L19" s="65">
        <v>2031</v>
      </c>
      <c r="M19" s="65"/>
    </row>
    <row r="20" ht="49.5" spans="3:13">
      <c r="C20" s="51" t="str">
        <f>D4</f>
        <v>驾驶员座椅</v>
      </c>
      <c r="D20" s="51" t="str">
        <f>D5</f>
        <v>AZ160051000250</v>
      </c>
      <c r="E20" s="56">
        <f>D12</f>
        <v>859</v>
      </c>
      <c r="F20" s="70">
        <f>E20*(1-0.04)</f>
        <v>824.64</v>
      </c>
      <c r="G20" s="70">
        <f>F20*(1-0.04)</f>
        <v>791.6544</v>
      </c>
      <c r="H20" s="70"/>
      <c r="I20" s="70"/>
      <c r="J20" s="70"/>
      <c r="K20" s="70"/>
      <c r="L20" s="70"/>
      <c r="M20" s="70"/>
    </row>
    <row r="21" ht="49.5" spans="3:13">
      <c r="C21" s="51">
        <f>E4</f>
        <v>0</v>
      </c>
      <c r="D21" s="51">
        <f>E5</f>
        <v>0</v>
      </c>
      <c r="E21" s="56">
        <f>E12</f>
        <v>0</v>
      </c>
      <c r="F21" s="70">
        <f>E21*(1-0.04)</f>
        <v>0</v>
      </c>
      <c r="G21" s="70">
        <f>F21*(1-0.04)</f>
        <v>0</v>
      </c>
      <c r="H21" s="70"/>
      <c r="I21" s="70"/>
      <c r="J21" s="70"/>
      <c r="K21" s="70"/>
      <c r="L21" s="70"/>
      <c r="M21" s="70"/>
    </row>
    <row r="22" spans="3:13">
      <c r="C22" s="71"/>
      <c r="D22" s="71"/>
      <c r="E22" s="56"/>
      <c r="F22" s="70">
        <f t="shared" ref="F22:H27" si="1">E22*(1-0.01)</f>
        <v>0</v>
      </c>
      <c r="G22" s="70">
        <f t="shared" si="1"/>
        <v>0</v>
      </c>
      <c r="H22" s="70">
        <f t="shared" si="1"/>
        <v>0</v>
      </c>
      <c r="I22" s="70"/>
      <c r="J22" s="70"/>
      <c r="K22" s="70"/>
      <c r="L22" s="70"/>
      <c r="M22" s="70"/>
    </row>
    <row r="23" spans="3:13">
      <c r="C23" s="72"/>
      <c r="D23" s="72"/>
      <c r="E23" s="56"/>
      <c r="F23" s="70">
        <f t="shared" si="1"/>
        <v>0</v>
      </c>
      <c r="G23" s="70">
        <f t="shared" si="1"/>
        <v>0</v>
      </c>
      <c r="H23" s="70">
        <f t="shared" si="1"/>
        <v>0</v>
      </c>
      <c r="I23" s="70"/>
      <c r="J23" s="70"/>
      <c r="K23" s="70"/>
      <c r="L23" s="70"/>
      <c r="M23" s="70"/>
    </row>
    <row r="24" spans="3:13">
      <c r="C24" s="72"/>
      <c r="D24" s="72"/>
      <c r="E24" s="56"/>
      <c r="F24" s="70">
        <f t="shared" si="1"/>
        <v>0</v>
      </c>
      <c r="G24" s="70">
        <f t="shared" si="1"/>
        <v>0</v>
      </c>
      <c r="H24" s="70">
        <f t="shared" si="1"/>
        <v>0</v>
      </c>
      <c r="I24" s="70"/>
      <c r="J24" s="70"/>
      <c r="K24" s="70"/>
      <c r="L24" s="70"/>
      <c r="M24" s="70"/>
    </row>
    <row r="25" spans="3:13">
      <c r="C25" s="72"/>
      <c r="D25" s="72"/>
      <c r="E25" s="56"/>
      <c r="F25" s="70">
        <f t="shared" si="1"/>
        <v>0</v>
      </c>
      <c r="G25" s="70">
        <f t="shared" si="1"/>
        <v>0</v>
      </c>
      <c r="H25" s="70">
        <f t="shared" si="1"/>
        <v>0</v>
      </c>
      <c r="I25" s="70"/>
      <c r="J25" s="70"/>
      <c r="K25" s="70"/>
      <c r="L25" s="70"/>
      <c r="M25" s="70"/>
    </row>
    <row r="26" spans="3:13">
      <c r="C26" s="72"/>
      <c r="D26" s="72"/>
      <c r="E26" s="56"/>
      <c r="F26" s="70">
        <f t="shared" si="1"/>
        <v>0</v>
      </c>
      <c r="G26" s="70">
        <f t="shared" si="1"/>
        <v>0</v>
      </c>
      <c r="H26" s="70">
        <f t="shared" si="1"/>
        <v>0</v>
      </c>
      <c r="I26" s="70"/>
      <c r="J26" s="70"/>
      <c r="K26" s="70"/>
      <c r="L26" s="70"/>
      <c r="M26" s="64"/>
    </row>
    <row r="27" spans="3:13">
      <c r="C27" s="72"/>
      <c r="D27" s="72"/>
      <c r="E27" s="56"/>
      <c r="F27" s="70">
        <f t="shared" si="1"/>
        <v>0</v>
      </c>
      <c r="G27" s="70">
        <f t="shared" si="1"/>
        <v>0</v>
      </c>
      <c r="H27" s="70">
        <f t="shared" si="1"/>
        <v>0</v>
      </c>
      <c r="I27" s="70"/>
      <c r="J27" s="70"/>
      <c r="K27" s="70"/>
      <c r="L27" s="70"/>
      <c r="M27" s="64"/>
    </row>
  </sheetData>
  <mergeCells count="20">
    <mergeCell ref="A1:B1"/>
    <mergeCell ref="A2:D2"/>
    <mergeCell ref="E2:M2"/>
    <mergeCell ref="D3:E3"/>
    <mergeCell ref="B6:C6"/>
    <mergeCell ref="B7:C7"/>
    <mergeCell ref="B8:C8"/>
    <mergeCell ref="B9:C9"/>
    <mergeCell ref="B10:C10"/>
    <mergeCell ref="N10:O10"/>
    <mergeCell ref="B11:C11"/>
    <mergeCell ref="N11:O11"/>
    <mergeCell ref="A12:C12"/>
    <mergeCell ref="D17:M17"/>
    <mergeCell ref="E18:M18"/>
    <mergeCell ref="A3:A5"/>
    <mergeCell ref="B3:B5"/>
    <mergeCell ref="C18:C19"/>
    <mergeCell ref="D18:D19"/>
    <mergeCell ref="M3:M5"/>
  </mergeCells>
  <pageMargins left="0.708661417322835" right="0.118110236220472" top="0.354330708661417" bottom="0.354330708661417" header="0.31496062992126" footer="0.31496062992126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假设条件</vt:lpstr>
      <vt:lpstr>损益表</vt:lpstr>
      <vt:lpstr>现金</vt:lpstr>
      <vt:lpstr>2024年</vt:lpstr>
      <vt:lpstr>2025年</vt:lpstr>
      <vt:lpstr>2026年</vt:lpstr>
      <vt:lpstr>项目投资</vt:lpstr>
      <vt:lpstr>销量</vt:lpstr>
      <vt:lpstr>材料成本</vt:lpstr>
      <vt:lpstr>其他</vt:lpstr>
      <vt:lpstr>标准成本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哿 偉</cp:lastModifiedBy>
  <dcterms:created xsi:type="dcterms:W3CDTF">2006-09-13T11:21:00Z</dcterms:created>
  <dcterms:modified xsi:type="dcterms:W3CDTF">2024-10-31T02:40:44Z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C2D4D54A49FB46D3857EBD9C24CA4426_12</vt:lpwstr>
  </property>
</Properties>
</file>