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2027年" sheetId="58" r:id="rId7"/>
    <sheet name="2028年" sheetId="59" r:id="rId8"/>
    <sheet name="2029年" sheetId="60" r:id="rId9"/>
    <sheet name="2030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'2025年'!$A$1:$E$48</definedName>
    <definedName name="_xlnm.Print_Area" localSheetId="5">'2026年'!$A$1:$E$48</definedName>
    <definedName name="_xlnm.Print_Area" localSheetId="6">'2027年'!$A$1:$E$48</definedName>
    <definedName name="_xlnm.Print_Area" localSheetId="10">项目投资!$A$1:$C$35</definedName>
    <definedName name="_xlnm.Print_Area" localSheetId="7">'2028年'!$A$1:$E$48</definedName>
    <definedName name="_xlnm.Print_Area" localSheetId="8">'2029年'!$A$1:$E$48</definedName>
    <definedName name="_xlnm.Print_Area" localSheetId="9">'2030年'!$A$1:$E$48</definedName>
    <definedName name="_xlnm.Print_Area" localSheetId="3">'2024年'!$A$1:$E$48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<sst xmlns="http://schemas.openxmlformats.org/spreadsheetml/2006/main" count="1954" uniqueCount="290">
  <si>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</si>
  <si>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</si>
  <si>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</si>
  <si>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</si>
  <si>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</si>
  <si>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</si>
  <si>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</si>
  <si>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</si>
  <si>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</si>
  <si>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</si>
  <si>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</si>
  <si>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</si>
  <si>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</si>
  <si>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</si>
  <si>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</si>
  <si>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</si>
  <si>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</si>
  <si>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</si>
  <si>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</si>
  <si>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</si>
  <si>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</si>
  <si>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</si>
  <si>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</si>
  <si>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</si>
  <si>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</si>
  <si>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</si>
  <si>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</si>
  <si>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</si>
  <si>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</si>
  <si>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</si>
  <si>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</si>
  <si>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</si>
  <si>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</si>
  <si>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</si>
  <si>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</si>
  <si>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</si>
  <si>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</si>
  <si>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</si>
  <si>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</si>
  <si>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</si>
  <si>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</si>
  <si>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</si>
  <si>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</si>
  <si>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</si>
  <si>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</si>
  <si>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</si>
  <si>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</si>
  <si>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</si>
  <si>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</si>
  <si>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</si>
  <si>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</si>
  <si>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</si>
  <si>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</si>
  <si>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</si>
  <si>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2025</t>
    </r>
    <r>
      <rPr>
        <b/>
        <sz val="10"/>
        <rFont val="宋体"/>
        <charset val="134"/>
      </rPr>
      <t>年</t>
    </r>
  </si>
  <si>
    <t>2026年</t>
  </si>
  <si>
    <t>2027年</t>
  </si>
  <si>
    <t>2028年</t>
  </si>
  <si>
    <t>2029年</t>
  </si>
  <si>
    <r>
      <rPr>
        <b/>
        <sz val="10"/>
        <rFont val="CorpoS"/>
        <charset val="134"/>
      </rPr>
      <t>2030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</si>
  <si>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</si>
  <si>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</si>
  <si>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</si>
  <si>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</si>
  <si>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</si>
  <si>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</si>
  <si>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</si>
  <si>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</si>
  <si>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</si>
  <si>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</si>
  <si>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</si>
  <si>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</si>
  <si>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</si>
  <si>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</si>
  <si>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</si>
  <si>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</si>
  <si>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</si>
  <si>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</si>
  <si>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</si>
  <si>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</si>
  <si>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</si>
  <si>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</si>
  <si>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</si>
  <si>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</si>
  <si>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</si>
  <si>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</si>
  <si>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</si>
  <si>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</si>
  <si>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</si>
  <si>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</si>
  <si>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</si>
  <si>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</si>
  <si>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</si>
  <si>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</si>
  <si>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</si>
  <si>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</si>
  <si>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</si>
  <si>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</si>
  <si>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</si>
  <si>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</si>
  <si>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</si>
  <si>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</si>
  <si>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</si>
  <si>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</si>
  <si>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</si>
  <si>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</si>
  <si>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</si>
  <si>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</si>
  <si>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</si>
  <si>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</si>
  <si>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</si>
  <si>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</si>
  <si>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</si>
  <si>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</si>
  <si>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</si>
  <si>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</si>
  <si>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</si>
  <si>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</si>
  <si>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</si>
  <si>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</si>
  <si>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</si>
  <si>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</si>
  <si>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</si>
  <si>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</si>
  <si>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</si>
  <si>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</si>
  <si>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</si>
  <si>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</si>
  <si>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</si>
  <si>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</si>
  <si>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</si>
  <si>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</si>
  <si>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</si>
  <si>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</si>
  <si>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</si>
  <si>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</si>
  <si>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</si>
  <si>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</si>
  <si>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</si>
  <si>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</si>
  <si>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</si>
  <si>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</si>
  <si>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</si>
  <si>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</si>
  <si>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</si>
  <si>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</si>
  <si>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</si>
  <si>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</si>
  <si>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</si>
  <si>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</si>
  <si>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</si>
  <si>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</si>
  <si>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</si>
  <si>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</si>
  <si>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</si>
  <si>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</si>
  <si>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</si>
  <si>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</si>
  <si>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零一汽车座椅</t>
  </si>
  <si>
    <t>产品名称</t>
  </si>
  <si>
    <t>主司机</t>
  </si>
  <si>
    <t>副司机</t>
  </si>
  <si>
    <t>产品图号</t>
  </si>
  <si>
    <t>LY1325151001</t>
  </si>
  <si>
    <t>LY1325151002</t>
  </si>
  <si>
    <t>车型</t>
  </si>
  <si>
    <t>主司机：2.1D平台座椅参考商用车DZ15221519963座椅配置</t>
  </si>
  <si>
    <t>参考商用车BZ14251510002座椅配置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</si>
  <si>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</si>
  <si>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</si>
  <si>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</si>
  <si>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</si>
  <si>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</si>
  <si>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</si>
  <si>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</si>
  <si>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</si>
  <si>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t xml:space="preserve">2029年  </t>
  </si>
  <si>
    <t xml:space="preserve">2030年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</si>
  <si>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</si>
  <si>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零一汽车座椅项目研发费用预算表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</si>
  <si>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</si>
  <si>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</si>
  <si>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</si>
  <si>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</si>
  <si>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</si>
  <si>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</si>
  <si>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</si>
  <si>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</si>
  <si>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</si>
  <si>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</si>
  <si>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</si>
  <si>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</si>
  <si>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</si>
  <si>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</si>
  <si>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</si>
  <si>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</si>
  <si>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</si>
  <si>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</si>
  <si>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</si>
  <si>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</si>
  <si>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</si>
  <si>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</si>
  <si>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</si>
  <si>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</si>
  <si>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</si>
  <si>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</si>
  <si>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</si>
  <si>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</si>
  <si>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</si>
  <si>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</si>
  <si>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</si>
  <si>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</si>
  <si>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</si>
  <si>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</si>
  <si>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</si>
  <si>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</si>
  <si>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</si>
  <si>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</si>
  <si>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</si>
  <si>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</si>
  <si>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</si>
  <si>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</si>
  <si>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</si>
  <si>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</si>
  <si>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</si>
  <si>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</si>
  <si>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</si>
  <si>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</si>
  <si>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</si>
  <si>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</si>
  <si>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</si>
  <si>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</si>
  <si>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项目编号</t>
  </si>
  <si>
    <t xml:space="preserve">
ZY2430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</si>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</sst>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#,##0_ "/>
    <numFmt numFmtId="180" formatCode="0_ "/>
    <numFmt numFmtId="181" formatCode="0.00_ "/>
    <numFmt numFmtId="182" formatCode="&quot;$&quot;#,##0.00_);[Red]\(&quot;$&quot;#,##0.00\)"/>
  </numFmts>
  <fonts count="6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12" borderId="20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8" fillId="13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6" fillId="0" borderId="0"/>
    <xf numFmtId="0" fontId="57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59" fillId="0" borderId="0"/>
    <xf numFmtId="1" fontId="60" fillId="0" borderId="2" applyBorder="0"/>
    <xf numFmtId="43" fontId="61" fillId="0" borderId="0" applyFont="0" applyFill="0" applyBorder="0" applyAlignment="0" applyProtection="0">
      <alignment vertical="center"/>
    </xf>
    <xf numFmtId="0" fontId="58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177" fontId="15" fillId="0" borderId="2" xfId="1" applyNumberFormat="1" applyFont="1" applyFill="1" applyBorder="1" applyAlignment="1">
      <alignment horizontal="center" vertical="center" wrapText="1" readingOrder="1"/>
    </xf>
    <xf numFmtId="179" fontId="3" fillId="0" borderId="0" xfId="0" applyNumberFormat="1" applyFont="1" applyFill="1">
      <alignment vertical="center"/>
    </xf>
    <xf numFmtId="43" fontId="3" fillId="0" borderId="2" xfId="0" applyNumberFormat="1" applyFont="1" applyFill="1" applyBorder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0" fillId="0" borderId="3" xfId="53" applyNumberFormat="1" applyFont="1" applyFill="1" applyBorder="1" applyAlignment="1">
      <alignment horizontal="center" vertical="center"/>
    </xf>
    <xf numFmtId="180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3" fontId="23" fillId="3" borderId="2" xfId="1" applyFont="1" applyFill="1" applyBorder="1" applyAlignment="1" applyProtection="1">
      <alignment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4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5" fillId="0" borderId="0" xfId="0" applyFont="1" applyFill="1">
      <alignment vertical="center"/>
    </xf>
    <xf numFmtId="43" fontId="25" fillId="0" borderId="0" xfId="1" applyFont="1" applyFill="1">
      <alignment vertical="center"/>
    </xf>
    <xf numFmtId="0" fontId="25" fillId="0" borderId="2" xfId="0" applyFont="1" applyFill="1" applyBorder="1" applyAlignment="1">
      <alignment horizontal="center" vertical="center"/>
    </xf>
    <xf numFmtId="43" fontId="25" fillId="0" borderId="3" xfId="1" applyFont="1" applyFill="1" applyBorder="1" applyAlignment="1">
      <alignment horizontal="center" vertical="center"/>
    </xf>
    <xf numFmtId="43" fontId="25" fillId="0" borderId="4" xfId="1" applyFont="1" applyFill="1" applyBorder="1" applyAlignment="1">
      <alignment horizontal="center" vertical="center"/>
    </xf>
    <xf numFmtId="43" fontId="25" fillId="0" borderId="5" xfId="1" applyFont="1" applyFill="1" applyBorder="1" applyAlignment="1">
      <alignment horizontal="center" vertical="center"/>
    </xf>
    <xf numFmtId="43" fontId="25" fillId="4" borderId="2" xfId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10" xfId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3" fontId="27" fillId="0" borderId="7" xfId="1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  <xf numFmtId="0" fontId="29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5" fillId="0" borderId="2" xfId="1" applyFont="1" applyFill="1" applyBorder="1" applyAlignment="1">
      <alignment horizontal="center" vertical="center"/>
    </xf>
    <xf numFmtId="43" fontId="25" fillId="0" borderId="0" xfId="0" applyNumberFormat="1" applyFont="1" applyFill="1">
      <alignment vertical="center"/>
    </xf>
    <xf numFmtId="0" fontId="29" fillId="0" borderId="2" xfId="0" applyFont="1" applyFill="1" applyBorder="1">
      <alignment vertical="center"/>
    </xf>
    <xf numFmtId="10" fontId="25" fillId="0" borderId="2" xfId="3" applyNumberFormat="1" applyFont="1" applyFill="1" applyBorder="1" applyAlignment="1">
      <alignment horizontal="center" vertical="center"/>
    </xf>
    <xf numFmtId="10" fontId="25" fillId="0" borderId="0" xfId="0" applyNumberFormat="1" applyFont="1" applyFill="1">
      <alignment vertical="center"/>
    </xf>
    <xf numFmtId="0" fontId="24" fillId="0" borderId="2" xfId="0" applyFont="1" applyFill="1" applyBorder="1">
      <alignment vertical="center"/>
    </xf>
    <xf numFmtId="43" fontId="24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5" fillId="0" borderId="2" xfId="1" applyFont="1" applyFill="1" applyBorder="1">
      <alignment vertical="center"/>
    </xf>
    <xf numFmtId="0" fontId="11" fillId="0" borderId="2" xfId="0" applyFont="1" applyFill="1" applyBorder="1">
      <alignment vertical="center"/>
    </xf>
    <xf numFmtId="181" fontId="25" fillId="0" borderId="0" xfId="0" applyNumberFormat="1" applyFont="1" applyFill="1">
      <alignment vertical="center"/>
    </xf>
    <xf numFmtId="9" fontId="25" fillId="0" borderId="2" xfId="3" applyFont="1" applyFill="1" applyBorder="1">
      <alignment vertical="center"/>
    </xf>
    <xf numFmtId="10" fontId="25" fillId="0" borderId="2" xfId="3" applyNumberFormat="1" applyFont="1" applyFill="1" applyBorder="1">
      <alignment vertical="center"/>
    </xf>
    <xf numFmtId="43" fontId="24" fillId="0" borderId="2" xfId="1" applyFont="1" applyFill="1" applyBorder="1" applyAlignment="1">
      <alignment horizontal="center" vertical="center"/>
    </xf>
    <xf numFmtId="43" fontId="25" fillId="0" borderId="2" xfId="0" applyNumberFormat="1" applyFont="1" applyFill="1" applyBorder="1">
      <alignment vertical="center"/>
    </xf>
    <xf numFmtId="43" fontId="11" fillId="0" borderId="2" xfId="1" applyFont="1" applyFill="1" applyBorder="1">
      <alignment vertical="center"/>
    </xf>
    <xf numFmtId="43" fontId="2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1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43" fontId="25" fillId="0" borderId="0" xfId="1" applyFont="1">
      <alignment vertical="center"/>
    </xf>
    <xf numFmtId="0" fontId="31" fillId="0" borderId="1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43" fontId="32" fillId="0" borderId="2" xfId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center" vertical="center"/>
    </xf>
    <xf numFmtId="0" fontId="29" fillId="9" borderId="2" xfId="0" applyFont="1" applyFill="1" applyBorder="1">
      <alignment vertical="center"/>
    </xf>
    <xf numFmtId="177" fontId="11" fillId="9" borderId="2" xfId="1" applyNumberFormat="1" applyFont="1" applyFill="1" applyBorder="1" applyAlignment="1">
      <alignment horizontal="center" vertical="center"/>
    </xf>
    <xf numFmtId="0" fontId="33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10" fontId="11" fillId="0" borderId="2" xfId="3" applyNumberFormat="1" applyFont="1" applyBorder="1" applyAlignment="1">
      <alignment vertical="center"/>
    </xf>
    <xf numFmtId="177" fontId="11" fillId="0" borderId="2" xfId="1" applyNumberFormat="1" applyFont="1" applyBorder="1" applyAlignment="1">
      <alignment horizontal="center" vertical="center"/>
    </xf>
    <xf numFmtId="177" fontId="25" fillId="0" borderId="2" xfId="1" applyNumberFormat="1" applyFont="1" applyFill="1" applyBorder="1">
      <alignment vertical="center"/>
    </xf>
    <xf numFmtId="0" fontId="33" fillId="9" borderId="2" xfId="0" applyFont="1" applyFill="1" applyBorder="1">
      <alignment vertical="center"/>
    </xf>
    <xf numFmtId="177" fontId="25" fillId="0" borderId="2" xfId="1" applyNumberFormat="1" applyFont="1" applyBorder="1" applyAlignment="1">
      <alignment horizontal="center" vertical="center"/>
    </xf>
    <xf numFmtId="10" fontId="25" fillId="0" borderId="2" xfId="3" applyNumberFormat="1" applyFont="1" applyBorder="1">
      <alignment vertical="center"/>
    </xf>
    <xf numFmtId="10" fontId="25" fillId="0" borderId="0" xfId="3" applyNumberFormat="1" applyFont="1" applyBorder="1">
      <alignment vertical="center"/>
    </xf>
    <xf numFmtId="43" fontId="25" fillId="0" borderId="0" xfId="1" applyFont="1" applyBorder="1">
      <alignment vertical="center"/>
    </xf>
    <xf numFmtId="0" fontId="25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3" fontId="25" fillId="0" borderId="2" xfId="1" applyFont="1" applyBorder="1">
      <alignment vertical="center"/>
    </xf>
    <xf numFmtId="177" fontId="25" fillId="0" borderId="2" xfId="1" applyNumberFormat="1" applyFont="1" applyBorder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4" fillId="0" borderId="0" xfId="0" applyNumberFormat="1" applyFont="1" applyFill="1">
      <alignment vertical="center"/>
    </xf>
    <xf numFmtId="43" fontId="25" fillId="0" borderId="0" xfId="0" applyNumberFormat="1" applyFont="1" applyFill="1" applyBorder="1">
      <alignment vertical="center"/>
    </xf>
    <xf numFmtId="0" fontId="11" fillId="0" borderId="2" xfId="0" applyFont="1" applyBorder="1">
      <alignment vertical="center"/>
    </xf>
    <xf numFmtId="0" fontId="33" fillId="0" borderId="2" xfId="0" applyFont="1" applyBorder="1">
      <alignment vertical="center"/>
    </xf>
    <xf numFmtId="0" fontId="25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4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9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2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8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5" fillId="0" borderId="0" xfId="0" applyFont="1">
      <alignment vertical="center"/>
    </xf>
    <xf numFmtId="0" fontId="36" fillId="0" borderId="2" xfId="0" applyFont="1" applyBorder="1" applyAlignment="1">
      <alignment horizontal="center" vertical="center" wrapText="1" readingOrder="1"/>
    </xf>
    <xf numFmtId="0" fontId="35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54" customFormat="1" ht="35.25" customHeight="1" spans="1:4">
      <c r="A2" s="255" t="s">
        <v>0</v>
      </c>
      <c r="B2" s="255" t="s">
        <v>1</v>
      </c>
      <c r="C2" s="255" t="s">
        <v>2</v>
      </c>
      <c r="D2" s="256"/>
    </row>
    <row r="3" s="254" customFormat="1" ht="33.75" customHeight="1" spans="1:4">
      <c r="A3" s="257">
        <v>1</v>
      </c>
      <c r="B3" s="257" t="s">
        <v>3</v>
      </c>
      <c r="C3" s="258" t="s">
        <v>4</v>
      </c>
      <c r="D3" s="256"/>
    </row>
    <row r="4" s="254" customFormat="1" ht="33.75" customHeight="1" spans="1:3">
      <c r="A4" s="257">
        <v>2</v>
      </c>
      <c r="B4" s="257" t="s">
        <v>5</v>
      </c>
      <c r="C4" s="258" t="s">
        <v>6</v>
      </c>
    </row>
    <row r="5" s="254" customFormat="1" ht="33.75" customHeight="1" spans="1:3">
      <c r="A5" s="257">
        <v>3</v>
      </c>
      <c r="B5" s="259" t="s">
        <v>7</v>
      </c>
      <c r="C5" s="260" t="s">
        <v>8</v>
      </c>
    </row>
    <row r="6" s="254" customFormat="1" ht="33.75" customHeight="1" spans="1:3">
      <c r="A6" s="257">
        <v>4</v>
      </c>
      <c r="B6" s="261"/>
      <c r="C6" s="258" t="s">
        <v>9</v>
      </c>
    </row>
    <row r="7" s="254" customFormat="1" ht="33.75" customHeight="1" spans="1:3">
      <c r="A7" s="257">
        <v>5</v>
      </c>
      <c r="B7" s="262" t="s">
        <v>10</v>
      </c>
      <c r="C7" s="258" t="s">
        <v>11</v>
      </c>
    </row>
    <row r="8" s="254" customFormat="1" ht="33.75" customHeight="1" spans="1:3">
      <c r="A8" s="257">
        <v>6</v>
      </c>
      <c r="B8" s="259" t="s">
        <v>12</v>
      </c>
      <c r="C8" s="258" t="s">
        <v>13</v>
      </c>
    </row>
    <row r="9" s="254" customFormat="1" ht="33.75" customHeight="1" spans="1:3">
      <c r="A9" s="257">
        <v>7</v>
      </c>
      <c r="B9" s="261"/>
      <c r="C9" s="258" t="s">
        <v>14</v>
      </c>
    </row>
    <row r="10" s="254" customFormat="1" ht="33.75" customHeight="1" spans="1:3">
      <c r="A10" s="257">
        <v>8</v>
      </c>
      <c r="B10" s="261"/>
      <c r="C10" s="260" t="s">
        <v>15</v>
      </c>
    </row>
    <row r="11" s="254" customFormat="1" ht="33.75" customHeight="1" spans="1:3">
      <c r="A11" s="257">
        <v>9</v>
      </c>
      <c r="B11" s="261"/>
      <c r="C11" s="258" t="s">
        <v>16</v>
      </c>
    </row>
    <row r="12" s="254" customFormat="1" ht="33.75" customHeight="1" spans="1:3">
      <c r="A12" s="257">
        <v>10</v>
      </c>
      <c r="B12" s="262" t="s">
        <v>17</v>
      </c>
      <c r="C12" s="258" t="s">
        <v>18</v>
      </c>
    </row>
    <row r="13" ht="33.75" customHeight="1"/>
    <row r="14" ht="33.75" customHeight="1"/>
    <row r="15" ht="33.75" customHeight="1" spans="3:3">
      <c r="C15" s="263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J33" sqref="J33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5.5454545454545" style="153" customWidth="1"/>
    <col min="5" max="5" width="16.8181818181818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177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销量!C14</f>
        <v>2000</v>
      </c>
      <c r="D6" s="166">
        <f>销量!D14</f>
        <v>2000</v>
      </c>
      <c r="E6" s="167">
        <f t="shared" ref="E6:E15" si="0">+SUM(C6:D6)</f>
        <v>4000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3500000</v>
      </c>
      <c r="D7" s="167">
        <f>D6*销量!D8</f>
        <v>1140000</v>
      </c>
      <c r="E7" s="167">
        <f t="shared" si="0"/>
        <v>4640000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C7*(1-销量!$P$12)</f>
        <v>927178.382812501</v>
      </c>
      <c r="D8" s="167">
        <f>D7*(1-销量!$P$12)</f>
        <v>301995.2446875</v>
      </c>
      <c r="E8" s="167">
        <f t="shared" si="0"/>
        <v>1229173.6275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2572821.6171875</v>
      </c>
      <c r="D9" s="167">
        <f>+D7-D8</f>
        <v>838004.7553125</v>
      </c>
      <c r="E9" s="167">
        <f t="shared" si="0"/>
        <v>3410826.3725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1713590.00853994</v>
      </c>
      <c r="D10" s="167">
        <f>D6*D33</f>
        <v>594742.011519306</v>
      </c>
      <c r="E10" s="167">
        <f t="shared" si="0"/>
        <v>2308332.02005924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105000</v>
      </c>
      <c r="D11" s="167">
        <f>+D6*D36</f>
        <v>34200</v>
      </c>
      <c r="E11" s="167">
        <f t="shared" si="0"/>
        <v>139200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35000</v>
      </c>
      <c r="D12" s="167">
        <f>+D6*D37</f>
        <v>11400</v>
      </c>
      <c r="E12" s="167">
        <f t="shared" si="0"/>
        <v>46400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35000</v>
      </c>
      <c r="D13" s="167">
        <f>+D6*D38</f>
        <v>11400</v>
      </c>
      <c r="E13" s="167">
        <f t="shared" si="0"/>
        <v>46400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175000</v>
      </c>
      <c r="D14" s="167">
        <f>SUM(D11:D13)</f>
        <v>57000</v>
      </c>
      <c r="E14" s="167">
        <f t="shared" si="0"/>
        <v>232000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684231.608647561</v>
      </c>
      <c r="D15" s="167">
        <f>+D9-D10-D14</f>
        <v>186262.743793194</v>
      </c>
      <c r="E15" s="167">
        <f t="shared" si="0"/>
        <v>870494.352440755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0.265945996440878</v>
      </c>
      <c r="D16" s="170">
        <f>+D15/D9</f>
        <v>0.222269316029997</v>
      </c>
      <c r="E16" s="170">
        <f>+E15/E9</f>
        <v>0.255215087891653</v>
      </c>
      <c r="F16" s="171"/>
      <c r="G16" s="171"/>
      <c r="H16" s="171"/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210000</v>
      </c>
      <c r="D17" s="167">
        <f>D6*D43+D18</f>
        <v>68400</v>
      </c>
      <c r="E17" s="167">
        <f>+SUM(C17:D17)</f>
        <v>278400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项目投资!J26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49000</v>
      </c>
      <c r="D19" s="167">
        <f>D6*D44</f>
        <v>15960</v>
      </c>
      <c r="E19" s="167">
        <f>+SUM(C19:D19)</f>
        <v>64960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70000</v>
      </c>
      <c r="D20" s="167">
        <f>D6*D45</f>
        <v>22800</v>
      </c>
      <c r="E20" s="167">
        <f>+SUM(C20:D20)</f>
        <v>92800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项目投资!F27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140000</v>
      </c>
      <c r="D22" s="167">
        <f>D6*D47</f>
        <v>45600</v>
      </c>
      <c r="E22" s="167">
        <f>+SUM(C22:D22)</f>
        <v>185600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483285.714285714</v>
      </c>
      <c r="D23" s="175">
        <f>+D22+D21+D20+D19+D17</f>
        <v>167045.714285714</v>
      </c>
      <c r="E23" s="167">
        <f>+SUM(C23:D23)</f>
        <v>650331.428571429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200945.894361846</v>
      </c>
      <c r="D24" s="175">
        <f>+D15-D23</f>
        <v>19217.0295074797</v>
      </c>
      <c r="E24" s="167">
        <f>+SUM(C24:D24)</f>
        <v>220162.923869326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50236.4735904616</v>
      </c>
      <c r="D25" s="175">
        <f>IF(D24&lt;0,0,D24*0.25)</f>
        <v>4804.25737686992</v>
      </c>
      <c r="E25" s="167">
        <f>+SUM(C25:D25)</f>
        <v>55040.7309673315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150709.420771385</v>
      </c>
      <c r="D26" s="175">
        <f>D24-D25</f>
        <v>14412.7721306098</v>
      </c>
      <c r="E26" s="167">
        <f>+SUM(C26:D26)</f>
        <v>165122.192901995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8">
        <f>C26/C7</f>
        <v>0.0430598345061099</v>
      </c>
      <c r="D27" s="178">
        <f>D26/D7</f>
        <v>0.0126427825707103</v>
      </c>
      <c r="E27" s="179">
        <f>E26/E7</f>
        <v>0.0355866795047402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1286.41080859375</v>
      </c>
      <c r="D31" s="180">
        <f>(D7-D8)/D6</f>
        <v>419.00237765625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1286.41080859375</v>
      </c>
      <c r="D32" s="167">
        <f>D31*1</f>
        <v>419.00237765625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材料成本!D32</f>
        <v>856.795004269969</v>
      </c>
      <c r="D33" s="167">
        <f>材料成本!E32</f>
        <v>297.371005759653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429.61580432378</v>
      </c>
      <c r="D34" s="181">
        <f>D32-D33</f>
        <v>121.631371896597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342.11580432378</v>
      </c>
      <c r="D40" s="175">
        <f>D34-D36-D37-D38</f>
        <v>93.131371896597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7.14285714285714</v>
      </c>
      <c r="D46" s="182">
        <f>D21/D6</f>
        <v>7.14285714285714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100.472947180923</v>
      </c>
      <c r="D48" s="175">
        <f>D40-D43-D44-D45-D47-D46</f>
        <v>9.60851475373985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4"/>
  <cols>
    <col min="1" max="1" width="19.5" customWidth="1"/>
    <col min="2" max="2" width="14.8727272727273" style="101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7.4545454545455" customWidth="1"/>
    <col min="8" max="10" width="13" customWidth="1"/>
    <col min="11" max="11" width="14.8727272727273" customWidth="1"/>
    <col min="12" max="12" width="13" customWidth="1"/>
  </cols>
  <sheetData>
    <row r="1" ht="21" spans="1:10">
      <c r="A1" s="102" t="s">
        <v>178</v>
      </c>
      <c r="B1" s="102"/>
      <c r="C1" s="102"/>
      <c r="E1" s="103" t="s">
        <v>179</v>
      </c>
      <c r="F1" s="104"/>
      <c r="G1" s="104"/>
      <c r="H1" s="105"/>
      <c r="I1" s="142"/>
      <c r="J1" s="142"/>
    </row>
    <row r="2" ht="23.45" customHeight="1" spans="1:10">
      <c r="A2" s="106" t="s">
        <v>1</v>
      </c>
      <c r="B2" s="107" t="s">
        <v>180</v>
      </c>
      <c r="C2" s="108" t="s">
        <v>181</v>
      </c>
      <c r="E2" s="109" t="s">
        <v>182</v>
      </c>
      <c r="F2" s="109" t="s">
        <v>1</v>
      </c>
      <c r="G2" s="110" t="s">
        <v>183</v>
      </c>
      <c r="H2" s="109" t="s">
        <v>181</v>
      </c>
      <c r="I2" s="143"/>
      <c r="J2" s="143"/>
    </row>
    <row r="3" ht="15.75" customHeight="1" spans="1:8">
      <c r="A3" s="111" t="s">
        <v>184</v>
      </c>
      <c r="B3" s="112"/>
      <c r="C3" s="113"/>
      <c r="E3" s="114" t="s">
        <v>185</v>
      </c>
      <c r="F3" s="115" t="s">
        <v>186</v>
      </c>
      <c r="G3" s="116">
        <v>0</v>
      </c>
      <c r="H3" s="115"/>
    </row>
    <row r="4" ht="15.75" customHeight="1" spans="1:8">
      <c r="A4" s="111" t="s">
        <v>187</v>
      </c>
      <c r="B4" s="112"/>
      <c r="C4" s="117"/>
      <c r="E4" s="118"/>
      <c r="F4" s="115" t="s">
        <v>188</v>
      </c>
      <c r="G4" s="116"/>
      <c r="H4" s="115"/>
    </row>
    <row r="5" ht="15.75" customHeight="1" spans="1:10">
      <c r="A5" s="111" t="s">
        <v>189</v>
      </c>
      <c r="B5" s="119">
        <f>SUM(G3:G4)</f>
        <v>0</v>
      </c>
      <c r="C5" s="113"/>
      <c r="E5" s="120" t="s">
        <v>190</v>
      </c>
      <c r="F5" s="121" t="s">
        <v>191</v>
      </c>
      <c r="G5" s="116"/>
      <c r="H5" s="121"/>
      <c r="I5" s="144"/>
      <c r="J5" s="144"/>
    </row>
    <row r="6" ht="15.75" customHeight="1" spans="1:12">
      <c r="A6" s="111" t="s">
        <v>192</v>
      </c>
      <c r="B6" s="112"/>
      <c r="C6" s="113"/>
      <c r="E6" s="122"/>
      <c r="F6" s="121" t="s">
        <v>193</v>
      </c>
      <c r="G6" s="116"/>
      <c r="H6" s="115"/>
      <c r="L6">
        <v>10000</v>
      </c>
    </row>
    <row r="7" ht="15.75" customHeight="1" spans="1:8">
      <c r="A7" s="123" t="s">
        <v>194</v>
      </c>
      <c r="B7" s="119">
        <f>SUM(B3:B6)</f>
        <v>0</v>
      </c>
      <c r="C7" s="113"/>
      <c r="E7" s="122"/>
      <c r="F7" s="121" t="s">
        <v>195</v>
      </c>
      <c r="G7" s="116"/>
      <c r="H7" s="115"/>
    </row>
    <row r="8" ht="15.75" customHeight="1" spans="1:8">
      <c r="A8" s="124" t="s">
        <v>196</v>
      </c>
      <c r="B8" s="119">
        <f>SUM(G5:G12)</f>
        <v>0</v>
      </c>
      <c r="C8" s="125"/>
      <c r="E8" s="122"/>
      <c r="F8" s="121" t="s">
        <v>197</v>
      </c>
      <c r="G8" s="116"/>
      <c r="H8" s="115"/>
    </row>
    <row r="9" ht="15.75" customHeight="1" spans="1:10">
      <c r="A9" s="111" t="s">
        <v>198</v>
      </c>
      <c r="B9" s="119">
        <f>SUM(G13:G21)</f>
        <v>20</v>
      </c>
      <c r="C9" s="113"/>
      <c r="E9" s="122"/>
      <c r="F9" s="115" t="s">
        <v>199</v>
      </c>
      <c r="G9" s="116"/>
      <c r="H9" s="126"/>
      <c r="I9" s="145"/>
      <c r="J9" s="145"/>
    </row>
    <row r="10" ht="15.75" customHeight="1" spans="1:8">
      <c r="A10" s="117" t="s">
        <v>60</v>
      </c>
      <c r="B10" s="119">
        <f>B7+B8+B9</f>
        <v>20</v>
      </c>
      <c r="C10" s="113"/>
      <c r="E10" s="122"/>
      <c r="F10" s="115" t="s">
        <v>200</v>
      </c>
      <c r="G10" s="127"/>
      <c r="H10" s="115"/>
    </row>
    <row r="11" ht="15.75" customHeight="1" spans="5:8">
      <c r="E11" s="122"/>
      <c r="F11" s="115" t="s">
        <v>201</v>
      </c>
      <c r="G11" s="127"/>
      <c r="H11" s="115"/>
    </row>
    <row r="12" ht="15.75" customHeight="1" spans="5:10">
      <c r="E12" s="128"/>
      <c r="F12" s="115" t="s">
        <v>202</v>
      </c>
      <c r="G12" s="116"/>
      <c r="H12" s="126"/>
      <c r="I12" s="145"/>
      <c r="J12" s="145"/>
    </row>
    <row r="13" ht="15.75" customHeight="1" spans="5:10">
      <c r="E13" s="114" t="s">
        <v>95</v>
      </c>
      <c r="F13" s="115" t="s">
        <v>203</v>
      </c>
      <c r="G13" s="116"/>
      <c r="H13" s="129"/>
      <c r="I13" s="146"/>
      <c r="J13" s="146"/>
    </row>
    <row r="14" ht="15.75" customHeight="1" spans="5:8">
      <c r="E14" s="118"/>
      <c r="F14" s="115" t="s">
        <v>204</v>
      </c>
      <c r="G14" s="130">
        <v>3</v>
      </c>
      <c r="H14" s="115"/>
    </row>
    <row r="15" ht="15.75" customHeight="1" spans="5:8">
      <c r="E15" s="118"/>
      <c r="F15" s="115" t="s">
        <v>205</v>
      </c>
      <c r="G15" s="130"/>
      <c r="H15" s="115"/>
    </row>
    <row r="16" ht="15.75" customHeight="1" spans="5:8">
      <c r="E16" s="118"/>
      <c r="F16" s="115" t="s">
        <v>206</v>
      </c>
      <c r="G16" s="130">
        <v>3</v>
      </c>
      <c r="H16" s="115"/>
    </row>
    <row r="17" ht="15.75" customHeight="1" spans="5:8">
      <c r="E17" s="118"/>
      <c r="F17" s="115" t="s">
        <v>207</v>
      </c>
      <c r="G17" s="130">
        <v>1</v>
      </c>
      <c r="H17" s="115"/>
    </row>
    <row r="18" ht="15.75" customHeight="1" spans="5:8">
      <c r="E18" s="118"/>
      <c r="F18" s="115" t="s">
        <v>208</v>
      </c>
      <c r="G18" s="130">
        <v>5</v>
      </c>
      <c r="H18" s="115"/>
    </row>
    <row r="19" ht="15.75" customHeight="1" spans="5:8">
      <c r="E19" s="118"/>
      <c r="F19" s="115" t="s">
        <v>209</v>
      </c>
      <c r="G19" s="130">
        <v>8</v>
      </c>
      <c r="H19" s="115"/>
    </row>
    <row r="20" ht="15.75" customHeight="1" spans="5:8">
      <c r="E20" s="118"/>
      <c r="F20" s="115" t="s">
        <v>210</v>
      </c>
      <c r="G20" s="116"/>
      <c r="H20" s="115"/>
    </row>
    <row r="21" ht="15.75" customHeight="1" spans="5:8">
      <c r="E21" s="131"/>
      <c r="F21" s="115" t="s">
        <v>39</v>
      </c>
      <c r="G21" s="116"/>
      <c r="H21" s="115"/>
    </row>
    <row r="22" ht="15.75" customHeight="1" spans="5:8">
      <c r="E22" s="109" t="s">
        <v>60</v>
      </c>
      <c r="F22" s="115"/>
      <c r="G22" s="110">
        <f>SUM(G3:G21)</f>
        <v>20</v>
      </c>
      <c r="H22" s="115"/>
    </row>
    <row r="23" ht="30.75" customHeight="1" spans="5:10">
      <c r="E23" s="132" t="s">
        <v>211</v>
      </c>
      <c r="F23" s="132"/>
      <c r="G23" s="132"/>
      <c r="H23" s="132"/>
      <c r="I23" s="147"/>
      <c r="J23" s="147"/>
    </row>
    <row r="25" ht="16.5" spans="1:12">
      <c r="A25" s="133" t="s">
        <v>1</v>
      </c>
      <c r="B25" s="133" t="s">
        <v>180</v>
      </c>
      <c r="C25" s="133" t="s">
        <v>212</v>
      </c>
      <c r="D25" s="134" t="s">
        <v>213</v>
      </c>
      <c r="E25" s="134" t="s">
        <v>109</v>
      </c>
      <c r="F25" s="134" t="s">
        <v>55</v>
      </c>
      <c r="G25" s="134" t="s">
        <v>56</v>
      </c>
      <c r="H25" s="134" t="s">
        <v>57</v>
      </c>
      <c r="I25" s="134" t="s">
        <v>58</v>
      </c>
      <c r="J25" s="134" t="s">
        <v>214</v>
      </c>
      <c r="K25" s="134" t="s">
        <v>60</v>
      </c>
      <c r="L25" s="148" t="s">
        <v>215</v>
      </c>
    </row>
    <row r="26" spans="1:12">
      <c r="A26" s="135" t="s">
        <v>89</v>
      </c>
      <c r="B26" s="136">
        <f>(B5+B8)*10000</f>
        <v>0</v>
      </c>
      <c r="C26" s="137">
        <v>0.05</v>
      </c>
      <c r="D26" s="138">
        <f>B26*(1-C26)/3</f>
        <v>0</v>
      </c>
      <c r="E26" s="138">
        <f t="shared" ref="E26:J26" si="0">D26</f>
        <v>0</v>
      </c>
      <c r="F26" s="138">
        <f t="shared" si="0"/>
        <v>0</v>
      </c>
      <c r="G26" s="138">
        <f t="shared" si="0"/>
        <v>0</v>
      </c>
      <c r="H26" s="138">
        <f t="shared" si="0"/>
        <v>0</v>
      </c>
      <c r="I26" s="138">
        <f t="shared" si="0"/>
        <v>0</v>
      </c>
      <c r="J26" s="138">
        <f t="shared" si="0"/>
        <v>0</v>
      </c>
      <c r="K26" s="138">
        <f>SUM(D26:J26)</f>
        <v>0</v>
      </c>
      <c r="L26" s="138">
        <f>B26*0.05</f>
        <v>0</v>
      </c>
    </row>
    <row r="27" spans="1:12">
      <c r="A27" s="135" t="s">
        <v>216</v>
      </c>
      <c r="B27" s="136">
        <f>B9*10000</f>
        <v>200000</v>
      </c>
      <c r="C27" s="138"/>
      <c r="D27" s="138">
        <f>B27/7</f>
        <v>28571.4285714286</v>
      </c>
      <c r="E27" s="138">
        <f t="shared" ref="E26:F27" si="1">D27</f>
        <v>28571.4285714286</v>
      </c>
      <c r="F27" s="138">
        <f t="shared" si="1"/>
        <v>28571.4285714286</v>
      </c>
      <c r="G27" s="138">
        <f>F27</f>
        <v>28571.4285714286</v>
      </c>
      <c r="H27" s="138">
        <f>G27</f>
        <v>28571.4285714286</v>
      </c>
      <c r="I27" s="138">
        <f>H27</f>
        <v>28571.4285714286</v>
      </c>
      <c r="J27" s="138">
        <f>I27</f>
        <v>28571.4285714286</v>
      </c>
      <c r="K27" s="138">
        <f>SUM(D27:J27)</f>
        <v>200000</v>
      </c>
      <c r="L27" s="138"/>
    </row>
    <row r="28" spans="1:12">
      <c r="A28" s="139" t="s">
        <v>153</v>
      </c>
      <c r="B28" s="140"/>
      <c r="C28" s="141"/>
      <c r="D28" s="138">
        <f>SUM(D26:D27)</f>
        <v>28571.4285714286</v>
      </c>
      <c r="E28" s="138">
        <f t="shared" ref="E28:K28" si="2">SUM(E26:E27)</f>
        <v>28571.4285714286</v>
      </c>
      <c r="F28" s="138">
        <f t="shared" si="2"/>
        <v>28571.4285714286</v>
      </c>
      <c r="G28" s="138">
        <f t="shared" si="2"/>
        <v>28571.4285714286</v>
      </c>
      <c r="H28" s="138">
        <f t="shared" si="2"/>
        <v>28571.4285714286</v>
      </c>
      <c r="I28" s="138">
        <f t="shared" si="2"/>
        <v>28571.4285714286</v>
      </c>
      <c r="J28" s="138">
        <f t="shared" si="2"/>
        <v>28571.4285714286</v>
      </c>
      <c r="K28" s="138">
        <f t="shared" si="2"/>
        <v>200000</v>
      </c>
      <c r="L28" s="14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5" zoomScaleNormal="85" workbookViewId="0">
      <selection activeCell="R23" sqref="R23"/>
    </sheetView>
  </sheetViews>
  <sheetFormatPr defaultColWidth="9" defaultRowHeight="16.5"/>
  <cols>
    <col min="1" max="1" width="14" style="70" customWidth="1"/>
    <col min="2" max="2" width="14.1272727272727" style="70" customWidth="1"/>
    <col min="3" max="3" width="14.7545454545455" style="70" customWidth="1"/>
    <col min="4" max="4" width="15.9363636363636" style="70" customWidth="1"/>
    <col min="5" max="5" width="12.8727272727273" style="70" customWidth="1"/>
    <col min="6" max="6" width="11.1272727272727" style="70" customWidth="1"/>
    <col min="7" max="7" width="13.2545454545455" style="70" hidden="1" customWidth="1"/>
    <col min="8" max="8" width="12.1272727272727" style="70" hidden="1" customWidth="1"/>
    <col min="9" max="9" width="13.1272727272727" style="70" hidden="1" customWidth="1"/>
    <col min="10" max="12" width="12.1272727272727" style="70" hidden="1" customWidth="1"/>
    <col min="13" max="13" width="11.6272727272727" style="70" customWidth="1"/>
    <col min="14" max="14" width="9.25454545454545" style="70" customWidth="1"/>
    <col min="15" max="15" width="9.12727272727273" style="71" customWidth="1"/>
    <col min="16" max="16" width="12.8727272727273" style="71"/>
    <col min="17" max="17" width="18.3636363636364" style="70" customWidth="1"/>
    <col min="18" max="19" width="20.1818181818182" style="70"/>
    <col min="20" max="20" width="15.6363636363636" style="70"/>
    <col min="21" max="16384" width="9" style="70"/>
  </cols>
  <sheetData>
    <row r="1" ht="29.25" customHeight="1" spans="1:13">
      <c r="A1" s="72" t="s">
        <v>217</v>
      </c>
      <c r="E1" s="73"/>
      <c r="F1" s="73"/>
      <c r="G1" s="73"/>
      <c r="H1" s="73"/>
      <c r="I1" s="73"/>
      <c r="J1" s="73"/>
      <c r="K1" s="73"/>
      <c r="L1" s="73"/>
      <c r="M1" s="73"/>
    </row>
    <row r="2" ht="24" customHeight="1" spans="1:13">
      <c r="A2" s="74" t="s">
        <v>218</v>
      </c>
      <c r="E2" s="73"/>
      <c r="F2" s="73"/>
      <c r="G2" s="73"/>
      <c r="H2" s="73"/>
      <c r="I2" s="73"/>
      <c r="J2" s="73"/>
      <c r="K2" s="73"/>
      <c r="L2" s="73"/>
      <c r="M2" s="73"/>
    </row>
    <row r="3" spans="3:5">
      <c r="C3" s="70" t="s">
        <v>219</v>
      </c>
      <c r="D3" s="70" t="s">
        <v>220</v>
      </c>
      <c r="E3" s="75">
        <v>0.05</v>
      </c>
    </row>
    <row r="5" ht="45" customHeight="1" spans="1:13">
      <c r="A5" s="76" t="s">
        <v>221</v>
      </c>
      <c r="B5" s="77" t="s">
        <v>159</v>
      </c>
      <c r="C5" s="47" t="s">
        <v>160</v>
      </c>
      <c r="D5" s="47" t="s">
        <v>161</v>
      </c>
      <c r="E5" s="47"/>
      <c r="F5" s="78"/>
      <c r="G5" s="21"/>
      <c r="H5" s="21"/>
      <c r="I5" s="21"/>
      <c r="J5" s="21"/>
      <c r="K5" s="21"/>
      <c r="L5" s="21"/>
      <c r="M5" s="95" t="s">
        <v>60</v>
      </c>
    </row>
    <row r="6" ht="31.5" customHeight="1" spans="1:19">
      <c r="A6" s="76"/>
      <c r="B6" s="77" t="s">
        <v>162</v>
      </c>
      <c r="C6" s="79" t="s">
        <v>163</v>
      </c>
      <c r="D6" s="79" t="s">
        <v>164</v>
      </c>
      <c r="E6" s="23"/>
      <c r="F6" s="23"/>
      <c r="G6" s="23"/>
      <c r="H6" s="23"/>
      <c r="I6" s="23"/>
      <c r="J6" s="23"/>
      <c r="K6" s="23"/>
      <c r="L6" s="23"/>
      <c r="M6" s="96"/>
      <c r="O6" s="71">
        <v>100</v>
      </c>
      <c r="Q6" s="76" t="s">
        <v>222</v>
      </c>
      <c r="R6" s="76"/>
      <c r="S6" s="76"/>
    </row>
    <row r="7" ht="51" customHeight="1" spans="1:19">
      <c r="A7" s="76"/>
      <c r="B7" s="23" t="s">
        <v>223</v>
      </c>
      <c r="C7" s="80" t="s">
        <v>166</v>
      </c>
      <c r="D7" s="80" t="s">
        <v>167</v>
      </c>
      <c r="E7" s="80"/>
      <c r="F7" s="23"/>
      <c r="G7" s="78"/>
      <c r="H7" s="78"/>
      <c r="I7" s="23"/>
      <c r="J7" s="23"/>
      <c r="K7" s="23"/>
      <c r="L7" s="23"/>
      <c r="M7" s="97"/>
      <c r="N7" s="70">
        <v>2025</v>
      </c>
      <c r="O7" s="71">
        <f>O6*(1-$E$3)</f>
        <v>95</v>
      </c>
      <c r="P7" s="92">
        <f t="shared" ref="P7:P12" si="0">O7/$O$6</f>
        <v>0.95</v>
      </c>
      <c r="Q7" s="100">
        <f>C8*P7</f>
        <v>1662.5</v>
      </c>
      <c r="R7" s="100">
        <f>D8*P7</f>
        <v>541.5</v>
      </c>
      <c r="S7" s="100">
        <f>E8*P7</f>
        <v>0</v>
      </c>
    </row>
    <row r="8" ht="33" spans="1:19">
      <c r="A8" s="76"/>
      <c r="B8" s="23" t="s">
        <v>224</v>
      </c>
      <c r="C8" s="80">
        <v>1750</v>
      </c>
      <c r="D8" s="80">
        <v>570</v>
      </c>
      <c r="E8" s="80"/>
      <c r="F8" s="81"/>
      <c r="G8" s="81"/>
      <c r="H8" s="81"/>
      <c r="I8" s="81"/>
      <c r="J8" s="81"/>
      <c r="K8" s="81"/>
      <c r="L8" s="81"/>
      <c r="M8" s="98">
        <f>SUM(C8:L8)</f>
        <v>2320</v>
      </c>
      <c r="N8" s="70">
        <v>2026</v>
      </c>
      <c r="O8" s="71">
        <f>O7*(1-$E$3)</f>
        <v>90.25</v>
      </c>
      <c r="P8" s="92">
        <f t="shared" si="0"/>
        <v>0.9025</v>
      </c>
      <c r="Q8" s="100">
        <f>C8*$P$8</f>
        <v>1579.375</v>
      </c>
      <c r="R8" s="100">
        <f>D8*$P$8</f>
        <v>514.425</v>
      </c>
      <c r="S8" s="100">
        <f>E8*$P$8</f>
        <v>0</v>
      </c>
    </row>
    <row r="9" spans="1:19">
      <c r="A9" s="82" t="s">
        <v>225</v>
      </c>
      <c r="B9" s="23" t="s">
        <v>213</v>
      </c>
      <c r="C9" s="83">
        <v>1000</v>
      </c>
      <c r="D9" s="83">
        <v>1000</v>
      </c>
      <c r="E9" s="83"/>
      <c r="F9" s="83"/>
      <c r="G9" s="81"/>
      <c r="H9" s="81"/>
      <c r="I9" s="81"/>
      <c r="J9" s="81"/>
      <c r="K9" s="81"/>
      <c r="L9" s="81"/>
      <c r="M9" s="98">
        <f>SUM(C9:L9)</f>
        <v>2000</v>
      </c>
      <c r="N9" s="70">
        <v>2027</v>
      </c>
      <c r="O9" s="71">
        <f>O8*(1-$E$3)</f>
        <v>85.7375</v>
      </c>
      <c r="P9" s="92">
        <f t="shared" si="0"/>
        <v>0.857375</v>
      </c>
      <c r="Q9" s="100">
        <f>C8*$P$9</f>
        <v>1500.40625</v>
      </c>
      <c r="R9" s="100">
        <f>D8*$P$9</f>
        <v>488.70375</v>
      </c>
      <c r="S9" s="100">
        <f>E8*$P$9</f>
        <v>0</v>
      </c>
    </row>
    <row r="10" spans="1:19">
      <c r="A10" s="84"/>
      <c r="B10" s="85" t="s">
        <v>109</v>
      </c>
      <c r="C10" s="83">
        <v>1000</v>
      </c>
      <c r="D10" s="83">
        <v>1000</v>
      </c>
      <c r="E10" s="83"/>
      <c r="F10" s="83"/>
      <c r="G10" s="86"/>
      <c r="H10" s="86"/>
      <c r="I10" s="86"/>
      <c r="J10" s="86"/>
      <c r="K10" s="86"/>
      <c r="L10" s="86"/>
      <c r="M10" s="98">
        <f t="shared" ref="M10:M15" si="1">SUM(C10:L10)</f>
        <v>2000</v>
      </c>
      <c r="N10" s="70">
        <v>2028</v>
      </c>
      <c r="O10" s="71">
        <f>O9*(1-$E$3)</f>
        <v>81.450625</v>
      </c>
      <c r="P10" s="92">
        <f t="shared" si="0"/>
        <v>0.81450625</v>
      </c>
      <c r="Q10" s="100">
        <f>C8*$P$10</f>
        <v>1425.3859375</v>
      </c>
      <c r="R10" s="100">
        <f>D8*$P$10</f>
        <v>464.2685625</v>
      </c>
      <c r="S10" s="100">
        <f>E8*$P$10</f>
        <v>0</v>
      </c>
    </row>
    <row r="11" spans="1:19">
      <c r="A11" s="84"/>
      <c r="B11" s="85" t="s">
        <v>55</v>
      </c>
      <c r="C11" s="83">
        <v>2000</v>
      </c>
      <c r="D11" s="83">
        <v>2000</v>
      </c>
      <c r="E11" s="83"/>
      <c r="F11" s="83"/>
      <c r="G11" s="86"/>
      <c r="H11" s="86"/>
      <c r="I11" s="86"/>
      <c r="J11" s="86"/>
      <c r="K11" s="86"/>
      <c r="L11" s="86"/>
      <c r="M11" s="98">
        <f t="shared" si="1"/>
        <v>4000</v>
      </c>
      <c r="N11" s="70">
        <v>2029</v>
      </c>
      <c r="O11" s="71">
        <f>O10*(1-$E$3)</f>
        <v>77.37809375</v>
      </c>
      <c r="P11" s="92">
        <f t="shared" si="0"/>
        <v>0.7737809375</v>
      </c>
      <c r="Q11" s="100">
        <f>C8*$P$11</f>
        <v>1354.116640625</v>
      </c>
      <c r="R11" s="100">
        <f>D8*$P$11</f>
        <v>441.055134375</v>
      </c>
      <c r="S11" s="100">
        <f>E8*$P$11</f>
        <v>0</v>
      </c>
    </row>
    <row r="12" spans="1:19">
      <c r="A12" s="84"/>
      <c r="B12" s="85" t="s">
        <v>56</v>
      </c>
      <c r="C12" s="83">
        <v>2000</v>
      </c>
      <c r="D12" s="83">
        <v>2000</v>
      </c>
      <c r="E12" s="83"/>
      <c r="F12" s="83"/>
      <c r="G12" s="86"/>
      <c r="H12" s="86"/>
      <c r="I12" s="86"/>
      <c r="J12" s="86"/>
      <c r="K12" s="86"/>
      <c r="L12" s="86"/>
      <c r="M12" s="98">
        <f t="shared" si="1"/>
        <v>4000</v>
      </c>
      <c r="N12" s="70">
        <v>2030</v>
      </c>
      <c r="O12" s="71">
        <f>O11*(1-$E$3)</f>
        <v>73.5091890625</v>
      </c>
      <c r="P12" s="92">
        <f t="shared" si="0"/>
        <v>0.735091890625</v>
      </c>
      <c r="Q12" s="100">
        <f>C8*$P$12</f>
        <v>1286.41080859375</v>
      </c>
      <c r="R12" s="100">
        <f>D8*$P$12</f>
        <v>419.00237765625</v>
      </c>
      <c r="S12" s="100">
        <f>E8*$P$12</f>
        <v>0</v>
      </c>
    </row>
    <row r="13" spans="1:17">
      <c r="A13" s="84"/>
      <c r="B13" s="85" t="s">
        <v>57</v>
      </c>
      <c r="C13" s="83">
        <v>2000</v>
      </c>
      <c r="D13" s="83">
        <v>2000</v>
      </c>
      <c r="E13" s="83"/>
      <c r="F13" s="83"/>
      <c r="G13" s="86"/>
      <c r="H13" s="86"/>
      <c r="I13" s="86"/>
      <c r="J13" s="86"/>
      <c r="K13" s="86"/>
      <c r="L13" s="86"/>
      <c r="M13" s="98">
        <f>SUM(C13:H13)</f>
        <v>4000</v>
      </c>
      <c r="Q13" s="92"/>
    </row>
    <row r="14" ht="17.5" spans="1:20">
      <c r="A14" s="84"/>
      <c r="B14" s="85" t="s">
        <v>58</v>
      </c>
      <c r="C14" s="83">
        <v>2000</v>
      </c>
      <c r="D14" s="83">
        <v>2000</v>
      </c>
      <c r="E14" s="83"/>
      <c r="F14" s="83"/>
      <c r="G14" s="86"/>
      <c r="H14" s="87"/>
      <c r="I14" s="87"/>
      <c r="J14" s="87"/>
      <c r="K14" s="87"/>
      <c r="L14" s="87"/>
      <c r="M14" s="98">
        <f>SUM(C14:H14)</f>
        <v>4000</v>
      </c>
      <c r="P14" s="99">
        <v>2025</v>
      </c>
      <c r="Q14" s="92">
        <f>($C$8-Q7)*C10</f>
        <v>87500</v>
      </c>
      <c r="R14" s="92">
        <f>($D$8-R7)*D10</f>
        <v>28500</v>
      </c>
      <c r="S14" s="92">
        <f>($E$8-S7)*E10</f>
        <v>0</v>
      </c>
      <c r="T14" s="92">
        <f t="shared" ref="T14:T19" si="2">SUM(Q14:S14)</f>
        <v>116000</v>
      </c>
    </row>
    <row r="15" ht="17.5" spans="1:20">
      <c r="A15" s="88"/>
      <c r="B15" s="85" t="s">
        <v>214</v>
      </c>
      <c r="C15" s="83">
        <v>2000</v>
      </c>
      <c r="D15" s="83">
        <v>2000</v>
      </c>
      <c r="E15" s="83"/>
      <c r="F15" s="83"/>
      <c r="G15" s="86"/>
      <c r="H15" s="87"/>
      <c r="I15" s="87"/>
      <c r="J15" s="87"/>
      <c r="K15" s="87"/>
      <c r="L15" s="87"/>
      <c r="M15" s="98">
        <f t="shared" si="1"/>
        <v>4000</v>
      </c>
      <c r="P15" s="99">
        <v>2026</v>
      </c>
      <c r="Q15" s="92">
        <f>(C8-Q8)*C11</f>
        <v>341250</v>
      </c>
      <c r="R15" s="92">
        <f>(D8-R8)*D11</f>
        <v>111150</v>
      </c>
      <c r="S15" s="92">
        <f>(E8-S8)*E11</f>
        <v>0</v>
      </c>
      <c r="T15" s="92">
        <f t="shared" si="2"/>
        <v>452400</v>
      </c>
    </row>
    <row r="16" spans="1:20">
      <c r="A16" s="85" t="s">
        <v>60</v>
      </c>
      <c r="B16" s="85"/>
      <c r="C16" s="89">
        <f>SUM(C9:C15)</f>
        <v>12000</v>
      </c>
      <c r="D16" s="89">
        <f>SUM(D9:D15)</f>
        <v>12000</v>
      </c>
      <c r="E16" s="89">
        <f>SUM(E9:E15)</f>
        <v>0</v>
      </c>
      <c r="F16" s="89">
        <f t="shared" ref="C16:N16" si="3">SUM(F10:F14)</f>
        <v>0</v>
      </c>
      <c r="G16" s="89">
        <f t="shared" si="3"/>
        <v>0</v>
      </c>
      <c r="H16" s="89">
        <f t="shared" si="3"/>
        <v>0</v>
      </c>
      <c r="I16" s="89">
        <f t="shared" si="3"/>
        <v>0</v>
      </c>
      <c r="J16" s="89">
        <f t="shared" si="3"/>
        <v>0</v>
      </c>
      <c r="K16" s="89">
        <f t="shared" si="3"/>
        <v>0</v>
      </c>
      <c r="L16" s="89">
        <f t="shared" si="3"/>
        <v>0</v>
      </c>
      <c r="M16" s="89">
        <f t="shared" si="3"/>
        <v>18000</v>
      </c>
      <c r="P16" s="99">
        <v>2027</v>
      </c>
      <c r="Q16" s="92">
        <f>(C8-Q9)*C12</f>
        <v>499187.5</v>
      </c>
      <c r="R16" s="92">
        <f>(D8-R9)*D12</f>
        <v>162592.5</v>
      </c>
      <c r="S16" s="92">
        <f>(E8-S9)*E12</f>
        <v>0</v>
      </c>
      <c r="T16" s="92">
        <f t="shared" si="2"/>
        <v>661780</v>
      </c>
    </row>
    <row r="17" ht="33" spans="1:20">
      <c r="A17" s="90"/>
      <c r="B17" s="90"/>
      <c r="C17" s="91" t="s">
        <v>52</v>
      </c>
      <c r="P17" s="99">
        <v>2028</v>
      </c>
      <c r="Q17" s="92">
        <f>(C8-Q10)*C13</f>
        <v>649228.125000001</v>
      </c>
      <c r="R17" s="92">
        <f>(D8-R10)*D13</f>
        <v>211462.875</v>
      </c>
      <c r="S17" s="92">
        <f>(E8-S10)*E13</f>
        <v>0</v>
      </c>
      <c r="T17" s="92">
        <f t="shared" si="2"/>
        <v>860691.000000001</v>
      </c>
    </row>
    <row r="18" spans="2:20">
      <c r="B18" s="70" t="s">
        <v>226</v>
      </c>
      <c r="C18" s="92">
        <f>材料成本!D24</f>
        <v>1028.6</v>
      </c>
      <c r="D18" s="92">
        <f>材料成本!E24</f>
        <v>357</v>
      </c>
      <c r="E18" s="92">
        <f>材料成本!F24</f>
        <v>0</v>
      </c>
      <c r="F18" s="92">
        <f>材料成本!G24</f>
        <v>0</v>
      </c>
      <c r="G18" s="92">
        <f>材料成本!H24</f>
        <v>0</v>
      </c>
      <c r="H18" s="92">
        <f>材料成本!I24</f>
        <v>0</v>
      </c>
      <c r="I18" s="92">
        <f>材料成本!J24</f>
        <v>0</v>
      </c>
      <c r="J18" s="92">
        <f>材料成本!K24</f>
        <v>0</v>
      </c>
      <c r="K18" s="92">
        <f>材料成本!L24</f>
        <v>0</v>
      </c>
      <c r="L18" s="92">
        <f>材料成本!M24</f>
        <v>0</v>
      </c>
      <c r="M18" s="90">
        <f>SUM(C18:L18)</f>
        <v>1385.6</v>
      </c>
      <c r="P18" s="99">
        <v>2029</v>
      </c>
      <c r="Q18" s="92">
        <f>(C8-Q11)*C14</f>
        <v>791766.718750001</v>
      </c>
      <c r="R18" s="92">
        <f>(D8-R11)*D14</f>
        <v>257889.73125</v>
      </c>
      <c r="S18" s="92">
        <f>(E8-S11)*E14</f>
        <v>0</v>
      </c>
      <c r="T18" s="92">
        <f t="shared" si="2"/>
        <v>1049656.45</v>
      </c>
    </row>
    <row r="19" spans="2:20">
      <c r="B19" s="70" t="s">
        <v>111</v>
      </c>
      <c r="C19" s="92">
        <f>C8-C18</f>
        <v>721.4</v>
      </c>
      <c r="D19" s="92">
        <f t="shared" ref="D19:M19" si="4">D8-D18</f>
        <v>213</v>
      </c>
      <c r="E19" s="92">
        <f t="shared" si="4"/>
        <v>0</v>
      </c>
      <c r="F19" s="92">
        <f t="shared" si="4"/>
        <v>0</v>
      </c>
      <c r="G19" s="92">
        <f t="shared" si="4"/>
        <v>0</v>
      </c>
      <c r="H19" s="92">
        <f t="shared" si="4"/>
        <v>0</v>
      </c>
      <c r="I19" s="92">
        <f t="shared" si="4"/>
        <v>0</v>
      </c>
      <c r="J19" s="92">
        <f t="shared" si="4"/>
        <v>0</v>
      </c>
      <c r="K19" s="92">
        <f t="shared" si="4"/>
        <v>0</v>
      </c>
      <c r="L19" s="92">
        <f t="shared" si="4"/>
        <v>0</v>
      </c>
      <c r="M19" s="90">
        <f>SUM(C19:L19)</f>
        <v>934.4</v>
      </c>
      <c r="P19" s="99">
        <v>2030</v>
      </c>
      <c r="Q19" s="92">
        <f>(C8-Q12)*C15</f>
        <v>927178.382812501</v>
      </c>
      <c r="R19" s="92">
        <f>(D8-R12)*D15</f>
        <v>301995.2446875</v>
      </c>
      <c r="S19" s="92">
        <f>(E8-S12)*E15</f>
        <v>0</v>
      </c>
      <c r="T19" s="92">
        <f t="shared" si="2"/>
        <v>1229173.6275</v>
      </c>
    </row>
    <row r="20" spans="2:20">
      <c r="B20" s="70" t="s">
        <v>227</v>
      </c>
      <c r="C20" s="93">
        <f>C19/C8</f>
        <v>0.412228571428571</v>
      </c>
      <c r="D20" s="93">
        <f t="shared" ref="D20:N20" si="5">D19/D8</f>
        <v>0.373684210526316</v>
      </c>
      <c r="E20" s="93" t="e">
        <f t="shared" si="5"/>
        <v>#DIV/0!</v>
      </c>
      <c r="F20" s="93" t="e">
        <f t="shared" si="5"/>
        <v>#DIV/0!</v>
      </c>
      <c r="G20" s="94" t="e">
        <f t="shared" si="5"/>
        <v>#DIV/0!</v>
      </c>
      <c r="H20" s="94" t="e">
        <f t="shared" si="5"/>
        <v>#DIV/0!</v>
      </c>
      <c r="I20" s="94" t="e">
        <f t="shared" si="5"/>
        <v>#DIV/0!</v>
      </c>
      <c r="J20" s="94" t="e">
        <f t="shared" si="5"/>
        <v>#DIV/0!</v>
      </c>
      <c r="K20" s="93" t="e">
        <f t="shared" si="5"/>
        <v>#DIV/0!</v>
      </c>
      <c r="L20" s="93" t="e">
        <f t="shared" si="5"/>
        <v>#DIV/0!</v>
      </c>
      <c r="M20" s="93">
        <f t="shared" si="5"/>
        <v>0.402758620689655</v>
      </c>
      <c r="Q20" s="92"/>
      <c r="R20" s="92"/>
      <c r="S20" s="92"/>
      <c r="T20" s="92"/>
    </row>
  </sheetData>
  <mergeCells count="5">
    <mergeCell ref="Q6:S6"/>
    <mergeCell ref="A16:B16"/>
    <mergeCell ref="A5:A8"/>
    <mergeCell ref="A9:A15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xSplit="3" ySplit="5" topLeftCell="D18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6" width="13.0909090909091" style="34" customWidth="1"/>
    <col min="7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9"/>
    </row>
    <row r="2" spans="1:14">
      <c r="A2" s="38" t="s">
        <v>228</v>
      </c>
      <c r="B2" s="38"/>
      <c r="C2" s="39"/>
      <c r="D2" s="40"/>
      <c r="E2" s="41" t="s">
        <v>229</v>
      </c>
      <c r="F2" s="42"/>
      <c r="G2" s="42"/>
      <c r="H2" s="42"/>
      <c r="I2" s="42"/>
      <c r="J2" s="42"/>
      <c r="K2" s="42"/>
      <c r="L2" s="42"/>
      <c r="M2" s="42"/>
      <c r="N2" s="63"/>
    </row>
    <row r="3" ht="33" spans="1:14">
      <c r="A3" s="43" t="s">
        <v>21</v>
      </c>
      <c r="B3" s="43" t="s">
        <v>230</v>
      </c>
      <c r="C3" s="43" t="s">
        <v>231</v>
      </c>
      <c r="D3" s="44" t="s">
        <v>158</v>
      </c>
      <c r="E3" s="44"/>
      <c r="F3" s="40" t="s">
        <v>232</v>
      </c>
      <c r="G3" s="45" t="s">
        <v>233</v>
      </c>
      <c r="H3" s="46"/>
      <c r="I3" s="46"/>
      <c r="J3" s="46"/>
      <c r="K3" s="46"/>
      <c r="L3" s="46"/>
      <c r="M3" s="46"/>
      <c r="N3" s="64" t="s">
        <v>181</v>
      </c>
    </row>
    <row r="4" ht="33" spans="1:14">
      <c r="A4" s="43"/>
      <c r="B4" s="43"/>
      <c r="C4" s="43" t="s">
        <v>159</v>
      </c>
      <c r="D4" s="47" t="s">
        <v>160</v>
      </c>
      <c r="E4" s="47" t="s">
        <v>161</v>
      </c>
      <c r="F4" s="48"/>
      <c r="G4" s="48"/>
      <c r="H4" s="49"/>
      <c r="I4" s="49"/>
      <c r="J4" s="49"/>
      <c r="K4" s="49"/>
      <c r="L4" s="49"/>
      <c r="M4" s="49"/>
      <c r="N4" s="65"/>
    </row>
    <row r="5" ht="33" spans="1:14">
      <c r="A5" s="43"/>
      <c r="B5" s="43"/>
      <c r="C5" s="43" t="s">
        <v>162</v>
      </c>
      <c r="D5" s="48" t="s">
        <v>163</v>
      </c>
      <c r="E5" s="48" t="s">
        <v>164</v>
      </c>
      <c r="F5" s="48"/>
      <c r="G5" s="48"/>
      <c r="H5" s="48"/>
      <c r="I5" s="48"/>
      <c r="J5" s="48"/>
      <c r="K5" s="48"/>
      <c r="L5" s="48"/>
      <c r="M5" s="48"/>
      <c r="N5" s="66"/>
    </row>
    <row r="6" ht="65" spans="1:14">
      <c r="A6" s="50">
        <v>1</v>
      </c>
      <c r="B6" s="51" t="s">
        <v>234</v>
      </c>
      <c r="C6" s="52"/>
      <c r="D6" s="49" t="s">
        <v>166</v>
      </c>
      <c r="E6" s="49" t="s">
        <v>167</v>
      </c>
      <c r="F6" s="49"/>
      <c r="G6" s="49"/>
      <c r="H6" s="49"/>
      <c r="I6" s="49"/>
      <c r="J6" s="49"/>
      <c r="K6" s="49"/>
      <c r="L6" s="49"/>
      <c r="M6" s="49"/>
      <c r="N6" s="67"/>
    </row>
    <row r="7" spans="1:14">
      <c r="A7" s="50">
        <v>2</v>
      </c>
      <c r="B7" s="51" t="s">
        <v>235</v>
      </c>
      <c r="C7" s="52"/>
      <c r="D7" s="53"/>
      <c r="E7" s="49"/>
      <c r="F7" s="49"/>
      <c r="G7" s="49"/>
      <c r="H7" s="49"/>
      <c r="I7" s="49"/>
      <c r="J7" s="49"/>
      <c r="K7" s="49"/>
      <c r="L7" s="49"/>
      <c r="M7" s="49"/>
      <c r="N7" s="67"/>
    </row>
    <row r="8" spans="1:14">
      <c r="A8" s="50">
        <v>3</v>
      </c>
      <c r="B8" s="51" t="s">
        <v>236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67"/>
    </row>
    <row r="9" spans="1:14">
      <c r="A9" s="50">
        <v>4</v>
      </c>
      <c r="B9" s="51" t="s">
        <v>237</v>
      </c>
      <c r="C9" s="52"/>
      <c r="D9" s="53"/>
      <c r="E9" s="49"/>
      <c r="F9" s="49"/>
      <c r="G9" s="49"/>
      <c r="H9" s="49"/>
      <c r="I9" s="49"/>
      <c r="J9" s="49"/>
      <c r="K9" s="49"/>
      <c r="L9" s="49"/>
      <c r="M9" s="49"/>
      <c r="N9" s="67"/>
    </row>
    <row r="10" spans="1:14">
      <c r="A10" s="50">
        <v>5</v>
      </c>
      <c r="B10" s="51" t="s">
        <v>238</v>
      </c>
      <c r="C10" s="52"/>
      <c r="D10" s="53"/>
      <c r="E10" s="49"/>
      <c r="F10" s="49"/>
      <c r="G10" s="49"/>
      <c r="H10" s="49"/>
      <c r="I10" s="49"/>
      <c r="J10" s="49"/>
      <c r="K10" s="49"/>
      <c r="L10" s="49"/>
      <c r="M10" s="49"/>
      <c r="N10" s="67"/>
    </row>
    <row r="11" spans="1:14">
      <c r="A11" s="50">
        <v>6</v>
      </c>
      <c r="B11" s="51" t="s">
        <v>239</v>
      </c>
      <c r="C11" s="52"/>
      <c r="D11" s="53"/>
      <c r="E11" s="49"/>
      <c r="F11" s="49"/>
      <c r="G11" s="49"/>
      <c r="H11" s="49"/>
      <c r="I11" s="49"/>
      <c r="J11" s="49"/>
      <c r="K11" s="49"/>
      <c r="L11" s="49"/>
      <c r="M11" s="49"/>
      <c r="N11" s="67"/>
    </row>
    <row r="12" spans="1:14">
      <c r="A12" s="50">
        <v>7</v>
      </c>
      <c r="B12" s="51" t="s">
        <v>240</v>
      </c>
      <c r="C12" s="52"/>
      <c r="D12" s="53"/>
      <c r="E12" s="49"/>
      <c r="F12" s="49"/>
      <c r="G12" s="49"/>
      <c r="H12" s="49"/>
      <c r="I12" s="49"/>
      <c r="J12" s="49"/>
      <c r="K12" s="49"/>
      <c r="L12" s="49"/>
      <c r="M12" s="49"/>
      <c r="N12" s="67"/>
    </row>
    <row r="13" spans="1:14">
      <c r="A13" s="50">
        <v>8</v>
      </c>
      <c r="B13" s="51" t="s">
        <v>241</v>
      </c>
      <c r="C13" s="52"/>
      <c r="D13" s="53"/>
      <c r="E13" s="49"/>
      <c r="F13" s="49"/>
      <c r="G13" s="49"/>
      <c r="H13" s="49"/>
      <c r="I13" s="49"/>
      <c r="J13" s="49"/>
      <c r="K13" s="49"/>
      <c r="L13" s="49"/>
      <c r="M13" s="49"/>
      <c r="N13" s="67"/>
    </row>
    <row r="14" spans="1:14">
      <c r="A14" s="50">
        <v>9</v>
      </c>
      <c r="B14" s="51" t="s">
        <v>242</v>
      </c>
      <c r="C14" s="52"/>
      <c r="D14" s="53"/>
      <c r="E14" s="49"/>
      <c r="F14" s="49"/>
      <c r="G14" s="49"/>
      <c r="H14" s="49"/>
      <c r="I14" s="49"/>
      <c r="J14" s="49"/>
      <c r="K14" s="49"/>
      <c r="L14" s="49"/>
      <c r="M14" s="49"/>
      <c r="N14" s="67"/>
    </row>
    <row r="15" spans="1:14">
      <c r="A15" s="50">
        <v>10</v>
      </c>
      <c r="B15" s="51" t="s">
        <v>243</v>
      </c>
      <c r="C15" s="52"/>
      <c r="D15" s="53"/>
      <c r="E15" s="49"/>
      <c r="F15" s="49"/>
      <c r="G15" s="49"/>
      <c r="H15" s="49"/>
      <c r="I15" s="49"/>
      <c r="J15" s="49"/>
      <c r="K15" s="49"/>
      <c r="L15" s="49"/>
      <c r="M15" s="49"/>
      <c r="N15" s="67"/>
    </row>
    <row r="16" spans="1:14">
      <c r="A16" s="50">
        <v>11</v>
      </c>
      <c r="B16" s="51" t="s">
        <v>244</v>
      </c>
      <c r="C16" s="52"/>
      <c r="D16" s="53"/>
      <c r="E16" s="49"/>
      <c r="F16" s="49"/>
      <c r="G16" s="49"/>
      <c r="H16" s="49"/>
      <c r="I16" s="49"/>
      <c r="J16" s="49"/>
      <c r="K16" s="49"/>
      <c r="L16" s="49"/>
      <c r="M16" s="49"/>
      <c r="N16" s="67"/>
    </row>
    <row r="17" spans="1:14">
      <c r="A17" s="50">
        <v>12</v>
      </c>
      <c r="B17" s="51" t="s">
        <v>245</v>
      </c>
      <c r="C17" s="52"/>
      <c r="D17" s="53"/>
      <c r="E17" s="49"/>
      <c r="F17" s="49"/>
      <c r="G17" s="49"/>
      <c r="H17" s="49"/>
      <c r="I17" s="49"/>
      <c r="J17" s="49"/>
      <c r="K17" s="49"/>
      <c r="L17" s="49"/>
      <c r="M17" s="49"/>
      <c r="N17" s="67"/>
    </row>
    <row r="18" spans="1:14">
      <c r="A18" s="50">
        <v>13</v>
      </c>
      <c r="B18" s="51" t="s">
        <v>246</v>
      </c>
      <c r="C18" s="52"/>
      <c r="D18" s="53"/>
      <c r="E18" s="49"/>
      <c r="F18" s="49"/>
      <c r="G18" s="49"/>
      <c r="H18" s="49"/>
      <c r="I18" s="49"/>
      <c r="J18" s="49"/>
      <c r="K18" s="49"/>
      <c r="L18" s="49"/>
      <c r="M18" s="49"/>
      <c r="N18" s="67"/>
    </row>
    <row r="19" spans="1:14">
      <c r="A19" s="50">
        <v>14</v>
      </c>
      <c r="B19" s="51" t="s">
        <v>247</v>
      </c>
      <c r="C19" s="52"/>
      <c r="D19" s="53"/>
      <c r="E19" s="49"/>
      <c r="F19" s="49"/>
      <c r="G19" s="49"/>
      <c r="H19" s="49"/>
      <c r="I19" s="49"/>
      <c r="J19" s="49"/>
      <c r="K19" s="49"/>
      <c r="L19" s="49"/>
      <c r="M19" s="49"/>
      <c r="N19" s="67"/>
    </row>
    <row r="20" spans="1:14">
      <c r="A20" s="50">
        <v>15</v>
      </c>
      <c r="B20" s="51" t="s">
        <v>248</v>
      </c>
      <c r="C20" s="52"/>
      <c r="D20" s="53"/>
      <c r="E20" s="49"/>
      <c r="F20" s="49"/>
      <c r="G20" s="49"/>
      <c r="H20" s="49"/>
      <c r="I20" s="49"/>
      <c r="J20" s="49"/>
      <c r="K20" s="49"/>
      <c r="L20" s="49"/>
      <c r="M20" s="49"/>
      <c r="N20" s="67"/>
    </row>
    <row r="21" spans="1:14">
      <c r="A21" s="50">
        <v>16</v>
      </c>
      <c r="B21" s="51" t="s">
        <v>249</v>
      </c>
      <c r="C21" s="52"/>
      <c r="D21" s="53"/>
      <c r="E21" s="49"/>
      <c r="F21" s="49"/>
      <c r="G21" s="49"/>
      <c r="H21" s="49"/>
      <c r="I21" s="49"/>
      <c r="J21" s="49"/>
      <c r="K21" s="49"/>
      <c r="L21" s="49"/>
      <c r="M21" s="49"/>
      <c r="N21" s="67"/>
    </row>
    <row r="22" spans="1:14">
      <c r="A22" s="50">
        <v>17</v>
      </c>
      <c r="B22" s="51" t="s">
        <v>39</v>
      </c>
      <c r="C22" s="52"/>
      <c r="D22" s="53"/>
      <c r="E22" s="49"/>
      <c r="F22" s="49"/>
      <c r="G22" s="49"/>
      <c r="H22" s="49"/>
      <c r="I22" s="49"/>
      <c r="J22" s="49"/>
      <c r="K22" s="49"/>
      <c r="L22" s="49"/>
      <c r="M22" s="49"/>
      <c r="N22" s="67"/>
    </row>
    <row r="23" spans="1:14">
      <c r="A23" s="50">
        <v>18</v>
      </c>
      <c r="B23" s="51" t="s">
        <v>250</v>
      </c>
      <c r="C23" s="52"/>
      <c r="D23" s="54">
        <v>1028.6</v>
      </c>
      <c r="E23" s="54">
        <v>357</v>
      </c>
      <c r="F23" s="54"/>
      <c r="G23" s="55"/>
      <c r="H23" s="56"/>
      <c r="I23" s="56"/>
      <c r="J23" s="56"/>
      <c r="K23" s="56"/>
      <c r="L23" s="56"/>
      <c r="M23" s="56"/>
      <c r="N23" s="68"/>
    </row>
    <row r="24" ht="31.5" customHeight="1" spans="1:14">
      <c r="A24" s="57" t="s">
        <v>251</v>
      </c>
      <c r="B24" s="58"/>
      <c r="C24" s="59"/>
      <c r="D24" s="60">
        <f t="shared" ref="D24:M24" si="0">SUM(D6:D23)</f>
        <v>1028.6</v>
      </c>
      <c r="E24" s="60">
        <f t="shared" si="0"/>
        <v>357</v>
      </c>
      <c r="F24" s="60">
        <f t="shared" si="0"/>
        <v>0</v>
      </c>
      <c r="G24" s="60">
        <f t="shared" si="0"/>
        <v>0</v>
      </c>
      <c r="H24" s="60">
        <f t="shared" si="0"/>
        <v>0</v>
      </c>
      <c r="I24" s="60">
        <f t="shared" si="0"/>
        <v>0</v>
      </c>
      <c r="J24" s="60">
        <f t="shared" si="0"/>
        <v>0</v>
      </c>
      <c r="K24" s="60">
        <f t="shared" si="0"/>
        <v>0</v>
      </c>
      <c r="L24" s="60">
        <f t="shared" si="0"/>
        <v>0</v>
      </c>
      <c r="M24" s="60">
        <f t="shared" si="0"/>
        <v>0</v>
      </c>
      <c r="N24" s="68"/>
    </row>
    <row r="25" spans="3:13">
      <c r="C25" s="33" t="s">
        <v>252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7" spans="3:13">
      <c r="C27" s="33" t="s">
        <v>109</v>
      </c>
      <c r="D27" s="62">
        <f t="shared" ref="D27:F27" si="1">D24*0.97</f>
        <v>997.742</v>
      </c>
      <c r="E27" s="62">
        <f t="shared" si="1"/>
        <v>346.29</v>
      </c>
      <c r="F27" s="62">
        <f t="shared" si="1"/>
        <v>0</v>
      </c>
      <c r="G27" s="62">
        <f t="shared" ref="D27:M27" si="2">G24*0.94</f>
        <v>0</v>
      </c>
      <c r="H27" s="62">
        <f t="shared" si="2"/>
        <v>0</v>
      </c>
      <c r="I27" s="62">
        <f t="shared" si="2"/>
        <v>0</v>
      </c>
      <c r="J27" s="62">
        <f t="shared" si="2"/>
        <v>0</v>
      </c>
      <c r="K27" s="62">
        <f t="shared" si="2"/>
        <v>0</v>
      </c>
      <c r="L27" s="62">
        <f t="shared" si="2"/>
        <v>0</v>
      </c>
      <c r="M27" s="62">
        <f t="shared" si="2"/>
        <v>0</v>
      </c>
    </row>
    <row r="28" spans="3:13">
      <c r="C28" s="33" t="s">
        <v>55</v>
      </c>
      <c r="D28" s="62">
        <f t="shared" ref="D28:F28" si="3">D27*0.97</f>
        <v>967.80974</v>
      </c>
      <c r="E28" s="62">
        <f t="shared" si="3"/>
        <v>335.9013</v>
      </c>
      <c r="F28" s="62">
        <f t="shared" si="3"/>
        <v>0</v>
      </c>
      <c r="G28" s="62">
        <f t="shared" ref="D28:M28" si="4">G27*0.94</f>
        <v>0</v>
      </c>
      <c r="H28" s="62">
        <f t="shared" si="4"/>
        <v>0</v>
      </c>
      <c r="I28" s="62">
        <f t="shared" si="4"/>
        <v>0</v>
      </c>
      <c r="J28" s="62">
        <f t="shared" si="4"/>
        <v>0</v>
      </c>
      <c r="K28" s="62">
        <f t="shared" si="4"/>
        <v>0</v>
      </c>
      <c r="L28" s="62">
        <f t="shared" si="4"/>
        <v>0</v>
      </c>
      <c r="M28" s="62">
        <f t="shared" si="4"/>
        <v>0</v>
      </c>
    </row>
    <row r="29" spans="3:6">
      <c r="C29" s="33" t="s">
        <v>56</v>
      </c>
      <c r="D29" s="62">
        <f t="shared" ref="D29:F29" si="5">D28*0.97</f>
        <v>938.7754478</v>
      </c>
      <c r="E29" s="62">
        <f t="shared" si="5"/>
        <v>325.824261</v>
      </c>
      <c r="F29" s="62">
        <f t="shared" si="5"/>
        <v>0</v>
      </c>
    </row>
    <row r="30" spans="3:6">
      <c r="C30" s="33" t="s">
        <v>57</v>
      </c>
      <c r="D30" s="62">
        <f>D29*0.97</f>
        <v>910.612184366</v>
      </c>
      <c r="E30" s="62">
        <f t="shared" ref="D30:F30" si="6">E29*0.97</f>
        <v>316.04953317</v>
      </c>
      <c r="F30" s="62">
        <f t="shared" si="6"/>
        <v>0</v>
      </c>
    </row>
    <row r="31" spans="3:6">
      <c r="C31" s="33" t="s">
        <v>58</v>
      </c>
      <c r="D31" s="62">
        <f t="shared" ref="D31:F31" si="7">D30*0.97</f>
        <v>883.29381883502</v>
      </c>
      <c r="E31" s="62">
        <f t="shared" si="7"/>
        <v>306.5680471749</v>
      </c>
      <c r="F31" s="62">
        <f t="shared" si="7"/>
        <v>0</v>
      </c>
    </row>
    <row r="32" spans="3:6">
      <c r="C32" s="33" t="s">
        <v>214</v>
      </c>
      <c r="D32" s="62">
        <f t="shared" ref="D32:F32" si="8">D31*0.97</f>
        <v>856.795004269969</v>
      </c>
      <c r="E32" s="62">
        <f t="shared" si="8"/>
        <v>297.371005759653</v>
      </c>
      <c r="F32" s="62">
        <f t="shared" si="8"/>
        <v>0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253</v>
      </c>
      <c r="C1" s="25" t="s">
        <v>254</v>
      </c>
      <c r="D1" s="25" t="s">
        <v>255</v>
      </c>
    </row>
    <row r="2" ht="19.5" customHeight="1" spans="1:4">
      <c r="A2" s="25">
        <v>1</v>
      </c>
      <c r="B2" s="26" t="s">
        <v>256</v>
      </c>
      <c r="C2" s="27"/>
      <c r="D2" s="25"/>
    </row>
    <row r="3" ht="36" customHeight="1" spans="1:4">
      <c r="A3" s="25">
        <v>2</v>
      </c>
      <c r="B3" s="26" t="s">
        <v>257</v>
      </c>
      <c r="C3" s="28"/>
      <c r="D3" s="25" t="s">
        <v>258</v>
      </c>
    </row>
    <row r="4" ht="19.5" customHeight="1" spans="1:4">
      <c r="A4" s="25">
        <v>3</v>
      </c>
      <c r="B4" s="26" t="s">
        <v>259</v>
      </c>
      <c r="C4" s="27"/>
      <c r="D4" s="25"/>
    </row>
    <row r="5" ht="42.75" customHeight="1" spans="1:4">
      <c r="A5" s="25">
        <v>4</v>
      </c>
      <c r="B5" s="26" t="s">
        <v>260</v>
      </c>
      <c r="C5" s="27"/>
      <c r="D5" s="25"/>
    </row>
    <row r="6" ht="39" customHeight="1" spans="1:4">
      <c r="A6" s="25">
        <v>5</v>
      </c>
      <c r="B6" s="26" t="s">
        <v>261</v>
      </c>
      <c r="C6" s="27"/>
      <c r="D6" s="25"/>
    </row>
    <row r="7" ht="27.75" customHeight="1" spans="1:3">
      <c r="A7" s="25">
        <v>6</v>
      </c>
      <c r="B7" s="25" t="s">
        <v>262</v>
      </c>
      <c r="C7" s="28"/>
    </row>
    <row r="8" ht="36" customHeight="1" spans="1:4">
      <c r="A8" s="25">
        <v>7</v>
      </c>
      <c r="B8" s="26" t="s">
        <v>263</v>
      </c>
      <c r="C8" s="29"/>
      <c r="D8" s="25"/>
    </row>
    <row r="9" ht="34.5" customHeight="1" spans="1:4">
      <c r="A9" s="25">
        <v>8</v>
      </c>
      <c r="B9" s="25" t="s">
        <v>264</v>
      </c>
      <c r="C9" s="30"/>
      <c r="D9" s="25"/>
    </row>
    <row r="10" ht="34.5" customHeight="1" spans="1:4">
      <c r="A10" s="25">
        <v>9</v>
      </c>
      <c r="B10" s="25" t="s">
        <v>265</v>
      </c>
      <c r="C10" s="29"/>
      <c r="D10" s="25"/>
    </row>
    <row r="11" ht="34.5" customHeight="1" spans="1:4">
      <c r="A11" s="25">
        <v>10</v>
      </c>
      <c r="B11" s="25" t="s">
        <v>266</v>
      </c>
      <c r="C11" s="29"/>
      <c r="D11" s="25" t="s">
        <v>267</v>
      </c>
    </row>
    <row r="12" ht="34.5" customHeight="1" spans="1:4">
      <c r="A12" s="25">
        <v>11</v>
      </c>
      <c r="B12" s="25" t="s">
        <v>268</v>
      </c>
      <c r="C12" s="29"/>
      <c r="D12" s="25"/>
    </row>
    <row r="13" ht="24" customHeight="1" spans="1:4">
      <c r="A13" s="25">
        <v>12</v>
      </c>
      <c r="B13" s="26" t="s">
        <v>269</v>
      </c>
      <c r="C13" s="29"/>
      <c r="D13" s="25"/>
    </row>
    <row r="14" ht="24" customHeight="1" spans="1:4">
      <c r="A14" s="25">
        <v>13</v>
      </c>
      <c r="B14" s="26" t="s">
        <v>270</v>
      </c>
      <c r="C14" s="29"/>
      <c r="D14" s="25"/>
    </row>
    <row r="15" ht="24" customHeight="1" spans="1:4">
      <c r="A15" s="25">
        <v>14</v>
      </c>
      <c r="B15" s="26" t="s">
        <v>271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272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workbookViewId="0">
      <selection activeCell="I15" sqref="I15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273</v>
      </c>
      <c r="H1" s="4"/>
      <c r="I1" s="21"/>
    </row>
    <row r="2" ht="39" customHeight="1" spans="1:9">
      <c r="A2" s="5" t="s">
        <v>274</v>
      </c>
      <c r="B2" s="5"/>
      <c r="C2" s="6" t="s">
        <v>275</v>
      </c>
      <c r="D2" s="7"/>
      <c r="E2" s="7"/>
      <c r="F2" s="7"/>
      <c r="G2" s="7"/>
      <c r="H2" s="8"/>
      <c r="I2" s="3" t="s">
        <v>276</v>
      </c>
    </row>
    <row r="3" ht="34.5" customHeight="1" spans="1:9">
      <c r="A3" s="5"/>
      <c r="B3" s="5"/>
      <c r="C3" s="9" t="s">
        <v>277</v>
      </c>
      <c r="D3" s="9" t="s">
        <v>278</v>
      </c>
      <c r="E3" s="9" t="s">
        <v>279</v>
      </c>
      <c r="F3" s="10" t="s">
        <v>280</v>
      </c>
      <c r="G3" s="10" t="s">
        <v>281</v>
      </c>
      <c r="H3" s="10" t="s">
        <v>282</v>
      </c>
      <c r="I3" s="22">
        <f>销量!C8</f>
        <v>1750</v>
      </c>
    </row>
    <row r="4" ht="24" customHeight="1" spans="1:9">
      <c r="A4" s="11" t="s">
        <v>283</v>
      </c>
      <c r="B4" s="11"/>
      <c r="C4" s="12"/>
      <c r="D4" s="13"/>
      <c r="E4" s="14">
        <f>I3*I4</f>
        <v>52.5</v>
      </c>
      <c r="F4" s="14"/>
      <c r="G4" s="14"/>
      <c r="H4" s="15">
        <v>0.0448</v>
      </c>
      <c r="I4" s="3">
        <v>0.03</v>
      </c>
    </row>
    <row r="5" ht="24" customHeight="1" spans="1:9">
      <c r="A5" s="11" t="s">
        <v>284</v>
      </c>
      <c r="B5" s="11" t="s">
        <v>285</v>
      </c>
      <c r="C5" s="12"/>
      <c r="D5" s="13"/>
      <c r="E5" s="14">
        <f>$I$3*I5</f>
        <v>105</v>
      </c>
      <c r="F5" s="14"/>
      <c r="G5" s="14"/>
      <c r="H5" s="15">
        <v>0.0404</v>
      </c>
      <c r="I5" s="3">
        <v>0.06</v>
      </c>
    </row>
    <row r="6" ht="24" customHeight="1" spans="1:9">
      <c r="A6" s="11"/>
      <c r="B6" s="11" t="s">
        <v>286</v>
      </c>
      <c r="C6" s="12"/>
      <c r="D6" s="13"/>
      <c r="E6" s="14">
        <f>$I$3*I6</f>
        <v>17.5</v>
      </c>
      <c r="F6" s="14"/>
      <c r="G6" s="14"/>
      <c r="H6" s="15">
        <v>0.0166</v>
      </c>
      <c r="I6" s="3">
        <v>0.01</v>
      </c>
    </row>
    <row r="7" ht="24" customHeight="1" spans="1:9">
      <c r="A7" s="6" t="s">
        <v>287</v>
      </c>
      <c r="B7" s="8"/>
      <c r="C7" s="16"/>
      <c r="D7" s="17"/>
      <c r="E7" s="14">
        <f t="shared" ref="E7:E11" si="0">$I$3*I7</f>
        <v>175</v>
      </c>
      <c r="F7" s="14"/>
      <c r="G7" s="14"/>
      <c r="H7" s="18">
        <f>SUM(H4:H6)</f>
        <v>0.1018</v>
      </c>
      <c r="I7" s="3">
        <v>0.1</v>
      </c>
    </row>
    <row r="8" ht="24" customHeight="1" spans="1:9">
      <c r="A8" s="11" t="s">
        <v>93</v>
      </c>
      <c r="B8" s="11"/>
      <c r="C8" s="12"/>
      <c r="D8" s="13"/>
      <c r="E8" s="14">
        <f t="shared" si="0"/>
        <v>35</v>
      </c>
      <c r="F8" s="14"/>
      <c r="G8" s="14"/>
      <c r="H8" s="15">
        <f>1.97%+0.75%</f>
        <v>0.0272</v>
      </c>
      <c r="I8" s="3">
        <v>0.02</v>
      </c>
    </row>
    <row r="9" ht="24" customHeight="1" spans="1:9">
      <c r="A9" s="19" t="s">
        <v>288</v>
      </c>
      <c r="B9" s="11" t="s">
        <v>285</v>
      </c>
      <c r="C9" s="12"/>
      <c r="D9" s="13"/>
      <c r="E9" s="14">
        <f t="shared" si="0"/>
        <v>24.5</v>
      </c>
      <c r="F9" s="14"/>
      <c r="G9" s="14"/>
      <c r="H9" s="15">
        <v>0.0053</v>
      </c>
      <c r="I9" s="3">
        <v>0.014</v>
      </c>
    </row>
    <row r="10" ht="24" customHeight="1" spans="1:9">
      <c r="A10" s="20"/>
      <c r="B10" s="11" t="s">
        <v>286</v>
      </c>
      <c r="C10" s="12"/>
      <c r="D10" s="13"/>
      <c r="E10" s="14">
        <f t="shared" si="0"/>
        <v>17.5</v>
      </c>
      <c r="F10" s="14"/>
      <c r="G10" s="14"/>
      <c r="H10" s="15">
        <v>0.0341</v>
      </c>
      <c r="I10" s="3">
        <v>0.01</v>
      </c>
    </row>
    <row r="11" ht="24" customHeight="1" spans="1:9">
      <c r="A11" s="11" t="s">
        <v>96</v>
      </c>
      <c r="B11" s="11"/>
      <c r="C11" s="12"/>
      <c r="D11" s="13"/>
      <c r="E11" s="14">
        <f t="shared" si="0"/>
        <v>70</v>
      </c>
      <c r="F11" s="14"/>
      <c r="G11" s="14"/>
      <c r="H11" s="15">
        <v>0.011</v>
      </c>
      <c r="I11" s="3">
        <v>0.04</v>
      </c>
    </row>
    <row r="13" s="1" customFormat="1" ht="18.75" customHeight="1" spans="7:9">
      <c r="G13" s="4" t="s">
        <v>273</v>
      </c>
      <c r="H13" s="4"/>
      <c r="I13" s="23"/>
    </row>
    <row r="14" ht="39" customHeight="1" spans="1:9">
      <c r="A14" s="5" t="s">
        <v>274</v>
      </c>
      <c r="B14" s="5"/>
      <c r="C14" s="6" t="s">
        <v>275</v>
      </c>
      <c r="D14" s="7"/>
      <c r="E14" s="7"/>
      <c r="F14" s="7"/>
      <c r="G14" s="7"/>
      <c r="H14" s="8"/>
      <c r="I14" s="3" t="s">
        <v>276</v>
      </c>
    </row>
    <row r="15" ht="34.5" customHeight="1" spans="1:9">
      <c r="A15" s="5"/>
      <c r="B15" s="5"/>
      <c r="C15" s="9" t="s">
        <v>277</v>
      </c>
      <c r="D15" s="9" t="s">
        <v>278</v>
      </c>
      <c r="E15" s="9" t="s">
        <v>279</v>
      </c>
      <c r="F15" s="10" t="s">
        <v>280</v>
      </c>
      <c r="G15" s="10" t="s">
        <v>281</v>
      </c>
      <c r="H15" s="10" t="s">
        <v>282</v>
      </c>
      <c r="I15" s="22">
        <f>销量!D8</f>
        <v>570</v>
      </c>
    </row>
    <row r="16" ht="24" customHeight="1" spans="1:9">
      <c r="A16" s="11" t="s">
        <v>283</v>
      </c>
      <c r="B16" s="11"/>
      <c r="C16" s="12"/>
      <c r="D16" s="13"/>
      <c r="E16" s="14">
        <f>I15*I16</f>
        <v>17.1</v>
      </c>
      <c r="F16" s="14"/>
      <c r="G16" s="14"/>
      <c r="H16" s="15">
        <v>0.0448</v>
      </c>
      <c r="I16" s="3">
        <v>0.03</v>
      </c>
    </row>
    <row r="17" ht="24" customHeight="1" spans="1:9">
      <c r="A17" s="11" t="s">
        <v>284</v>
      </c>
      <c r="B17" s="11" t="s">
        <v>285</v>
      </c>
      <c r="C17" s="12"/>
      <c r="D17" s="13"/>
      <c r="E17" s="14">
        <f>$I$15*I17</f>
        <v>34.2</v>
      </c>
      <c r="F17" s="14"/>
      <c r="G17" s="14"/>
      <c r="H17" s="15">
        <v>0.0404</v>
      </c>
      <c r="I17" s="3">
        <v>0.06</v>
      </c>
    </row>
    <row r="18" ht="24" customHeight="1" spans="1:9">
      <c r="A18" s="11"/>
      <c r="B18" s="11" t="s">
        <v>286</v>
      </c>
      <c r="C18" s="12"/>
      <c r="D18" s="13"/>
      <c r="E18" s="14">
        <f t="shared" ref="E18:E23" si="1">$I$15*I18</f>
        <v>5.7</v>
      </c>
      <c r="F18" s="14"/>
      <c r="G18" s="14"/>
      <c r="H18" s="15">
        <v>0.0166</v>
      </c>
      <c r="I18" s="3">
        <v>0.01</v>
      </c>
    </row>
    <row r="19" ht="24" customHeight="1" spans="1:9">
      <c r="A19" s="6" t="s">
        <v>287</v>
      </c>
      <c r="B19" s="8"/>
      <c r="C19" s="16"/>
      <c r="D19" s="17"/>
      <c r="E19" s="14">
        <f t="shared" si="1"/>
        <v>57</v>
      </c>
      <c r="F19" s="14"/>
      <c r="G19" s="14"/>
      <c r="H19" s="18">
        <f>SUM(H16:H18)</f>
        <v>0.1018</v>
      </c>
      <c r="I19" s="3">
        <v>0.1</v>
      </c>
    </row>
    <row r="20" ht="24" customHeight="1" spans="1:9">
      <c r="A20" s="11" t="s">
        <v>93</v>
      </c>
      <c r="B20" s="11"/>
      <c r="C20" s="12"/>
      <c r="D20" s="13"/>
      <c r="E20" s="14">
        <f t="shared" si="1"/>
        <v>11.4</v>
      </c>
      <c r="F20" s="14"/>
      <c r="G20" s="14"/>
      <c r="H20" s="15">
        <f>1.97%+0.75%</f>
        <v>0.0272</v>
      </c>
      <c r="I20" s="3">
        <v>0.02</v>
      </c>
    </row>
    <row r="21" ht="24" customHeight="1" spans="1:9">
      <c r="A21" s="19" t="s">
        <v>288</v>
      </c>
      <c r="B21" s="11" t="s">
        <v>285</v>
      </c>
      <c r="C21" s="12"/>
      <c r="D21" s="13"/>
      <c r="E21" s="14">
        <f t="shared" si="1"/>
        <v>7.98</v>
      </c>
      <c r="F21" s="14"/>
      <c r="G21" s="14"/>
      <c r="H21" s="15">
        <v>0.0053</v>
      </c>
      <c r="I21" s="3">
        <v>0.014</v>
      </c>
    </row>
    <row r="22" ht="24" customHeight="1" spans="1:9">
      <c r="A22" s="20"/>
      <c r="B22" s="11" t="s">
        <v>286</v>
      </c>
      <c r="C22" s="12"/>
      <c r="D22" s="13"/>
      <c r="E22" s="14">
        <f t="shared" si="1"/>
        <v>5.7</v>
      </c>
      <c r="F22" s="14"/>
      <c r="G22" s="14"/>
      <c r="H22" s="15">
        <v>0.0341</v>
      </c>
      <c r="I22" s="3">
        <v>0.01</v>
      </c>
    </row>
    <row r="23" ht="24" customHeight="1" spans="1:9">
      <c r="A23" s="11" t="s">
        <v>96</v>
      </c>
      <c r="B23" s="11"/>
      <c r="C23" s="12"/>
      <c r="D23" s="13"/>
      <c r="E23" s="14">
        <f t="shared" si="1"/>
        <v>22.8</v>
      </c>
      <c r="F23" s="14"/>
      <c r="G23" s="14"/>
      <c r="H23" s="15">
        <v>0.011</v>
      </c>
      <c r="I23" s="3">
        <v>0.04</v>
      </c>
    </row>
    <row r="26" s="1" customFormat="1" ht="18.75" customHeight="1" spans="7:9">
      <c r="G26" s="4" t="s">
        <v>273</v>
      </c>
      <c r="H26" s="4"/>
      <c r="I26" s="23"/>
    </row>
    <row r="27" ht="39" customHeight="1" spans="1:9">
      <c r="A27" s="5" t="s">
        <v>274</v>
      </c>
      <c r="B27" s="5"/>
      <c r="C27" s="6" t="s">
        <v>289</v>
      </c>
      <c r="D27" s="7"/>
      <c r="E27" s="7"/>
      <c r="F27" s="7"/>
      <c r="G27" s="7"/>
      <c r="H27" s="8"/>
      <c r="I27" s="3" t="s">
        <v>276</v>
      </c>
    </row>
    <row r="28" ht="34.5" customHeight="1" spans="1:9">
      <c r="A28" s="5"/>
      <c r="B28" s="5"/>
      <c r="C28" s="9" t="s">
        <v>277</v>
      </c>
      <c r="D28" s="9" t="s">
        <v>278</v>
      </c>
      <c r="E28" s="9" t="s">
        <v>279</v>
      </c>
      <c r="F28" s="10" t="s">
        <v>280</v>
      </c>
      <c r="G28" s="10" t="s">
        <v>281</v>
      </c>
      <c r="H28" s="10" t="s">
        <v>282</v>
      </c>
      <c r="I28" s="22">
        <f>材料成本!F23</f>
        <v>0</v>
      </c>
    </row>
    <row r="29" ht="24" customHeight="1" spans="1:9">
      <c r="A29" s="11" t="s">
        <v>283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284</v>
      </c>
      <c r="B30" s="11" t="s">
        <v>285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286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287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93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288</v>
      </c>
      <c r="B34" s="11" t="s">
        <v>285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286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96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273</v>
      </c>
      <c r="H39" s="4"/>
      <c r="I39" s="23"/>
    </row>
    <row r="40" ht="39" customHeight="1" spans="1:9">
      <c r="A40" s="5" t="s">
        <v>274</v>
      </c>
      <c r="B40" s="5"/>
      <c r="C40" s="6" t="s">
        <v>289</v>
      </c>
      <c r="D40" s="7"/>
      <c r="E40" s="7"/>
      <c r="F40" s="7"/>
      <c r="G40" s="7"/>
      <c r="H40" s="8"/>
      <c r="I40" s="3" t="s">
        <v>276</v>
      </c>
    </row>
    <row r="41" ht="34.5" customHeight="1" spans="1:9">
      <c r="A41" s="5"/>
      <c r="B41" s="5"/>
      <c r="C41" s="9" t="s">
        <v>277</v>
      </c>
      <c r="D41" s="9" t="s">
        <v>278</v>
      </c>
      <c r="E41" s="9" t="s">
        <v>279</v>
      </c>
      <c r="F41" s="10" t="s">
        <v>280</v>
      </c>
      <c r="G41" s="10" t="s">
        <v>281</v>
      </c>
      <c r="H41" s="10" t="s">
        <v>282</v>
      </c>
      <c r="I41" s="22"/>
    </row>
    <row r="42" ht="24" customHeight="1" spans="1:9">
      <c r="A42" s="11" t="s">
        <v>283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284</v>
      </c>
      <c r="B43" s="11" t="s">
        <v>285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286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287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93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288</v>
      </c>
      <c r="B47" s="11" t="s">
        <v>285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286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96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273</v>
      </c>
      <c r="H52" s="4"/>
      <c r="I52" s="23"/>
    </row>
    <row r="53" ht="39" customHeight="1" spans="1:9">
      <c r="A53" s="5" t="s">
        <v>274</v>
      </c>
      <c r="B53" s="5"/>
      <c r="C53" s="6" t="s">
        <v>289</v>
      </c>
      <c r="D53" s="7"/>
      <c r="E53" s="7"/>
      <c r="F53" s="7"/>
      <c r="G53" s="7"/>
      <c r="H53" s="8"/>
      <c r="I53" s="3" t="s">
        <v>276</v>
      </c>
    </row>
    <row r="54" ht="34.5" customHeight="1" spans="1:9">
      <c r="A54" s="5"/>
      <c r="B54" s="5"/>
      <c r="C54" s="9" t="s">
        <v>277</v>
      </c>
      <c r="D54" s="9" t="s">
        <v>278</v>
      </c>
      <c r="E54" s="9" t="s">
        <v>279</v>
      </c>
      <c r="F54" s="10" t="s">
        <v>280</v>
      </c>
      <c r="G54" s="10" t="s">
        <v>281</v>
      </c>
      <c r="H54" s="10" t="s">
        <v>282</v>
      </c>
      <c r="I54" s="22"/>
    </row>
    <row r="55" ht="24" customHeight="1" spans="1:9">
      <c r="A55" s="11" t="s">
        <v>283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284</v>
      </c>
      <c r="B56" s="11" t="s">
        <v>285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286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287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93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288</v>
      </c>
      <c r="B60" s="11" t="s">
        <v>285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286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96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273</v>
      </c>
      <c r="H65" s="4"/>
      <c r="I65" s="23"/>
    </row>
    <row r="66" ht="39" customHeight="1" spans="1:9">
      <c r="A66" s="5" t="s">
        <v>274</v>
      </c>
      <c r="B66" s="5"/>
      <c r="C66" s="6" t="s">
        <v>289</v>
      </c>
      <c r="D66" s="7"/>
      <c r="E66" s="7"/>
      <c r="F66" s="7"/>
      <c r="G66" s="7"/>
      <c r="H66" s="8"/>
      <c r="I66" s="3" t="s">
        <v>276</v>
      </c>
    </row>
    <row r="67" ht="34.5" customHeight="1" spans="1:9">
      <c r="A67" s="5"/>
      <c r="B67" s="5"/>
      <c r="C67" s="9" t="s">
        <v>277</v>
      </c>
      <c r="D67" s="9" t="s">
        <v>278</v>
      </c>
      <c r="E67" s="9" t="s">
        <v>279</v>
      </c>
      <c r="F67" s="10" t="s">
        <v>280</v>
      </c>
      <c r="G67" s="10" t="s">
        <v>281</v>
      </c>
      <c r="H67" s="10" t="s">
        <v>282</v>
      </c>
      <c r="I67" s="22"/>
    </row>
    <row r="68" ht="24" customHeight="1" spans="1:9">
      <c r="A68" s="11" t="s">
        <v>283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284</v>
      </c>
      <c r="B69" s="11" t="s">
        <v>285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286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287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93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288</v>
      </c>
      <c r="B73" s="11" t="s">
        <v>285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286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96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273</v>
      </c>
      <c r="H78" s="4"/>
      <c r="I78" s="23"/>
    </row>
    <row r="79" ht="39" customHeight="1" spans="1:9">
      <c r="A79" s="5" t="s">
        <v>274</v>
      </c>
      <c r="B79" s="5"/>
      <c r="C79" s="6" t="s">
        <v>289</v>
      </c>
      <c r="D79" s="7"/>
      <c r="E79" s="7"/>
      <c r="F79" s="7"/>
      <c r="G79" s="7"/>
      <c r="H79" s="8"/>
      <c r="I79" s="3" t="s">
        <v>276</v>
      </c>
    </row>
    <row r="80" ht="34.5" customHeight="1" spans="1:9">
      <c r="A80" s="5"/>
      <c r="B80" s="5"/>
      <c r="C80" s="9" t="s">
        <v>277</v>
      </c>
      <c r="D80" s="9" t="s">
        <v>278</v>
      </c>
      <c r="E80" s="9" t="s">
        <v>279</v>
      </c>
      <c r="F80" s="10" t="s">
        <v>280</v>
      </c>
      <c r="G80" s="10" t="s">
        <v>281</v>
      </c>
      <c r="H80" s="10" t="s">
        <v>282</v>
      </c>
      <c r="I80" s="22"/>
    </row>
    <row r="81" ht="24" customHeight="1" spans="1:9">
      <c r="A81" s="11" t="s">
        <v>283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284</v>
      </c>
      <c r="B82" s="11" t="s">
        <v>285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286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287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93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288</v>
      </c>
      <c r="B86" s="11" t="s">
        <v>285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286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96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273</v>
      </c>
      <c r="H91" s="4"/>
      <c r="I91" s="23"/>
    </row>
    <row r="92" ht="39" customHeight="1" spans="1:9">
      <c r="A92" s="5" t="s">
        <v>274</v>
      </c>
      <c r="B92" s="5"/>
      <c r="C92" s="6" t="s">
        <v>289</v>
      </c>
      <c r="D92" s="7"/>
      <c r="E92" s="7"/>
      <c r="F92" s="7"/>
      <c r="G92" s="7"/>
      <c r="H92" s="8"/>
      <c r="I92" s="3" t="s">
        <v>276</v>
      </c>
    </row>
    <row r="93" ht="34.5" customHeight="1" spans="1:9">
      <c r="A93" s="5"/>
      <c r="B93" s="5"/>
      <c r="C93" s="9" t="s">
        <v>277</v>
      </c>
      <c r="D93" s="9" t="s">
        <v>278</v>
      </c>
      <c r="E93" s="9" t="s">
        <v>279</v>
      </c>
      <c r="F93" s="10" t="s">
        <v>280</v>
      </c>
      <c r="G93" s="10" t="s">
        <v>281</v>
      </c>
      <c r="H93" s="10" t="s">
        <v>282</v>
      </c>
      <c r="I93" s="22"/>
    </row>
    <row r="94" ht="24" customHeight="1" spans="1:9">
      <c r="A94" s="11" t="s">
        <v>283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284</v>
      </c>
      <c r="B95" s="11" t="s">
        <v>285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286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287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93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288</v>
      </c>
      <c r="B99" s="11" t="s">
        <v>285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286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96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273</v>
      </c>
      <c r="H104" s="4"/>
      <c r="I104" s="23"/>
    </row>
    <row r="105" ht="39" customHeight="1" spans="1:9">
      <c r="A105" s="5" t="s">
        <v>274</v>
      </c>
      <c r="B105" s="5"/>
      <c r="C105" s="6" t="s">
        <v>289</v>
      </c>
      <c r="D105" s="7"/>
      <c r="E105" s="7"/>
      <c r="F105" s="7"/>
      <c r="G105" s="7"/>
      <c r="H105" s="8"/>
      <c r="I105" s="3" t="s">
        <v>276</v>
      </c>
    </row>
    <row r="106" ht="34.5" customHeight="1" spans="1:9">
      <c r="A106" s="5"/>
      <c r="B106" s="5"/>
      <c r="C106" s="9" t="s">
        <v>277</v>
      </c>
      <c r="D106" s="9" t="s">
        <v>278</v>
      </c>
      <c r="E106" s="9" t="s">
        <v>279</v>
      </c>
      <c r="F106" s="10" t="s">
        <v>280</v>
      </c>
      <c r="G106" s="10" t="s">
        <v>281</v>
      </c>
      <c r="H106" s="10" t="s">
        <v>282</v>
      </c>
      <c r="I106" s="22"/>
    </row>
    <row r="107" ht="24" customHeight="1" spans="1:9">
      <c r="A107" s="11" t="s">
        <v>283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284</v>
      </c>
      <c r="B108" s="11" t="s">
        <v>285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286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287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93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288</v>
      </c>
      <c r="B112" s="11" t="s">
        <v>285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286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96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273</v>
      </c>
      <c r="H117" s="4"/>
      <c r="I117" s="23"/>
    </row>
    <row r="118" ht="39" customHeight="1" spans="1:9">
      <c r="A118" s="5" t="s">
        <v>274</v>
      </c>
      <c r="B118" s="5"/>
      <c r="C118" s="6" t="s">
        <v>289</v>
      </c>
      <c r="D118" s="7"/>
      <c r="E118" s="7"/>
      <c r="F118" s="7"/>
      <c r="G118" s="7"/>
      <c r="H118" s="8"/>
      <c r="I118" s="3" t="s">
        <v>276</v>
      </c>
    </row>
    <row r="119" ht="34.5" customHeight="1" spans="1:9">
      <c r="A119" s="5"/>
      <c r="B119" s="5"/>
      <c r="C119" s="9" t="s">
        <v>277</v>
      </c>
      <c r="D119" s="9" t="s">
        <v>278</v>
      </c>
      <c r="E119" s="9" t="s">
        <v>279</v>
      </c>
      <c r="F119" s="10" t="s">
        <v>280</v>
      </c>
      <c r="G119" s="10" t="s">
        <v>281</v>
      </c>
      <c r="H119" s="10" t="s">
        <v>282</v>
      </c>
      <c r="I119" s="22"/>
    </row>
    <row r="120" ht="24" customHeight="1" spans="1:9">
      <c r="A120" s="11" t="s">
        <v>283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284</v>
      </c>
      <c r="B121" s="11" t="s">
        <v>285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286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287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93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288</v>
      </c>
      <c r="B125" s="11" t="s">
        <v>285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286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96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9" customWidth="1"/>
    <col min="2" max="2" width="28.5" style="219" customWidth="1"/>
    <col min="3" max="4" width="9.12727272727273" style="219"/>
    <col min="5" max="5" width="13.8727272727273" style="219" customWidth="1"/>
    <col min="6" max="12" width="16.1272727272727" style="219" customWidth="1"/>
    <col min="13" max="13" width="10.6272727272727" style="219" customWidth="1"/>
    <col min="14" max="254" width="9.12727272727273" style="219"/>
    <col min="255" max="255" width="8" style="219" customWidth="1"/>
    <col min="256" max="256" width="28.5" style="219" customWidth="1"/>
    <col min="257" max="268" width="9.12727272727273" style="219"/>
    <col min="269" max="269" width="10.6272727272727" style="219" customWidth="1"/>
    <col min="270" max="510" width="9.12727272727273" style="219"/>
    <col min="511" max="511" width="8" style="219" customWidth="1"/>
    <col min="512" max="512" width="28.5" style="219" customWidth="1"/>
    <col min="513" max="524" width="9.12727272727273" style="219"/>
    <col min="525" max="525" width="10.6272727272727" style="219" customWidth="1"/>
    <col min="526" max="766" width="9.12727272727273" style="219"/>
    <col min="767" max="767" width="8" style="219" customWidth="1"/>
    <col min="768" max="768" width="28.5" style="219" customWidth="1"/>
    <col min="769" max="780" width="9.12727272727273" style="219"/>
    <col min="781" max="781" width="10.6272727272727" style="219" customWidth="1"/>
    <col min="782" max="1022" width="9.12727272727273" style="219"/>
    <col min="1023" max="1023" width="8" style="219" customWidth="1"/>
    <col min="1024" max="1024" width="28.5" style="219" customWidth="1"/>
    <col min="1025" max="1036" width="9.12727272727273" style="219"/>
    <col min="1037" max="1037" width="10.6272727272727" style="219" customWidth="1"/>
    <col min="1038" max="1278" width="9.12727272727273" style="219"/>
    <col min="1279" max="1279" width="8" style="219" customWidth="1"/>
    <col min="1280" max="1280" width="28.5" style="219" customWidth="1"/>
    <col min="1281" max="1292" width="9.12727272727273" style="219"/>
    <col min="1293" max="1293" width="10.6272727272727" style="219" customWidth="1"/>
    <col min="1294" max="1534" width="9.12727272727273" style="219"/>
    <col min="1535" max="1535" width="8" style="219" customWidth="1"/>
    <col min="1536" max="1536" width="28.5" style="219" customWidth="1"/>
    <col min="1537" max="1548" width="9.12727272727273" style="219"/>
    <col min="1549" max="1549" width="10.6272727272727" style="219" customWidth="1"/>
    <col min="1550" max="1790" width="9.12727272727273" style="219"/>
    <col min="1791" max="1791" width="8" style="219" customWidth="1"/>
    <col min="1792" max="1792" width="28.5" style="219" customWidth="1"/>
    <col min="1793" max="1804" width="9.12727272727273" style="219"/>
    <col min="1805" max="1805" width="10.6272727272727" style="219" customWidth="1"/>
    <col min="1806" max="2046" width="9.12727272727273" style="219"/>
    <col min="2047" max="2047" width="8" style="219" customWidth="1"/>
    <col min="2048" max="2048" width="28.5" style="219" customWidth="1"/>
    <col min="2049" max="2060" width="9.12727272727273" style="219"/>
    <col min="2061" max="2061" width="10.6272727272727" style="219" customWidth="1"/>
    <col min="2062" max="2302" width="9.12727272727273" style="219"/>
    <col min="2303" max="2303" width="8" style="219" customWidth="1"/>
    <col min="2304" max="2304" width="28.5" style="219" customWidth="1"/>
    <col min="2305" max="2316" width="9.12727272727273" style="219"/>
    <col min="2317" max="2317" width="10.6272727272727" style="219" customWidth="1"/>
    <col min="2318" max="2558" width="9.12727272727273" style="219"/>
    <col min="2559" max="2559" width="8" style="219" customWidth="1"/>
    <col min="2560" max="2560" width="28.5" style="219" customWidth="1"/>
    <col min="2561" max="2572" width="9.12727272727273" style="219"/>
    <col min="2573" max="2573" width="10.6272727272727" style="219" customWidth="1"/>
    <col min="2574" max="2814" width="9.12727272727273" style="219"/>
    <col min="2815" max="2815" width="8" style="219" customWidth="1"/>
    <col min="2816" max="2816" width="28.5" style="219" customWidth="1"/>
    <col min="2817" max="2828" width="9.12727272727273" style="219"/>
    <col min="2829" max="2829" width="10.6272727272727" style="219" customWidth="1"/>
    <col min="2830" max="3070" width="9.12727272727273" style="219"/>
    <col min="3071" max="3071" width="8" style="219" customWidth="1"/>
    <col min="3072" max="3072" width="28.5" style="219" customWidth="1"/>
    <col min="3073" max="3084" width="9.12727272727273" style="219"/>
    <col min="3085" max="3085" width="10.6272727272727" style="219" customWidth="1"/>
    <col min="3086" max="3326" width="9.12727272727273" style="219"/>
    <col min="3327" max="3327" width="8" style="219" customWidth="1"/>
    <col min="3328" max="3328" width="28.5" style="219" customWidth="1"/>
    <col min="3329" max="3340" width="9.12727272727273" style="219"/>
    <col min="3341" max="3341" width="10.6272727272727" style="219" customWidth="1"/>
    <col min="3342" max="3582" width="9.12727272727273" style="219"/>
    <col min="3583" max="3583" width="8" style="219" customWidth="1"/>
    <col min="3584" max="3584" width="28.5" style="219" customWidth="1"/>
    <col min="3585" max="3596" width="9.12727272727273" style="219"/>
    <col min="3597" max="3597" width="10.6272727272727" style="219" customWidth="1"/>
    <col min="3598" max="3838" width="9.12727272727273" style="219"/>
    <col min="3839" max="3839" width="8" style="219" customWidth="1"/>
    <col min="3840" max="3840" width="28.5" style="219" customWidth="1"/>
    <col min="3841" max="3852" width="9.12727272727273" style="219"/>
    <col min="3853" max="3853" width="10.6272727272727" style="219" customWidth="1"/>
    <col min="3854" max="4094" width="9.12727272727273" style="219"/>
    <col min="4095" max="4095" width="8" style="219" customWidth="1"/>
    <col min="4096" max="4096" width="28.5" style="219" customWidth="1"/>
    <col min="4097" max="4108" width="9.12727272727273" style="219"/>
    <col min="4109" max="4109" width="10.6272727272727" style="219" customWidth="1"/>
    <col min="4110" max="4350" width="9.12727272727273" style="219"/>
    <col min="4351" max="4351" width="8" style="219" customWidth="1"/>
    <col min="4352" max="4352" width="28.5" style="219" customWidth="1"/>
    <col min="4353" max="4364" width="9.12727272727273" style="219"/>
    <col min="4365" max="4365" width="10.6272727272727" style="219" customWidth="1"/>
    <col min="4366" max="4606" width="9.12727272727273" style="219"/>
    <col min="4607" max="4607" width="8" style="219" customWidth="1"/>
    <col min="4608" max="4608" width="28.5" style="219" customWidth="1"/>
    <col min="4609" max="4620" width="9.12727272727273" style="219"/>
    <col min="4621" max="4621" width="10.6272727272727" style="219" customWidth="1"/>
    <col min="4622" max="4862" width="9.12727272727273" style="219"/>
    <col min="4863" max="4863" width="8" style="219" customWidth="1"/>
    <col min="4864" max="4864" width="28.5" style="219" customWidth="1"/>
    <col min="4865" max="4876" width="9.12727272727273" style="219"/>
    <col min="4877" max="4877" width="10.6272727272727" style="219" customWidth="1"/>
    <col min="4878" max="5118" width="9.12727272727273" style="219"/>
    <col min="5119" max="5119" width="8" style="219" customWidth="1"/>
    <col min="5120" max="5120" width="28.5" style="219" customWidth="1"/>
    <col min="5121" max="5132" width="9.12727272727273" style="219"/>
    <col min="5133" max="5133" width="10.6272727272727" style="219" customWidth="1"/>
    <col min="5134" max="5374" width="9.12727272727273" style="219"/>
    <col min="5375" max="5375" width="8" style="219" customWidth="1"/>
    <col min="5376" max="5376" width="28.5" style="219" customWidth="1"/>
    <col min="5377" max="5388" width="9.12727272727273" style="219"/>
    <col min="5389" max="5389" width="10.6272727272727" style="219" customWidth="1"/>
    <col min="5390" max="5630" width="9.12727272727273" style="219"/>
    <col min="5631" max="5631" width="8" style="219" customWidth="1"/>
    <col min="5632" max="5632" width="28.5" style="219" customWidth="1"/>
    <col min="5633" max="5644" width="9.12727272727273" style="219"/>
    <col min="5645" max="5645" width="10.6272727272727" style="219" customWidth="1"/>
    <col min="5646" max="5886" width="9.12727272727273" style="219"/>
    <col min="5887" max="5887" width="8" style="219" customWidth="1"/>
    <col min="5888" max="5888" width="28.5" style="219" customWidth="1"/>
    <col min="5889" max="5900" width="9.12727272727273" style="219"/>
    <col min="5901" max="5901" width="10.6272727272727" style="219" customWidth="1"/>
    <col min="5902" max="6142" width="9.12727272727273" style="219"/>
    <col min="6143" max="6143" width="8" style="219" customWidth="1"/>
    <col min="6144" max="6144" width="28.5" style="219" customWidth="1"/>
    <col min="6145" max="6156" width="9.12727272727273" style="219"/>
    <col min="6157" max="6157" width="10.6272727272727" style="219" customWidth="1"/>
    <col min="6158" max="6398" width="9.12727272727273" style="219"/>
    <col min="6399" max="6399" width="8" style="219" customWidth="1"/>
    <col min="6400" max="6400" width="28.5" style="219" customWidth="1"/>
    <col min="6401" max="6412" width="9.12727272727273" style="219"/>
    <col min="6413" max="6413" width="10.6272727272727" style="219" customWidth="1"/>
    <col min="6414" max="6654" width="9.12727272727273" style="219"/>
    <col min="6655" max="6655" width="8" style="219" customWidth="1"/>
    <col min="6656" max="6656" width="28.5" style="219" customWidth="1"/>
    <col min="6657" max="6668" width="9.12727272727273" style="219"/>
    <col min="6669" max="6669" width="10.6272727272727" style="219" customWidth="1"/>
    <col min="6670" max="6910" width="9.12727272727273" style="219"/>
    <col min="6911" max="6911" width="8" style="219" customWidth="1"/>
    <col min="6912" max="6912" width="28.5" style="219" customWidth="1"/>
    <col min="6913" max="6924" width="9.12727272727273" style="219"/>
    <col min="6925" max="6925" width="10.6272727272727" style="219" customWidth="1"/>
    <col min="6926" max="7166" width="9.12727272727273" style="219"/>
    <col min="7167" max="7167" width="8" style="219" customWidth="1"/>
    <col min="7168" max="7168" width="28.5" style="219" customWidth="1"/>
    <col min="7169" max="7180" width="9.12727272727273" style="219"/>
    <col min="7181" max="7181" width="10.6272727272727" style="219" customWidth="1"/>
    <col min="7182" max="7422" width="9.12727272727273" style="219"/>
    <col min="7423" max="7423" width="8" style="219" customWidth="1"/>
    <col min="7424" max="7424" width="28.5" style="219" customWidth="1"/>
    <col min="7425" max="7436" width="9.12727272727273" style="219"/>
    <col min="7437" max="7437" width="10.6272727272727" style="219" customWidth="1"/>
    <col min="7438" max="7678" width="9.12727272727273" style="219"/>
    <col min="7679" max="7679" width="8" style="219" customWidth="1"/>
    <col min="7680" max="7680" width="28.5" style="219" customWidth="1"/>
    <col min="7681" max="7692" width="9.12727272727273" style="219"/>
    <col min="7693" max="7693" width="10.6272727272727" style="219" customWidth="1"/>
    <col min="7694" max="7934" width="9.12727272727273" style="219"/>
    <col min="7935" max="7935" width="8" style="219" customWidth="1"/>
    <col min="7936" max="7936" width="28.5" style="219" customWidth="1"/>
    <col min="7937" max="7948" width="9.12727272727273" style="219"/>
    <col min="7949" max="7949" width="10.6272727272727" style="219" customWidth="1"/>
    <col min="7950" max="8190" width="9.12727272727273" style="219"/>
    <col min="8191" max="8191" width="8" style="219" customWidth="1"/>
    <col min="8192" max="8192" width="28.5" style="219" customWidth="1"/>
    <col min="8193" max="8204" width="9.12727272727273" style="219"/>
    <col min="8205" max="8205" width="10.6272727272727" style="219" customWidth="1"/>
    <col min="8206" max="8446" width="9.12727272727273" style="219"/>
    <col min="8447" max="8447" width="8" style="219" customWidth="1"/>
    <col min="8448" max="8448" width="28.5" style="219" customWidth="1"/>
    <col min="8449" max="8460" width="9.12727272727273" style="219"/>
    <col min="8461" max="8461" width="10.6272727272727" style="219" customWidth="1"/>
    <col min="8462" max="8702" width="9.12727272727273" style="219"/>
    <col min="8703" max="8703" width="8" style="219" customWidth="1"/>
    <col min="8704" max="8704" width="28.5" style="219" customWidth="1"/>
    <col min="8705" max="8716" width="9.12727272727273" style="219"/>
    <col min="8717" max="8717" width="10.6272727272727" style="219" customWidth="1"/>
    <col min="8718" max="8958" width="9.12727272727273" style="219"/>
    <col min="8959" max="8959" width="8" style="219" customWidth="1"/>
    <col min="8960" max="8960" width="28.5" style="219" customWidth="1"/>
    <col min="8961" max="8972" width="9.12727272727273" style="219"/>
    <col min="8973" max="8973" width="10.6272727272727" style="219" customWidth="1"/>
    <col min="8974" max="9214" width="9.12727272727273" style="219"/>
    <col min="9215" max="9215" width="8" style="219" customWidth="1"/>
    <col min="9216" max="9216" width="28.5" style="219" customWidth="1"/>
    <col min="9217" max="9228" width="9.12727272727273" style="219"/>
    <col min="9229" max="9229" width="10.6272727272727" style="219" customWidth="1"/>
    <col min="9230" max="9470" width="9.12727272727273" style="219"/>
    <col min="9471" max="9471" width="8" style="219" customWidth="1"/>
    <col min="9472" max="9472" width="28.5" style="219" customWidth="1"/>
    <col min="9473" max="9484" width="9.12727272727273" style="219"/>
    <col min="9485" max="9485" width="10.6272727272727" style="219" customWidth="1"/>
    <col min="9486" max="9726" width="9.12727272727273" style="219"/>
    <col min="9727" max="9727" width="8" style="219" customWidth="1"/>
    <col min="9728" max="9728" width="28.5" style="219" customWidth="1"/>
    <col min="9729" max="9740" width="9.12727272727273" style="219"/>
    <col min="9741" max="9741" width="10.6272727272727" style="219" customWidth="1"/>
    <col min="9742" max="9982" width="9.12727272727273" style="219"/>
    <col min="9983" max="9983" width="8" style="219" customWidth="1"/>
    <col min="9984" max="9984" width="28.5" style="219" customWidth="1"/>
    <col min="9985" max="9996" width="9.12727272727273" style="219"/>
    <col min="9997" max="9997" width="10.6272727272727" style="219" customWidth="1"/>
    <col min="9998" max="10238" width="9.12727272727273" style="219"/>
    <col min="10239" max="10239" width="8" style="219" customWidth="1"/>
    <col min="10240" max="10240" width="28.5" style="219" customWidth="1"/>
    <col min="10241" max="10252" width="9.12727272727273" style="219"/>
    <col min="10253" max="10253" width="10.6272727272727" style="219" customWidth="1"/>
    <col min="10254" max="10494" width="9.12727272727273" style="219"/>
    <col min="10495" max="10495" width="8" style="219" customWidth="1"/>
    <col min="10496" max="10496" width="28.5" style="219" customWidth="1"/>
    <col min="10497" max="10508" width="9.12727272727273" style="219"/>
    <col min="10509" max="10509" width="10.6272727272727" style="219" customWidth="1"/>
    <col min="10510" max="10750" width="9.12727272727273" style="219"/>
    <col min="10751" max="10751" width="8" style="219" customWidth="1"/>
    <col min="10752" max="10752" width="28.5" style="219" customWidth="1"/>
    <col min="10753" max="10764" width="9.12727272727273" style="219"/>
    <col min="10765" max="10765" width="10.6272727272727" style="219" customWidth="1"/>
    <col min="10766" max="11006" width="9.12727272727273" style="219"/>
    <col min="11007" max="11007" width="8" style="219" customWidth="1"/>
    <col min="11008" max="11008" width="28.5" style="219" customWidth="1"/>
    <col min="11009" max="11020" width="9.12727272727273" style="219"/>
    <col min="11021" max="11021" width="10.6272727272727" style="219" customWidth="1"/>
    <col min="11022" max="11262" width="9.12727272727273" style="219"/>
    <col min="11263" max="11263" width="8" style="219" customWidth="1"/>
    <col min="11264" max="11264" width="28.5" style="219" customWidth="1"/>
    <col min="11265" max="11276" width="9.12727272727273" style="219"/>
    <col min="11277" max="11277" width="10.6272727272727" style="219" customWidth="1"/>
    <col min="11278" max="11518" width="9.12727272727273" style="219"/>
    <col min="11519" max="11519" width="8" style="219" customWidth="1"/>
    <col min="11520" max="11520" width="28.5" style="219" customWidth="1"/>
    <col min="11521" max="11532" width="9.12727272727273" style="219"/>
    <col min="11533" max="11533" width="10.6272727272727" style="219" customWidth="1"/>
    <col min="11534" max="11774" width="9.12727272727273" style="219"/>
    <col min="11775" max="11775" width="8" style="219" customWidth="1"/>
    <col min="11776" max="11776" width="28.5" style="219" customWidth="1"/>
    <col min="11777" max="11788" width="9.12727272727273" style="219"/>
    <col min="11789" max="11789" width="10.6272727272727" style="219" customWidth="1"/>
    <col min="11790" max="12030" width="9.12727272727273" style="219"/>
    <col min="12031" max="12031" width="8" style="219" customWidth="1"/>
    <col min="12032" max="12032" width="28.5" style="219" customWidth="1"/>
    <col min="12033" max="12044" width="9.12727272727273" style="219"/>
    <col min="12045" max="12045" width="10.6272727272727" style="219" customWidth="1"/>
    <col min="12046" max="12286" width="9.12727272727273" style="219"/>
    <col min="12287" max="12287" width="8" style="219" customWidth="1"/>
    <col min="12288" max="12288" width="28.5" style="219" customWidth="1"/>
    <col min="12289" max="12300" width="9.12727272727273" style="219"/>
    <col min="12301" max="12301" width="10.6272727272727" style="219" customWidth="1"/>
    <col min="12302" max="12542" width="9.12727272727273" style="219"/>
    <col min="12543" max="12543" width="8" style="219" customWidth="1"/>
    <col min="12544" max="12544" width="28.5" style="219" customWidth="1"/>
    <col min="12545" max="12556" width="9.12727272727273" style="219"/>
    <col min="12557" max="12557" width="10.6272727272727" style="219" customWidth="1"/>
    <col min="12558" max="12798" width="9.12727272727273" style="219"/>
    <col min="12799" max="12799" width="8" style="219" customWidth="1"/>
    <col min="12800" max="12800" width="28.5" style="219" customWidth="1"/>
    <col min="12801" max="12812" width="9.12727272727273" style="219"/>
    <col min="12813" max="12813" width="10.6272727272727" style="219" customWidth="1"/>
    <col min="12814" max="13054" width="9.12727272727273" style="219"/>
    <col min="13055" max="13055" width="8" style="219" customWidth="1"/>
    <col min="13056" max="13056" width="28.5" style="219" customWidth="1"/>
    <col min="13057" max="13068" width="9.12727272727273" style="219"/>
    <col min="13069" max="13069" width="10.6272727272727" style="219" customWidth="1"/>
    <col min="13070" max="13310" width="9.12727272727273" style="219"/>
    <col min="13311" max="13311" width="8" style="219" customWidth="1"/>
    <col min="13312" max="13312" width="28.5" style="219" customWidth="1"/>
    <col min="13313" max="13324" width="9.12727272727273" style="219"/>
    <col min="13325" max="13325" width="10.6272727272727" style="219" customWidth="1"/>
    <col min="13326" max="13566" width="9.12727272727273" style="219"/>
    <col min="13567" max="13567" width="8" style="219" customWidth="1"/>
    <col min="13568" max="13568" width="28.5" style="219" customWidth="1"/>
    <col min="13569" max="13580" width="9.12727272727273" style="219"/>
    <col min="13581" max="13581" width="10.6272727272727" style="219" customWidth="1"/>
    <col min="13582" max="13822" width="9.12727272727273" style="219"/>
    <col min="13823" max="13823" width="8" style="219" customWidth="1"/>
    <col min="13824" max="13824" width="28.5" style="219" customWidth="1"/>
    <col min="13825" max="13836" width="9.12727272727273" style="219"/>
    <col min="13837" max="13837" width="10.6272727272727" style="219" customWidth="1"/>
    <col min="13838" max="14078" width="9.12727272727273" style="219"/>
    <col min="14079" max="14079" width="8" style="219" customWidth="1"/>
    <col min="14080" max="14080" width="28.5" style="219" customWidth="1"/>
    <col min="14081" max="14092" width="9.12727272727273" style="219"/>
    <col min="14093" max="14093" width="10.6272727272727" style="219" customWidth="1"/>
    <col min="14094" max="14334" width="9.12727272727273" style="219"/>
    <col min="14335" max="14335" width="8" style="219" customWidth="1"/>
    <col min="14336" max="14336" width="28.5" style="219" customWidth="1"/>
    <col min="14337" max="14348" width="9.12727272727273" style="219"/>
    <col min="14349" max="14349" width="10.6272727272727" style="219" customWidth="1"/>
    <col min="14350" max="14590" width="9.12727272727273" style="219"/>
    <col min="14591" max="14591" width="8" style="219" customWidth="1"/>
    <col min="14592" max="14592" width="28.5" style="219" customWidth="1"/>
    <col min="14593" max="14604" width="9.12727272727273" style="219"/>
    <col min="14605" max="14605" width="10.6272727272727" style="219" customWidth="1"/>
    <col min="14606" max="14846" width="9.12727272727273" style="219"/>
    <col min="14847" max="14847" width="8" style="219" customWidth="1"/>
    <col min="14848" max="14848" width="28.5" style="219" customWidth="1"/>
    <col min="14849" max="14860" width="9.12727272727273" style="219"/>
    <col min="14861" max="14861" width="10.6272727272727" style="219" customWidth="1"/>
    <col min="14862" max="15102" width="9.12727272727273" style="219"/>
    <col min="15103" max="15103" width="8" style="219" customWidth="1"/>
    <col min="15104" max="15104" width="28.5" style="219" customWidth="1"/>
    <col min="15105" max="15116" width="9.12727272727273" style="219"/>
    <col min="15117" max="15117" width="10.6272727272727" style="219" customWidth="1"/>
    <col min="15118" max="15358" width="9.12727272727273" style="219"/>
    <col min="15359" max="15359" width="8" style="219" customWidth="1"/>
    <col min="15360" max="15360" width="28.5" style="219" customWidth="1"/>
    <col min="15361" max="15372" width="9.12727272727273" style="219"/>
    <col min="15373" max="15373" width="10.6272727272727" style="219" customWidth="1"/>
    <col min="15374" max="15614" width="9.12727272727273" style="219"/>
    <col min="15615" max="15615" width="8" style="219" customWidth="1"/>
    <col min="15616" max="15616" width="28.5" style="219" customWidth="1"/>
    <col min="15617" max="15628" width="9.12727272727273" style="219"/>
    <col min="15629" max="15629" width="10.6272727272727" style="219" customWidth="1"/>
    <col min="15630" max="15870" width="9.12727272727273" style="219"/>
    <col min="15871" max="15871" width="8" style="219" customWidth="1"/>
    <col min="15872" max="15872" width="28.5" style="219" customWidth="1"/>
    <col min="15873" max="15884" width="9.12727272727273" style="219"/>
    <col min="15885" max="15885" width="10.6272727272727" style="219" customWidth="1"/>
    <col min="15886" max="16126" width="9.12727272727273" style="219"/>
    <col min="16127" max="16127" width="8" style="219" customWidth="1"/>
    <col min="16128" max="16128" width="28.5" style="219" customWidth="1"/>
    <col min="16129" max="16140" width="9.12727272727273" style="219"/>
    <col min="16141" max="16141" width="10.6272727272727" style="219" customWidth="1"/>
    <col min="16142" max="16384" width="9.12727272727273" style="219"/>
  </cols>
  <sheetData>
    <row r="1" ht="17.5" spans="1:13">
      <c r="A1" s="220" t="s">
        <v>19</v>
      </c>
      <c r="B1" s="221"/>
      <c r="C1" s="222"/>
      <c r="D1" s="222"/>
      <c r="E1" s="221"/>
      <c r="F1" s="222"/>
      <c r="G1" s="222"/>
      <c r="H1" s="221"/>
      <c r="I1" s="222"/>
      <c r="J1" s="222"/>
      <c r="K1" s="222"/>
      <c r="L1" s="222"/>
      <c r="M1" s="222"/>
    </row>
    <row r="2" ht="14" spans="1:2">
      <c r="A2" s="219" t="s">
        <v>20</v>
      </c>
      <c r="B2" s="223"/>
    </row>
    <row r="3" ht="16.9" customHeight="1" spans="1:13">
      <c r="A3" s="224" t="s">
        <v>21</v>
      </c>
      <c r="B3" s="224" t="s">
        <v>22</v>
      </c>
      <c r="C3" s="225" t="s">
        <v>23</v>
      </c>
      <c r="D3" s="225"/>
      <c r="E3" s="225"/>
      <c r="F3" s="226"/>
      <c r="G3" s="227"/>
      <c r="H3" s="228"/>
      <c r="I3" s="228"/>
      <c r="J3" s="228" t="s">
        <v>24</v>
      </c>
      <c r="K3" s="228"/>
      <c r="L3" s="228"/>
      <c r="M3" s="249"/>
    </row>
    <row r="4" ht="16.15" customHeight="1" spans="1:13">
      <c r="A4" s="229"/>
      <c r="B4" s="229" t="s">
        <v>25</v>
      </c>
      <c r="C4" s="225">
        <v>2017</v>
      </c>
      <c r="D4" s="225">
        <f t="shared" ref="D4:L4" si="0">C4+1</f>
        <v>2018</v>
      </c>
      <c r="E4" s="225">
        <f t="shared" si="0"/>
        <v>2019</v>
      </c>
      <c r="F4" s="225">
        <f t="shared" si="0"/>
        <v>2020</v>
      </c>
      <c r="G4" s="225">
        <f t="shared" si="0"/>
        <v>2021</v>
      </c>
      <c r="H4" s="230">
        <f t="shared" si="0"/>
        <v>2022</v>
      </c>
      <c r="I4" s="230">
        <f t="shared" si="0"/>
        <v>2023</v>
      </c>
      <c r="J4" s="230">
        <f t="shared" si="0"/>
        <v>2024</v>
      </c>
      <c r="K4" s="230">
        <f t="shared" si="0"/>
        <v>2025</v>
      </c>
      <c r="L4" s="230">
        <f t="shared" si="0"/>
        <v>2026</v>
      </c>
      <c r="M4" s="250" t="s">
        <v>26</v>
      </c>
    </row>
    <row r="5" ht="15.6" customHeight="1" spans="1:13">
      <c r="A5" s="231">
        <v>1</v>
      </c>
      <c r="B5" s="232" t="s">
        <v>27</v>
      </c>
      <c r="C5" s="233">
        <f>SUM(C6:C9)</f>
        <v>0</v>
      </c>
      <c r="D5" s="233">
        <f t="shared" ref="D5:L5" si="1">SUM(D6:D9)</f>
        <v>0</v>
      </c>
      <c r="E5" s="233" t="e">
        <f t="shared" si="1"/>
        <v>#REF!</v>
      </c>
      <c r="F5" s="233" t="e">
        <f t="shared" si="1"/>
        <v>#REF!</v>
      </c>
      <c r="G5" s="233" t="e">
        <f t="shared" si="1"/>
        <v>#REF!</v>
      </c>
      <c r="H5" s="233" t="e">
        <f t="shared" si="1"/>
        <v>#REF!</v>
      </c>
      <c r="I5" s="233" t="e">
        <f t="shared" si="1"/>
        <v>#REF!</v>
      </c>
      <c r="J5" s="233" t="e">
        <f t="shared" si="1"/>
        <v>#REF!</v>
      </c>
      <c r="K5" s="233" t="e">
        <f t="shared" si="1"/>
        <v>#REF!</v>
      </c>
      <c r="L5" s="233" t="e">
        <f t="shared" si="1"/>
        <v>#REF!</v>
      </c>
      <c r="M5" s="237" t="e">
        <f t="shared" ref="M5:M17" si="2">SUM(C5:L5)</f>
        <v>#REF!</v>
      </c>
    </row>
    <row r="6" ht="15.6" customHeight="1" spans="1:13">
      <c r="A6" s="231">
        <v>1.1</v>
      </c>
      <c r="B6" s="234" t="s">
        <v>28</v>
      </c>
      <c r="C6" s="235"/>
      <c r="D6" s="235"/>
      <c r="E6" s="235" t="e">
        <f>#REF!</f>
        <v>#REF!</v>
      </c>
      <c r="F6" s="235" t="e">
        <f>#REF!</f>
        <v>#REF!</v>
      </c>
      <c r="G6" s="235" t="e">
        <f>#REF!</f>
        <v>#REF!</v>
      </c>
      <c r="H6" s="235" t="e">
        <f>#REF!</f>
        <v>#REF!</v>
      </c>
      <c r="I6" s="235" t="e">
        <f>#REF!</f>
        <v>#REF!</v>
      </c>
      <c r="J6" s="235" t="e">
        <f>#REF!</f>
        <v>#REF!</v>
      </c>
      <c r="K6" s="235" t="e">
        <f>#REF!</f>
        <v>#REF!</v>
      </c>
      <c r="L6" s="235" t="e">
        <f>#REF!</f>
        <v>#REF!</v>
      </c>
      <c r="M6" s="237" t="e">
        <f t="shared" si="2"/>
        <v>#REF!</v>
      </c>
    </row>
    <row r="7" ht="15.6" customHeight="1" spans="1:13">
      <c r="A7" s="231">
        <v>1.2</v>
      </c>
      <c r="B7" s="234" t="s">
        <v>29</v>
      </c>
      <c r="C7" s="235"/>
      <c r="D7" s="235"/>
      <c r="E7" s="235">
        <f>[1]折、摊!G18</f>
        <v>0</v>
      </c>
      <c r="F7" s="235">
        <f>[1]折、摊!H18</f>
        <v>0</v>
      </c>
      <c r="G7" s="235">
        <f>[1]折、摊!I18</f>
        <v>0</v>
      </c>
      <c r="H7" s="235">
        <f>[1]折、摊!J18</f>
        <v>0</v>
      </c>
      <c r="I7" s="235">
        <f>[1]折、摊!K18</f>
        <v>0</v>
      </c>
      <c r="J7" s="235">
        <f>[1]折、摊!L18</f>
        <v>0</v>
      </c>
      <c r="K7" s="235">
        <f>[1]折、摊!M18</f>
        <v>0</v>
      </c>
      <c r="L7" s="235">
        <f>[1]折、摊!N18</f>
        <v>0</v>
      </c>
      <c r="M7" s="237">
        <f t="shared" si="2"/>
        <v>0</v>
      </c>
    </row>
    <row r="8" ht="15.6" customHeight="1" spans="1:13">
      <c r="A8" s="231">
        <v>1.3</v>
      </c>
      <c r="B8" s="234" t="s">
        <v>30</v>
      </c>
      <c r="C8" s="235" t="s">
        <v>31</v>
      </c>
      <c r="D8" s="235" t="s">
        <v>31</v>
      </c>
      <c r="E8" s="235" t="s">
        <v>31</v>
      </c>
      <c r="F8" s="235" t="s">
        <v>31</v>
      </c>
      <c r="G8" s="235" t="s">
        <v>31</v>
      </c>
      <c r="H8" s="235" t="s">
        <v>31</v>
      </c>
      <c r="I8" s="235" t="s">
        <v>31</v>
      </c>
      <c r="J8" s="235" t="s">
        <v>31</v>
      </c>
      <c r="K8" s="235" t="s">
        <v>31</v>
      </c>
      <c r="L8" s="235"/>
      <c r="M8" s="237">
        <f t="shared" si="2"/>
        <v>0</v>
      </c>
    </row>
    <row r="9" s="218" customFormat="1" ht="15.6" customHeight="1" spans="1:13">
      <c r="A9" s="236">
        <v>1.4</v>
      </c>
      <c r="B9" s="237" t="s">
        <v>32</v>
      </c>
      <c r="C9" s="235" t="s">
        <v>31</v>
      </c>
      <c r="D9" s="235" t="s">
        <v>31</v>
      </c>
      <c r="E9" s="235" t="s">
        <v>31</v>
      </c>
      <c r="F9" s="235" t="s">
        <v>31</v>
      </c>
      <c r="G9" s="235" t="s">
        <v>31</v>
      </c>
      <c r="H9" s="235" t="s">
        <v>31</v>
      </c>
      <c r="I9" s="235" t="s">
        <v>31</v>
      </c>
      <c r="J9" s="235" t="s">
        <v>31</v>
      </c>
      <c r="K9" s="235" t="s">
        <v>31</v>
      </c>
      <c r="L9" s="235" t="s">
        <v>31</v>
      </c>
      <c r="M9" s="237">
        <f t="shared" si="2"/>
        <v>0</v>
      </c>
    </row>
    <row r="10" ht="15.6" customHeight="1" spans="1:13">
      <c r="A10" s="236">
        <v>2</v>
      </c>
      <c r="B10" s="232" t="s">
        <v>33</v>
      </c>
      <c r="C10" s="233">
        <f t="shared" ref="C10:L10" si="3">SUM(C11:C16)</f>
        <v>0</v>
      </c>
      <c r="D10" s="233">
        <f t="shared" si="3"/>
        <v>0</v>
      </c>
      <c r="E10" s="233">
        <f t="shared" si="3"/>
        <v>0</v>
      </c>
      <c r="F10" s="233">
        <f t="shared" si="3"/>
        <v>0</v>
      </c>
      <c r="G10" s="233">
        <f t="shared" si="3"/>
        <v>0</v>
      </c>
      <c r="H10" s="233">
        <f t="shared" si="3"/>
        <v>0</v>
      </c>
      <c r="I10" s="233">
        <f t="shared" si="3"/>
        <v>0</v>
      </c>
      <c r="J10" s="233">
        <f t="shared" si="3"/>
        <v>0</v>
      </c>
      <c r="K10" s="233">
        <f t="shared" si="3"/>
        <v>0</v>
      </c>
      <c r="L10" s="233">
        <f t="shared" si="3"/>
        <v>0</v>
      </c>
      <c r="M10" s="237">
        <f t="shared" si="2"/>
        <v>0</v>
      </c>
    </row>
    <row r="11" ht="15" customHeight="1" spans="1:13">
      <c r="A11" s="231">
        <v>2.1</v>
      </c>
      <c r="B11" s="231" t="s">
        <v>34</v>
      </c>
      <c r="C11" s="235">
        <f>([1]计划!C6-[1]计划!C7)</f>
        <v>0</v>
      </c>
      <c r="D11" s="235">
        <f>([1]计划!D6-[1]计划!D7)</f>
        <v>0</v>
      </c>
      <c r="E11" s="235">
        <f>([1]计划!E6-[1]计划!E7)</f>
        <v>0</v>
      </c>
      <c r="F11" s="235">
        <f>([1]计划!F6-[1]计划!F7)</f>
        <v>0</v>
      </c>
      <c r="G11" s="235">
        <f>([1]计划!G6-[1]计划!G7)</f>
        <v>0</v>
      </c>
      <c r="H11" s="235">
        <f>([1]计划!H6-[1]计划!H7)</f>
        <v>0</v>
      </c>
      <c r="I11" s="235">
        <f>([1]计划!I6-[1]计划!I7)</f>
        <v>0</v>
      </c>
      <c r="J11" s="235">
        <f>([1]计划!J6-[1]计划!J7)</f>
        <v>0</v>
      </c>
      <c r="K11" s="235">
        <f>([1]计划!K6-[1]计划!K7)</f>
        <v>0</v>
      </c>
      <c r="L11" s="235">
        <f>([1]计划!L6-[1]计划!L7)</f>
        <v>0</v>
      </c>
      <c r="M11" s="237">
        <f t="shared" si="2"/>
        <v>0</v>
      </c>
    </row>
    <row r="12" s="218" customFormat="1" ht="15" customHeight="1" spans="1:13">
      <c r="A12" s="231">
        <v>2.2</v>
      </c>
      <c r="B12" s="237" t="s">
        <v>35</v>
      </c>
      <c r="C12" s="235">
        <f>[1]计划!C8</f>
        <v>0</v>
      </c>
      <c r="D12" s="235">
        <f>[1]计划!D8</f>
        <v>0</v>
      </c>
      <c r="E12" s="235">
        <f>[1]计划!E8</f>
        <v>0</v>
      </c>
      <c r="F12" s="235">
        <f>[1]计划!F8</f>
        <v>0</v>
      </c>
      <c r="G12" s="235">
        <f>[1]计划!G8</f>
        <v>0</v>
      </c>
      <c r="H12" s="235">
        <f>[1]计划!H8</f>
        <v>0</v>
      </c>
      <c r="I12" s="235">
        <f>[1]计划!I8</f>
        <v>0</v>
      </c>
      <c r="J12" s="235">
        <f>[1]计划!J8</f>
        <v>0</v>
      </c>
      <c r="K12" s="235">
        <f>[1]计划!K8</f>
        <v>0</v>
      </c>
      <c r="L12" s="235">
        <f>[1]计划!L8</f>
        <v>0</v>
      </c>
      <c r="M12" s="237">
        <f t="shared" si="2"/>
        <v>0</v>
      </c>
    </row>
    <row r="13" ht="15" customHeight="1" spans="1:13">
      <c r="A13" s="231">
        <v>2.3</v>
      </c>
      <c r="B13" s="234" t="s">
        <v>36</v>
      </c>
      <c r="C13" s="235">
        <f>[1]总成本!C22</f>
        <v>0</v>
      </c>
      <c r="D13" s="235">
        <f>[1]总成本!D22</f>
        <v>0</v>
      </c>
      <c r="E13" s="235">
        <f>[1]总成本!E22</f>
        <v>0</v>
      </c>
      <c r="F13" s="235">
        <f>[1]总成本!F22</f>
        <v>0</v>
      </c>
      <c r="G13" s="235">
        <f>[1]总成本!G22</f>
        <v>0</v>
      </c>
      <c r="H13" s="235">
        <f>[1]总成本!H22</f>
        <v>0</v>
      </c>
      <c r="I13" s="235">
        <f>[1]总成本!I22</f>
        <v>0</v>
      </c>
      <c r="J13" s="235">
        <f>[1]总成本!J22</f>
        <v>0</v>
      </c>
      <c r="K13" s="235">
        <f>[1]总成本!K22</f>
        <v>0</v>
      </c>
      <c r="L13" s="235">
        <f>[1]总成本!L22</f>
        <v>0</v>
      </c>
      <c r="M13" s="237">
        <f t="shared" si="2"/>
        <v>0</v>
      </c>
    </row>
    <row r="14" ht="15" customHeight="1" spans="1:13">
      <c r="A14" s="231">
        <v>2.4</v>
      </c>
      <c r="B14" s="234" t="s">
        <v>37</v>
      </c>
      <c r="C14" s="235">
        <f>[1]价格!D15</f>
        <v>0</v>
      </c>
      <c r="D14" s="235">
        <f>[1]价格!E15</f>
        <v>0</v>
      </c>
      <c r="E14" s="235">
        <f>[1]价格!F15</f>
        <v>0</v>
      </c>
      <c r="F14" s="235">
        <f>[1]价格!G15</f>
        <v>0</v>
      </c>
      <c r="G14" s="235">
        <f>[1]价格!H15</f>
        <v>0</v>
      </c>
      <c r="H14" s="235">
        <f>[1]价格!I15</f>
        <v>0</v>
      </c>
      <c r="I14" s="235">
        <f>[1]价格!J15</f>
        <v>0</v>
      </c>
      <c r="J14" s="235">
        <f>[1]价格!K15</f>
        <v>0</v>
      </c>
      <c r="K14" s="235">
        <f>[1]价格!L15</f>
        <v>0</v>
      </c>
      <c r="L14" s="235">
        <f>[1]价格!M15</f>
        <v>0</v>
      </c>
      <c r="M14" s="237">
        <f t="shared" si="2"/>
        <v>0</v>
      </c>
    </row>
    <row r="15" ht="15" customHeight="1" spans="1:13">
      <c r="A15" s="231">
        <v>2.5</v>
      </c>
      <c r="B15" s="234" t="s">
        <v>38</v>
      </c>
      <c r="C15" s="235">
        <f>[1]利润!C13</f>
        <v>0</v>
      </c>
      <c r="D15" s="235">
        <f>[1]利润!D13</f>
        <v>0</v>
      </c>
      <c r="E15" s="235">
        <f>[1]利润!E13</f>
        <v>0</v>
      </c>
      <c r="F15" s="235">
        <f>[1]利润!F13</f>
        <v>0</v>
      </c>
      <c r="G15" s="235">
        <f>[1]利润!G13</f>
        <v>0</v>
      </c>
      <c r="H15" s="235">
        <f>[1]利润!H13</f>
        <v>0</v>
      </c>
      <c r="I15" s="235">
        <f>[1]利润!I13</f>
        <v>0</v>
      </c>
      <c r="J15" s="235">
        <f>[1]利润!J13</f>
        <v>0</v>
      </c>
      <c r="K15" s="235">
        <f>[1]利润!K13</f>
        <v>0</v>
      </c>
      <c r="L15" s="235">
        <f>[1]利润!L13</f>
        <v>0</v>
      </c>
      <c r="M15" s="237">
        <f t="shared" si="2"/>
        <v>0</v>
      </c>
    </row>
    <row r="16" ht="15" customHeight="1" spans="1:13">
      <c r="A16" s="231">
        <v>2.6</v>
      </c>
      <c r="B16" s="234" t="s">
        <v>39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7">
        <f t="shared" si="2"/>
        <v>0</v>
      </c>
    </row>
    <row r="17" ht="14" spans="1:13">
      <c r="A17" s="231">
        <v>3</v>
      </c>
      <c r="B17" s="232" t="s">
        <v>40</v>
      </c>
      <c r="C17" s="233">
        <f t="shared" ref="C17:L17" si="4">C5-C10</f>
        <v>0</v>
      </c>
      <c r="D17" s="233">
        <f t="shared" si="4"/>
        <v>0</v>
      </c>
      <c r="E17" s="233" t="e">
        <f t="shared" si="4"/>
        <v>#REF!</v>
      </c>
      <c r="F17" s="233" t="e">
        <f t="shared" si="4"/>
        <v>#REF!</v>
      </c>
      <c r="G17" s="233" t="e">
        <f t="shared" si="4"/>
        <v>#REF!</v>
      </c>
      <c r="H17" s="233" t="e">
        <f t="shared" si="4"/>
        <v>#REF!</v>
      </c>
      <c r="I17" s="233" t="e">
        <f t="shared" si="4"/>
        <v>#REF!</v>
      </c>
      <c r="J17" s="233" t="e">
        <f t="shared" si="4"/>
        <v>#REF!</v>
      </c>
      <c r="K17" s="233" t="e">
        <f t="shared" si="4"/>
        <v>#REF!</v>
      </c>
      <c r="L17" s="233" t="e">
        <f t="shared" si="4"/>
        <v>#REF!</v>
      </c>
      <c r="M17" s="237" t="e">
        <f t="shared" si="2"/>
        <v>#REF!</v>
      </c>
    </row>
    <row r="18" ht="14" spans="1:13">
      <c r="A18" s="238">
        <v>4</v>
      </c>
      <c r="B18" s="234" t="s">
        <v>41</v>
      </c>
      <c r="C18" s="235">
        <f>C17</f>
        <v>0</v>
      </c>
      <c r="D18" s="235">
        <f t="shared" ref="D18:L18" si="5">C18+D17</f>
        <v>0</v>
      </c>
      <c r="E18" s="235" t="e">
        <f t="shared" si="5"/>
        <v>#REF!</v>
      </c>
      <c r="F18" s="235" t="e">
        <f t="shared" si="5"/>
        <v>#REF!</v>
      </c>
      <c r="G18" s="235" t="e">
        <f t="shared" si="5"/>
        <v>#REF!</v>
      </c>
      <c r="H18" s="235" t="e">
        <f t="shared" si="5"/>
        <v>#REF!</v>
      </c>
      <c r="I18" s="235" t="e">
        <f t="shared" si="5"/>
        <v>#REF!</v>
      </c>
      <c r="J18" s="235" t="e">
        <f t="shared" si="5"/>
        <v>#REF!</v>
      </c>
      <c r="K18" s="235" t="e">
        <f t="shared" si="5"/>
        <v>#REF!</v>
      </c>
      <c r="L18" s="235" t="e">
        <f t="shared" si="5"/>
        <v>#REF!</v>
      </c>
      <c r="M18" s="234" t="s">
        <v>31</v>
      </c>
    </row>
    <row r="19" s="218" customFormat="1" ht="13" spans="1:13">
      <c r="A19" s="238">
        <v>5</v>
      </c>
      <c r="B19" s="234" t="s">
        <v>42</v>
      </c>
      <c r="C19" s="235">
        <f t="shared" ref="C19:L19" si="6">C17+C15</f>
        <v>0</v>
      </c>
      <c r="D19" s="235">
        <f t="shared" si="6"/>
        <v>0</v>
      </c>
      <c r="E19" s="235" t="e">
        <f t="shared" si="6"/>
        <v>#REF!</v>
      </c>
      <c r="F19" s="235" t="e">
        <f t="shared" si="6"/>
        <v>#REF!</v>
      </c>
      <c r="G19" s="235" t="e">
        <f t="shared" si="6"/>
        <v>#REF!</v>
      </c>
      <c r="H19" s="235" t="e">
        <f t="shared" si="6"/>
        <v>#REF!</v>
      </c>
      <c r="I19" s="235" t="e">
        <f t="shared" si="6"/>
        <v>#REF!</v>
      </c>
      <c r="J19" s="235" t="e">
        <f t="shared" si="6"/>
        <v>#REF!</v>
      </c>
      <c r="K19" s="235" t="e">
        <f t="shared" si="6"/>
        <v>#REF!</v>
      </c>
      <c r="L19" s="235" t="e">
        <f t="shared" si="6"/>
        <v>#REF!</v>
      </c>
      <c r="M19" s="237" t="e">
        <f>SUM(C19:L19)</f>
        <v>#REF!</v>
      </c>
    </row>
    <row r="20" s="218" customFormat="1" ht="13" spans="1:13">
      <c r="A20" s="231">
        <v>6</v>
      </c>
      <c r="B20" s="234" t="s">
        <v>43</v>
      </c>
      <c r="C20" s="235">
        <f>C19</f>
        <v>0</v>
      </c>
      <c r="D20" s="235">
        <f t="shared" ref="D20:L20" si="7">C20+D19</f>
        <v>0</v>
      </c>
      <c r="E20" s="235" t="e">
        <f t="shared" si="7"/>
        <v>#REF!</v>
      </c>
      <c r="F20" s="235" t="e">
        <f t="shared" si="7"/>
        <v>#REF!</v>
      </c>
      <c r="G20" s="235" t="e">
        <f t="shared" si="7"/>
        <v>#REF!</v>
      </c>
      <c r="H20" s="235" t="e">
        <f t="shared" si="7"/>
        <v>#REF!</v>
      </c>
      <c r="I20" s="235" t="e">
        <f t="shared" si="7"/>
        <v>#REF!</v>
      </c>
      <c r="J20" s="235" t="e">
        <f t="shared" si="7"/>
        <v>#REF!</v>
      </c>
      <c r="K20" s="235" t="e">
        <f t="shared" si="7"/>
        <v>#REF!</v>
      </c>
      <c r="L20" s="235" t="e">
        <f t="shared" si="7"/>
        <v>#REF!</v>
      </c>
      <c r="M20" s="234" t="s">
        <v>31</v>
      </c>
    </row>
    <row r="21" ht="14" spans="1:13">
      <c r="A21" s="239"/>
      <c r="B21" s="240" t="s">
        <v>44</v>
      </c>
      <c r="C21" s="240"/>
      <c r="D21" s="240"/>
      <c r="E21" s="240" t="s">
        <v>45</v>
      </c>
      <c r="F21" s="240"/>
      <c r="G21" s="240"/>
      <c r="H21" s="240"/>
      <c r="I21" s="240" t="s">
        <v>46</v>
      </c>
      <c r="J21" s="240"/>
      <c r="K21" s="240"/>
      <c r="L21" s="240"/>
      <c r="M21" s="251"/>
    </row>
    <row r="22" ht="14" spans="1:13">
      <c r="A22" s="241"/>
      <c r="B22" s="242" t="s">
        <v>47</v>
      </c>
      <c r="C22" s="242"/>
      <c r="D22" s="243" t="s">
        <v>48</v>
      </c>
      <c r="E22" s="244" t="e">
        <f>IRR(C17:L17,0.15)</f>
        <v>#VALUE!</v>
      </c>
      <c r="F22" s="242"/>
      <c r="G22" s="242"/>
      <c r="H22" s="242"/>
      <c r="I22" s="244" t="e">
        <f>IRR(C19:L19,0.15)</f>
        <v>#VALUE!</v>
      </c>
      <c r="J22" s="242"/>
      <c r="K22" s="242"/>
      <c r="L22" s="242"/>
      <c r="M22" s="252"/>
    </row>
    <row r="23" ht="14" spans="1:18">
      <c r="A23" s="241"/>
      <c r="B23" s="242" t="s">
        <v>49</v>
      </c>
      <c r="C23" s="242"/>
      <c r="D23" s="242"/>
      <c r="E23" s="245" t="e">
        <f>NPV(0.12,C17:L17)</f>
        <v>#REF!</v>
      </c>
      <c r="F23" s="242"/>
      <c r="G23" s="242"/>
      <c r="H23" s="242"/>
      <c r="I23" s="245" t="e">
        <f>NPV(0.12,C19:L19)</f>
        <v>#REF!</v>
      </c>
      <c r="J23" s="242"/>
      <c r="K23" s="242"/>
      <c r="L23" s="242"/>
      <c r="M23" s="252"/>
      <c r="R23" s="219">
        <f>30.9-29.82</f>
        <v>1.08</v>
      </c>
    </row>
    <row r="24" ht="14" spans="1:13">
      <c r="A24" s="246"/>
      <c r="B24" s="247" t="s">
        <v>50</v>
      </c>
      <c r="C24" s="247"/>
      <c r="D24" s="247"/>
      <c r="E24" s="248" t="e">
        <f>6-H18/I17</f>
        <v>#REF!</v>
      </c>
      <c r="F24" s="247"/>
      <c r="G24" s="247"/>
      <c r="H24" s="247"/>
      <c r="I24" s="248" t="e">
        <f>6-H20/I19</f>
        <v>#REF!</v>
      </c>
      <c r="J24" s="247"/>
      <c r="K24" s="247"/>
      <c r="L24" s="247"/>
      <c r="M24" s="25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G30" sqref="G30"/>
    </sheetView>
  </sheetViews>
  <sheetFormatPr defaultColWidth="9" defaultRowHeight="14.5"/>
  <cols>
    <col min="1" max="1" width="5.12727272727273" style="187" customWidth="1"/>
    <col min="2" max="2" width="32.6272727272727" style="187" customWidth="1"/>
    <col min="3" max="3" width="15.7272727272727" style="187" customWidth="1"/>
    <col min="4" max="4" width="14.5" style="188" customWidth="1"/>
    <col min="5" max="9" width="14.7545454545455" style="188" customWidth="1"/>
    <col min="10" max="10" width="16.5" style="188" customWidth="1"/>
    <col min="11" max="11" width="15.5" style="187" customWidth="1"/>
    <col min="12" max="37" width="9" style="187"/>
    <col min="38" max="38" width="4.37272727272727" style="187" customWidth="1"/>
    <col min="39" max="39" width="13.8727272727273" style="187" customWidth="1"/>
    <col min="40" max="16384" width="9" style="187"/>
  </cols>
  <sheetData>
    <row r="1" ht="27" customHeight="1" spans="1:11">
      <c r="A1" s="189" t="s">
        <v>51</v>
      </c>
      <c r="B1" s="189"/>
      <c r="C1" s="189"/>
      <c r="D1" s="189"/>
      <c r="E1" s="189"/>
      <c r="F1" s="189"/>
      <c r="G1" s="189"/>
      <c r="H1" s="189"/>
      <c r="I1" s="189"/>
      <c r="J1" s="189"/>
      <c r="K1" s="91" t="s">
        <v>52</v>
      </c>
    </row>
    <row r="2" ht="15.75" customHeight="1" spans="1:40">
      <c r="A2" s="190" t="s">
        <v>21</v>
      </c>
      <c r="B2" s="191" t="s">
        <v>1</v>
      </c>
      <c r="C2" s="191" t="s">
        <v>53</v>
      </c>
      <c r="D2" s="191" t="s">
        <v>54</v>
      </c>
      <c r="E2" s="191" t="s">
        <v>55</v>
      </c>
      <c r="F2" s="191" t="s">
        <v>56</v>
      </c>
      <c r="G2" s="191" t="s">
        <v>57</v>
      </c>
      <c r="H2" s="191" t="s">
        <v>58</v>
      </c>
      <c r="I2" s="191" t="s">
        <v>59</v>
      </c>
      <c r="J2" s="212" t="s">
        <v>60</v>
      </c>
      <c r="AN2" s="187" t="s">
        <v>61</v>
      </c>
    </row>
    <row r="3" s="152" customFormat="1" ht="15.75" customHeight="1" spans="1:40">
      <c r="A3" s="192"/>
      <c r="B3" s="165" t="s">
        <v>3</v>
      </c>
      <c r="C3" s="193">
        <f>'2024年'!E6</f>
        <v>2000</v>
      </c>
      <c r="D3" s="193">
        <f>'2025年'!E6</f>
        <v>2000</v>
      </c>
      <c r="E3" s="193">
        <f>'2026年'!E6</f>
        <v>4000</v>
      </c>
      <c r="F3" s="193">
        <f>'2027年'!E6</f>
        <v>4000</v>
      </c>
      <c r="G3" s="193">
        <f>'2028年'!E6</f>
        <v>4000</v>
      </c>
      <c r="H3" s="193">
        <f>'2029年'!E6</f>
        <v>4000</v>
      </c>
      <c r="I3" s="193">
        <f>'2030年'!E6</f>
        <v>4000</v>
      </c>
      <c r="J3" s="193">
        <f t="shared" ref="J3:J10" si="0">SUM(D3:I3)</f>
        <v>22000</v>
      </c>
      <c r="K3" s="168"/>
      <c r="AL3" s="164" t="s">
        <v>21</v>
      </c>
      <c r="AM3" s="165" t="s">
        <v>3</v>
      </c>
      <c r="AN3" s="152" t="s">
        <v>62</v>
      </c>
    </row>
    <row r="4" s="152" customFormat="1" ht="15.75" customHeight="1" spans="1:40">
      <c r="A4" s="154">
        <v>1</v>
      </c>
      <c r="B4" s="165" t="s">
        <v>63</v>
      </c>
      <c r="C4" s="193">
        <f>'2024年'!E7</f>
        <v>2320000</v>
      </c>
      <c r="D4" s="193">
        <f>'2025年'!E7</f>
        <v>2320000</v>
      </c>
      <c r="E4" s="193">
        <f>'2026年'!E7</f>
        <v>4640000</v>
      </c>
      <c r="F4" s="193">
        <f>'2027年'!E7</f>
        <v>4640000</v>
      </c>
      <c r="G4" s="193">
        <f>'2028年'!E7</f>
        <v>4640000</v>
      </c>
      <c r="H4" s="193">
        <f>'2029年'!E7</f>
        <v>4640000</v>
      </c>
      <c r="I4" s="193">
        <f>'2030年'!E7</f>
        <v>4640000</v>
      </c>
      <c r="J4" s="193">
        <f t="shared" si="0"/>
        <v>25520000</v>
      </c>
      <c r="K4" s="168"/>
      <c r="AL4" s="164" t="s">
        <v>64</v>
      </c>
      <c r="AM4" s="165" t="s">
        <v>63</v>
      </c>
      <c r="AN4" s="152" t="s">
        <v>62</v>
      </c>
    </row>
    <row r="5" s="152" customFormat="1" ht="15.75" customHeight="1" spans="1:40">
      <c r="A5" s="154">
        <v>2</v>
      </c>
      <c r="B5" s="154" t="s">
        <v>65</v>
      </c>
      <c r="C5" s="193">
        <f>'2024年'!C8</f>
        <v>0</v>
      </c>
      <c r="D5" s="193">
        <f>'2025年'!E8</f>
        <v>116000</v>
      </c>
      <c r="E5" s="193">
        <f>'2026年'!E8</f>
        <v>452400</v>
      </c>
      <c r="F5" s="193">
        <f>'2027年'!E8</f>
        <v>661780</v>
      </c>
      <c r="G5" s="193">
        <f>'2028年'!E8</f>
        <v>860691.000000001</v>
      </c>
      <c r="H5" s="193">
        <f>'2029年'!E8</f>
        <v>1049656.45</v>
      </c>
      <c r="I5" s="193">
        <f>'2030年'!E8</f>
        <v>1229173.6275</v>
      </c>
      <c r="J5" s="193">
        <f t="shared" si="0"/>
        <v>4369701.0775</v>
      </c>
      <c r="K5" s="168"/>
      <c r="AL5" s="164" t="s">
        <v>66</v>
      </c>
      <c r="AM5" s="154" t="s">
        <v>67</v>
      </c>
      <c r="AN5" s="152" t="s">
        <v>62</v>
      </c>
    </row>
    <row r="6" s="152" customFormat="1" ht="15.75" customHeight="1" spans="1:40">
      <c r="A6" s="154">
        <v>3</v>
      </c>
      <c r="B6" s="165" t="s">
        <v>68</v>
      </c>
      <c r="C6" s="194">
        <f>'2024年'!E9</f>
        <v>2320000</v>
      </c>
      <c r="D6" s="194">
        <f>D4-D5</f>
        <v>2204000</v>
      </c>
      <c r="E6" s="194">
        <f>'2026年'!E9</f>
        <v>4187600</v>
      </c>
      <c r="F6" s="193">
        <f>'2027年'!E9</f>
        <v>3978220</v>
      </c>
      <c r="G6" s="193">
        <f>'2028年'!E9</f>
        <v>3779309</v>
      </c>
      <c r="H6" s="193">
        <f>'2029年'!E9</f>
        <v>3590343.55</v>
      </c>
      <c r="I6" s="193">
        <f>'2030年'!E9</f>
        <v>3410826.3725</v>
      </c>
      <c r="J6" s="193">
        <f t="shared" si="0"/>
        <v>21150298.9225</v>
      </c>
      <c r="K6" s="168"/>
      <c r="AL6" s="164" t="s">
        <v>69</v>
      </c>
      <c r="AM6" s="165" t="s">
        <v>68</v>
      </c>
      <c r="AN6" s="152" t="s">
        <v>70</v>
      </c>
    </row>
    <row r="7" s="152" customFormat="1" ht="15.75" customHeight="1" spans="1:40">
      <c r="A7" s="154">
        <v>4</v>
      </c>
      <c r="B7" s="164" t="s">
        <v>71</v>
      </c>
      <c r="C7" s="194">
        <f>'2024年'!E10</f>
        <v>1385600</v>
      </c>
      <c r="D7" s="193">
        <f>'2025年'!E10</f>
        <v>1344032</v>
      </c>
      <c r="E7" s="194">
        <f>'2026年'!E10</f>
        <v>2607422.08</v>
      </c>
      <c r="F7" s="193">
        <f>'2027年'!E10</f>
        <v>2529199.4176</v>
      </c>
      <c r="G7" s="193">
        <f>'2028年'!E10</f>
        <v>2453323.435072</v>
      </c>
      <c r="H7" s="193">
        <f>'2029年'!E10</f>
        <v>2379723.73201984</v>
      </c>
      <c r="I7" s="193">
        <f>'2030年'!E10</f>
        <v>2308332.02005924</v>
      </c>
      <c r="J7" s="193">
        <f t="shared" si="0"/>
        <v>13622032.6847511</v>
      </c>
      <c r="K7" s="168"/>
      <c r="AL7" s="164" t="s">
        <v>72</v>
      </c>
      <c r="AM7" s="164" t="s">
        <v>73</v>
      </c>
      <c r="AN7" s="152" t="s">
        <v>74</v>
      </c>
    </row>
    <row r="8" s="152" customFormat="1" ht="15.75" customHeight="1" spans="1:39">
      <c r="A8" s="154">
        <v>5</v>
      </c>
      <c r="B8" s="164" t="s">
        <v>75</v>
      </c>
      <c r="C8" s="194">
        <f>'2024年'!E11</f>
        <v>69600</v>
      </c>
      <c r="D8" s="193">
        <f>'2025年'!E11</f>
        <v>69600</v>
      </c>
      <c r="E8" s="194">
        <f>'2026年'!E11</f>
        <v>139200</v>
      </c>
      <c r="F8" s="193">
        <f>'2027年'!E11</f>
        <v>139200</v>
      </c>
      <c r="G8" s="193">
        <f>'2028年'!E11</f>
        <v>139200</v>
      </c>
      <c r="H8" s="193">
        <f>'2029年'!E11</f>
        <v>139200</v>
      </c>
      <c r="I8" s="193">
        <f>'2030年'!E11</f>
        <v>139200</v>
      </c>
      <c r="J8" s="193">
        <f t="shared" si="0"/>
        <v>765600</v>
      </c>
      <c r="K8" s="168"/>
      <c r="AL8" s="164" t="s">
        <v>76</v>
      </c>
      <c r="AM8" s="164" t="s">
        <v>75</v>
      </c>
    </row>
    <row r="9" s="152" customFormat="1" ht="15.75" customHeight="1" spans="1:39">
      <c r="A9" s="154">
        <v>6</v>
      </c>
      <c r="B9" s="164" t="s">
        <v>77</v>
      </c>
      <c r="C9" s="194">
        <f>'2024年'!E12</f>
        <v>23200</v>
      </c>
      <c r="D9" s="193">
        <f>'2025年'!E12</f>
        <v>23200</v>
      </c>
      <c r="E9" s="194">
        <f>'2026年'!E12</f>
        <v>46400</v>
      </c>
      <c r="F9" s="193">
        <f>'2027年'!E12</f>
        <v>46400</v>
      </c>
      <c r="G9" s="193">
        <f>'2028年'!E12</f>
        <v>46400</v>
      </c>
      <c r="H9" s="193">
        <f>'2029年'!E12</f>
        <v>46400</v>
      </c>
      <c r="I9" s="193">
        <f>'2030年'!E12</f>
        <v>46400</v>
      </c>
      <c r="J9" s="193">
        <f t="shared" si="0"/>
        <v>255200</v>
      </c>
      <c r="K9" s="168"/>
      <c r="AL9" s="164" t="s">
        <v>78</v>
      </c>
      <c r="AM9" s="164" t="s">
        <v>77</v>
      </c>
    </row>
    <row r="10" s="152" customFormat="1" ht="15.75" customHeight="1" spans="1:40">
      <c r="A10" s="154">
        <v>7</v>
      </c>
      <c r="B10" s="164" t="s">
        <v>79</v>
      </c>
      <c r="C10" s="194">
        <f>'2024年'!E13</f>
        <v>23200</v>
      </c>
      <c r="D10" s="193">
        <f>'2025年'!E13</f>
        <v>23200</v>
      </c>
      <c r="E10" s="194">
        <f>'2026年'!E13</f>
        <v>46400</v>
      </c>
      <c r="F10" s="193">
        <f>'2027年'!E13</f>
        <v>46400</v>
      </c>
      <c r="G10" s="193">
        <f>'2028年'!E13</f>
        <v>46400</v>
      </c>
      <c r="H10" s="193">
        <f>'2029年'!E13</f>
        <v>46400</v>
      </c>
      <c r="I10" s="193">
        <f>'2030年'!E13</f>
        <v>46400</v>
      </c>
      <c r="J10" s="193">
        <f t="shared" si="0"/>
        <v>255200</v>
      </c>
      <c r="K10" s="168"/>
      <c r="AL10" s="164" t="s">
        <v>80</v>
      </c>
      <c r="AM10" s="164" t="s">
        <v>79</v>
      </c>
      <c r="AN10" s="152" t="s">
        <v>62</v>
      </c>
    </row>
    <row r="11" s="152" customFormat="1" ht="15.75" customHeight="1" spans="1:39">
      <c r="A11" s="154">
        <v>8</v>
      </c>
      <c r="B11" s="195" t="s">
        <v>81</v>
      </c>
      <c r="C11" s="196">
        <f>SUM(C8:C10)</f>
        <v>116000</v>
      </c>
      <c r="D11" s="196">
        <f t="shared" ref="D11:J11" si="1">SUM(D8:D10)</f>
        <v>116000</v>
      </c>
      <c r="E11" s="196">
        <f t="shared" si="1"/>
        <v>232000</v>
      </c>
      <c r="F11" s="196">
        <f t="shared" si="1"/>
        <v>232000</v>
      </c>
      <c r="G11" s="196">
        <f t="shared" si="1"/>
        <v>232000</v>
      </c>
      <c r="H11" s="196">
        <f t="shared" si="1"/>
        <v>232000</v>
      </c>
      <c r="I11" s="196">
        <f t="shared" si="1"/>
        <v>232000</v>
      </c>
      <c r="J11" s="196">
        <f t="shared" si="1"/>
        <v>1276000</v>
      </c>
      <c r="K11" s="168"/>
      <c r="AL11" s="164" t="s">
        <v>82</v>
      </c>
      <c r="AM11" s="169" t="s">
        <v>81</v>
      </c>
    </row>
    <row r="12" s="152" customFormat="1" ht="15.75" customHeight="1" spans="1:39">
      <c r="A12" s="154">
        <v>9</v>
      </c>
      <c r="B12" s="197" t="s">
        <v>83</v>
      </c>
      <c r="C12" s="194">
        <f>'2024年'!E15</f>
        <v>818400</v>
      </c>
      <c r="D12" s="193">
        <f>'2025年'!E15</f>
        <v>743968</v>
      </c>
      <c r="E12" s="194">
        <f>'2026年'!E15</f>
        <v>1348177.92</v>
      </c>
      <c r="F12" s="193">
        <f>'2027年'!E15</f>
        <v>1217020.5824</v>
      </c>
      <c r="G12" s="193">
        <f>'2028年'!E15</f>
        <v>1093985.564928</v>
      </c>
      <c r="H12" s="193">
        <f>'2029年'!E15</f>
        <v>978619.81798016</v>
      </c>
      <c r="I12" s="193">
        <f>'2030年'!E15</f>
        <v>870494.352440755</v>
      </c>
      <c r="J12" s="193">
        <f>SUM(D12:I12)</f>
        <v>6252266.23774892</v>
      </c>
      <c r="K12" s="168"/>
      <c r="M12" s="187"/>
      <c r="N12" s="187"/>
      <c r="O12" s="187"/>
      <c r="P12" s="187"/>
      <c r="Q12" s="187"/>
      <c r="R12" s="187"/>
      <c r="AL12" s="164" t="s">
        <v>84</v>
      </c>
      <c r="AM12" s="169" t="s">
        <v>83</v>
      </c>
    </row>
    <row r="13" ht="15.75" customHeight="1" spans="1:39">
      <c r="A13" s="154">
        <v>10</v>
      </c>
      <c r="B13" s="198" t="s">
        <v>85</v>
      </c>
      <c r="C13" s="199">
        <f>+C12/C6</f>
        <v>0.352758620689655</v>
      </c>
      <c r="D13" s="199">
        <f t="shared" ref="D13:J13" si="2">+D12/D6</f>
        <v>0.337553539019964</v>
      </c>
      <c r="E13" s="199">
        <f t="shared" si="2"/>
        <v>0.321945247874678</v>
      </c>
      <c r="F13" s="199">
        <f t="shared" si="2"/>
        <v>0.305920884817833</v>
      </c>
      <c r="G13" s="199">
        <f t="shared" si="2"/>
        <v>0.289467086424529</v>
      </c>
      <c r="H13" s="199">
        <f t="shared" si="2"/>
        <v>0.272569965617959</v>
      </c>
      <c r="I13" s="199">
        <f t="shared" si="2"/>
        <v>0.255215087891653</v>
      </c>
      <c r="J13" s="199">
        <f t="shared" si="2"/>
        <v>0.295611246945435</v>
      </c>
      <c r="K13" s="168"/>
      <c r="AL13" s="198" t="s">
        <v>86</v>
      </c>
      <c r="AM13" s="198" t="s">
        <v>85</v>
      </c>
    </row>
    <row r="14" ht="15.75" customHeight="1" spans="1:39">
      <c r="A14" s="154">
        <v>11</v>
      </c>
      <c r="B14" s="198" t="s">
        <v>87</v>
      </c>
      <c r="C14" s="194">
        <f>'2024年'!E17</f>
        <v>139200</v>
      </c>
      <c r="D14" s="193">
        <f>'2025年'!E17</f>
        <v>139200</v>
      </c>
      <c r="E14" s="194">
        <f>'2026年'!E17</f>
        <v>278400</v>
      </c>
      <c r="F14" s="193">
        <f>'2027年'!E17</f>
        <v>278400</v>
      </c>
      <c r="G14" s="193">
        <f>'2028年'!E17</f>
        <v>278400</v>
      </c>
      <c r="H14" s="193">
        <f>'2029年'!E17</f>
        <v>278400</v>
      </c>
      <c r="I14" s="193">
        <f>'2030年'!E17</f>
        <v>278400</v>
      </c>
      <c r="J14" s="193">
        <f>SUM(D14:I14)</f>
        <v>1531200</v>
      </c>
      <c r="K14" s="168"/>
      <c r="AL14" s="198" t="s">
        <v>88</v>
      </c>
      <c r="AM14" s="198" t="s">
        <v>87</v>
      </c>
    </row>
    <row r="15" ht="15.75" customHeight="1" spans="1:39">
      <c r="A15" s="154"/>
      <c r="B15" s="172" t="s">
        <v>89</v>
      </c>
      <c r="C15" s="193"/>
      <c r="D15" s="193"/>
      <c r="E15" s="194"/>
      <c r="F15" s="193"/>
      <c r="G15" s="193"/>
      <c r="H15" s="193"/>
      <c r="I15" s="193"/>
      <c r="J15" s="193">
        <f>SUM(D15:I15)</f>
        <v>0</v>
      </c>
      <c r="K15" s="174" t="s">
        <v>90</v>
      </c>
      <c r="AL15" s="198"/>
      <c r="AM15" s="198"/>
    </row>
    <row r="16" ht="15.75" customHeight="1" spans="1:40">
      <c r="A16" s="154">
        <v>12</v>
      </c>
      <c r="B16" s="198" t="s">
        <v>91</v>
      </c>
      <c r="C16" s="194">
        <f>'2024年'!E19</f>
        <v>32480</v>
      </c>
      <c r="D16" s="200">
        <f>'2025年'!E19</f>
        <v>32480</v>
      </c>
      <c r="E16" s="200">
        <f>'2026年'!E19</f>
        <v>64960</v>
      </c>
      <c r="F16" s="193">
        <f>'2027年'!E19</f>
        <v>64960</v>
      </c>
      <c r="G16" s="193">
        <f>'2028年'!E19</f>
        <v>64960</v>
      </c>
      <c r="H16" s="193">
        <f>'2029年'!E19</f>
        <v>64960</v>
      </c>
      <c r="I16" s="193">
        <f>'2030年'!E19</f>
        <v>64960</v>
      </c>
      <c r="J16" s="193">
        <f>SUM(D16:I16)</f>
        <v>357280</v>
      </c>
      <c r="K16" s="168"/>
      <c r="S16" s="168"/>
      <c r="AL16" s="198" t="s">
        <v>92</v>
      </c>
      <c r="AM16" s="198" t="s">
        <v>91</v>
      </c>
      <c r="AN16" s="187" t="s">
        <v>62</v>
      </c>
    </row>
    <row r="17" ht="15.75" customHeight="1" spans="1:39">
      <c r="A17" s="154">
        <v>13</v>
      </c>
      <c r="B17" s="198" t="s">
        <v>93</v>
      </c>
      <c r="C17" s="194">
        <f>'2024年'!E20</f>
        <v>46400</v>
      </c>
      <c r="D17" s="200">
        <f>'2025年'!E20</f>
        <v>46400</v>
      </c>
      <c r="E17" s="200">
        <f>'2026年'!E20</f>
        <v>92800</v>
      </c>
      <c r="F17" s="193">
        <f>'2027年'!E20</f>
        <v>92800</v>
      </c>
      <c r="G17" s="193">
        <f>'2028年'!E20</f>
        <v>92800</v>
      </c>
      <c r="H17" s="193">
        <f>'2029年'!E20</f>
        <v>92800</v>
      </c>
      <c r="I17" s="193">
        <f>'2030年'!E20</f>
        <v>92800</v>
      </c>
      <c r="J17" s="193">
        <f>SUM(D17:I17)</f>
        <v>510400</v>
      </c>
      <c r="K17" s="168"/>
      <c r="AL17" s="198" t="s">
        <v>94</v>
      </c>
      <c r="AM17" s="198" t="s">
        <v>93</v>
      </c>
    </row>
    <row r="18" s="151" customFormat="1" ht="15.75" customHeight="1" spans="1:39">
      <c r="A18" s="154">
        <v>14</v>
      </c>
      <c r="B18" s="176" t="s">
        <v>95</v>
      </c>
      <c r="C18" s="193"/>
      <c r="D18" s="201">
        <f>'2025年'!E21</f>
        <v>28571.4285714286</v>
      </c>
      <c r="E18" s="201">
        <f>'2026年'!E21</f>
        <v>28571.4285714286</v>
      </c>
      <c r="F18" s="201">
        <f>'2027年'!E21</f>
        <v>28571.4285714286</v>
      </c>
      <c r="G18" s="193">
        <f>'2028年'!E21</f>
        <v>28571.4285714286</v>
      </c>
      <c r="H18" s="193">
        <f>'2029年'!E21</f>
        <v>28571.4285714286</v>
      </c>
      <c r="I18" s="193">
        <f>'2030年'!E21</f>
        <v>28571.4285714286</v>
      </c>
      <c r="J18" s="193">
        <f>SUM(D18:F18)</f>
        <v>85714.2857142857</v>
      </c>
      <c r="K18" s="168"/>
      <c r="AL18" s="176"/>
      <c r="AM18" s="176"/>
    </row>
    <row r="19" s="152" customFormat="1" ht="15.75" customHeight="1" spans="1:39">
      <c r="A19" s="154">
        <v>15</v>
      </c>
      <c r="B19" s="164" t="s">
        <v>96</v>
      </c>
      <c r="C19" s="194">
        <f>'2024年'!E22</f>
        <v>92800</v>
      </c>
      <c r="D19" s="200">
        <f>'2025年'!E22</f>
        <v>92800</v>
      </c>
      <c r="E19" s="200">
        <f>'2026年'!E22</f>
        <v>185600</v>
      </c>
      <c r="F19" s="193">
        <f>'2027年'!E22</f>
        <v>185600</v>
      </c>
      <c r="G19" s="193">
        <f>'2028年'!E22</f>
        <v>185600</v>
      </c>
      <c r="H19" s="193">
        <f>'2029年'!E22</f>
        <v>185600</v>
      </c>
      <c r="I19" s="193">
        <f>'2030年'!E22</f>
        <v>185600</v>
      </c>
      <c r="J19" s="193">
        <f t="shared" ref="J19:J23" si="3">SUM(D19:I19)</f>
        <v>1020800</v>
      </c>
      <c r="K19" s="168"/>
      <c r="AL19" s="164" t="s">
        <v>97</v>
      </c>
      <c r="AM19" s="164" t="s">
        <v>96</v>
      </c>
    </row>
    <row r="20" s="185" customFormat="1" ht="15.75" customHeight="1" spans="1:39">
      <c r="A20" s="154">
        <v>16</v>
      </c>
      <c r="B20" s="202" t="s">
        <v>98</v>
      </c>
      <c r="C20" s="196">
        <f>+C19+C18+C17+C16+C14</f>
        <v>310880</v>
      </c>
      <c r="D20" s="196">
        <f t="shared" ref="D20:J20" si="4">+D19+D18+D17+D16+D14</f>
        <v>339451.428571429</v>
      </c>
      <c r="E20" s="196">
        <f t="shared" si="4"/>
        <v>650331.428571429</v>
      </c>
      <c r="F20" s="196">
        <f t="shared" si="4"/>
        <v>650331.428571429</v>
      </c>
      <c r="G20" s="196">
        <f t="shared" si="4"/>
        <v>650331.428571429</v>
      </c>
      <c r="H20" s="196">
        <f t="shared" si="4"/>
        <v>650331.428571429</v>
      </c>
      <c r="I20" s="196">
        <f t="shared" si="4"/>
        <v>650331.428571429</v>
      </c>
      <c r="J20" s="196">
        <f t="shared" si="4"/>
        <v>3505394.28571429</v>
      </c>
      <c r="K20" s="168"/>
      <c r="AL20" s="215" t="s">
        <v>99</v>
      </c>
      <c r="AM20" s="216" t="s">
        <v>98</v>
      </c>
    </row>
    <row r="21" ht="15.75" customHeight="1" spans="1:39">
      <c r="A21" s="154">
        <v>17</v>
      </c>
      <c r="B21" s="198" t="s">
        <v>100</v>
      </c>
      <c r="C21" s="194">
        <f>'2024年'!E24</f>
        <v>478948.571428571</v>
      </c>
      <c r="D21" s="203">
        <f>'2025年'!E24</f>
        <v>404516.571428572</v>
      </c>
      <c r="E21" s="203">
        <f>'2026年'!E24</f>
        <v>697846.491428572</v>
      </c>
      <c r="F21" s="193">
        <f>'2027年'!E24</f>
        <v>566689.153828572</v>
      </c>
      <c r="G21" s="193">
        <f>'2028年'!E24</f>
        <v>443654.136356571</v>
      </c>
      <c r="H21" s="193">
        <f>'2029年'!E24</f>
        <v>328288.389408731</v>
      </c>
      <c r="I21" s="193">
        <f>'2030年'!E24</f>
        <v>220162.923869326</v>
      </c>
      <c r="J21" s="193">
        <f t="shared" si="3"/>
        <v>2661157.66632034</v>
      </c>
      <c r="K21" s="213" t="s">
        <v>52</v>
      </c>
      <c r="AL21" s="198" t="s">
        <v>101</v>
      </c>
      <c r="AM21" s="198" t="s">
        <v>100</v>
      </c>
    </row>
    <row r="22" ht="15.75" customHeight="1" spans="1:39">
      <c r="A22" s="154">
        <v>18</v>
      </c>
      <c r="B22" s="198" t="s">
        <v>38</v>
      </c>
      <c r="C22" s="194">
        <f>'2024年'!E25</f>
        <v>119737.142857143</v>
      </c>
      <c r="D22" s="203">
        <f>'2025年'!E25</f>
        <v>101129.142857143</v>
      </c>
      <c r="E22" s="203">
        <f>'2026年'!E25</f>
        <v>174461.622857143</v>
      </c>
      <c r="F22" s="193">
        <f>'2027年'!E25</f>
        <v>141672.288457143</v>
      </c>
      <c r="G22" s="193">
        <f>'2028年'!E25</f>
        <v>110913.534089143</v>
      </c>
      <c r="H22" s="193">
        <f>'2029年'!E25</f>
        <v>82072.0973521828</v>
      </c>
      <c r="I22" s="193">
        <f>'2030年'!E25</f>
        <v>55040.7309673315</v>
      </c>
      <c r="J22" s="193">
        <f t="shared" si="3"/>
        <v>665289.416580086</v>
      </c>
      <c r="K22" s="168"/>
      <c r="AL22" s="198" t="s">
        <v>102</v>
      </c>
      <c r="AM22" s="198" t="s">
        <v>38</v>
      </c>
    </row>
    <row r="23" ht="15.75" customHeight="1" spans="1:39">
      <c r="A23" s="154">
        <v>19</v>
      </c>
      <c r="B23" s="198" t="s">
        <v>103</v>
      </c>
      <c r="C23" s="194">
        <f>'2024年'!E26</f>
        <v>359211.428571429</v>
      </c>
      <c r="D23" s="203">
        <f>'2025年'!E26</f>
        <v>303387.428571429</v>
      </c>
      <c r="E23" s="203">
        <f>'2026年'!E26</f>
        <v>523384.868571429</v>
      </c>
      <c r="F23" s="193">
        <f>'2027年'!E26</f>
        <v>425016.865371429</v>
      </c>
      <c r="G23" s="193">
        <f>'2028年'!E26</f>
        <v>332740.602267428</v>
      </c>
      <c r="H23" s="193">
        <f>'2029年'!E26</f>
        <v>246216.292056548</v>
      </c>
      <c r="I23" s="193">
        <f>'2030年'!E26</f>
        <v>165122.192901995</v>
      </c>
      <c r="J23" s="193">
        <f t="shared" si="3"/>
        <v>1995868.24974026</v>
      </c>
      <c r="K23" s="213" t="s">
        <v>52</v>
      </c>
      <c r="AL23" s="198" t="s">
        <v>104</v>
      </c>
      <c r="AM23" s="198" t="s">
        <v>103</v>
      </c>
    </row>
    <row r="24" ht="15.75" customHeight="1" spans="1:39">
      <c r="A24" s="154">
        <v>20</v>
      </c>
      <c r="B24" s="198" t="s">
        <v>105</v>
      </c>
      <c r="C24" s="204">
        <f>C23/C4</f>
        <v>0.154832512315271</v>
      </c>
      <c r="D24" s="204">
        <f t="shared" ref="D24:J24" si="5">D23/D4</f>
        <v>0.130770443349754</v>
      </c>
      <c r="E24" s="204">
        <f t="shared" si="5"/>
        <v>0.112798463054187</v>
      </c>
      <c r="F24" s="204">
        <f t="shared" si="5"/>
        <v>0.0915984623645321</v>
      </c>
      <c r="G24" s="204">
        <f t="shared" si="5"/>
        <v>0.0717113366955665</v>
      </c>
      <c r="H24" s="204">
        <f t="shared" si="5"/>
        <v>0.0530638560466699</v>
      </c>
      <c r="I24" s="204">
        <f t="shared" si="5"/>
        <v>0.0355866795047402</v>
      </c>
      <c r="J24" s="204">
        <f t="shared" si="5"/>
        <v>0.0782080035164678</v>
      </c>
      <c r="K24" s="213" t="s">
        <v>52</v>
      </c>
      <c r="AL24" s="217" t="s">
        <v>106</v>
      </c>
      <c r="AM24" s="217" t="s">
        <v>107</v>
      </c>
    </row>
    <row r="25" s="186" customFormat="1" ht="15.75" customHeight="1" spans="4:11">
      <c r="D25" s="205"/>
      <c r="E25" s="205"/>
      <c r="F25" s="205"/>
      <c r="G25" s="205"/>
      <c r="H25" s="205"/>
      <c r="I25" s="205"/>
      <c r="J25" s="205"/>
      <c r="K25" s="214"/>
    </row>
    <row r="26" s="186" customFormat="1" ht="15.75" customHeight="1" spans="1:38">
      <c r="A26" s="186" t="s">
        <v>108</v>
      </c>
      <c r="D26" s="206"/>
      <c r="E26" s="206"/>
      <c r="F26" s="206"/>
      <c r="G26" s="206"/>
      <c r="H26" s="206"/>
      <c r="I26" s="206"/>
      <c r="J26" s="206"/>
      <c r="K26" s="214"/>
      <c r="AL26" s="186" t="s">
        <v>108</v>
      </c>
    </row>
    <row r="27" ht="15.75" customHeight="1" spans="1:40">
      <c r="A27" s="198" t="s">
        <v>21</v>
      </c>
      <c r="B27" s="207" t="s">
        <v>1</v>
      </c>
      <c r="C27" s="191" t="s">
        <v>53</v>
      </c>
      <c r="D27" s="191" t="s">
        <v>109</v>
      </c>
      <c r="E27" s="191" t="s">
        <v>55</v>
      </c>
      <c r="F27" s="191" t="s">
        <v>56</v>
      </c>
      <c r="G27" s="191" t="s">
        <v>57</v>
      </c>
      <c r="H27" s="191" t="s">
        <v>58</v>
      </c>
      <c r="I27" s="191" t="s">
        <v>59</v>
      </c>
      <c r="J27" s="212" t="s">
        <v>60</v>
      </c>
      <c r="AN27" s="187" t="s">
        <v>61</v>
      </c>
    </row>
    <row r="28" s="152" customFormat="1" ht="15.75" customHeight="1" spans="1:39">
      <c r="A28" s="164" t="s">
        <v>110</v>
      </c>
      <c r="B28" s="169" t="s">
        <v>111</v>
      </c>
      <c r="C28" s="169"/>
      <c r="D28" s="175"/>
      <c r="E28" s="175"/>
      <c r="F28" s="175"/>
      <c r="G28" s="175"/>
      <c r="H28" s="175"/>
      <c r="I28" s="175"/>
      <c r="J28" s="175"/>
      <c r="K28" s="168"/>
      <c r="AL28" s="164" t="s">
        <v>112</v>
      </c>
      <c r="AM28" s="169" t="s">
        <v>111</v>
      </c>
    </row>
    <row r="29" s="152" customFormat="1" ht="15.75" customHeight="1" spans="1:39">
      <c r="A29" s="164" t="s">
        <v>64</v>
      </c>
      <c r="B29" s="164" t="s">
        <v>113</v>
      </c>
      <c r="C29" s="167">
        <f>+C6/C3</f>
        <v>1160</v>
      </c>
      <c r="D29" s="167">
        <f t="shared" ref="D29:J29" si="6">+D6/D3</f>
        <v>1102</v>
      </c>
      <c r="E29" s="167">
        <f t="shared" si="6"/>
        <v>1046.9</v>
      </c>
      <c r="F29" s="167">
        <f t="shared" si="6"/>
        <v>994.555</v>
      </c>
      <c r="G29" s="167">
        <f t="shared" si="6"/>
        <v>944.82725</v>
      </c>
      <c r="H29" s="167">
        <f t="shared" si="6"/>
        <v>897.5858875</v>
      </c>
      <c r="I29" s="167">
        <f t="shared" si="6"/>
        <v>852.706593125</v>
      </c>
      <c r="J29" s="167">
        <f t="shared" si="6"/>
        <v>961.37722375</v>
      </c>
      <c r="K29" s="168"/>
      <c r="AL29" s="164" t="s">
        <v>64</v>
      </c>
      <c r="AM29" s="164" t="s">
        <v>113</v>
      </c>
    </row>
    <row r="30" s="152" customFormat="1" ht="15.75" customHeight="1" spans="1:39">
      <c r="A30" s="164" t="s">
        <v>66</v>
      </c>
      <c r="B30" s="164" t="s">
        <v>114</v>
      </c>
      <c r="C30" s="167">
        <f>+C7/C3</f>
        <v>692.8</v>
      </c>
      <c r="D30" s="167">
        <f t="shared" ref="D30:J30" si="7">+D7/D3</f>
        <v>672.016</v>
      </c>
      <c r="E30" s="167">
        <f t="shared" si="7"/>
        <v>651.85552</v>
      </c>
      <c r="F30" s="167">
        <f t="shared" si="7"/>
        <v>632.2998544</v>
      </c>
      <c r="G30" s="167">
        <f t="shared" si="7"/>
        <v>613.330858768</v>
      </c>
      <c r="H30" s="167">
        <f t="shared" si="7"/>
        <v>594.93093300496</v>
      </c>
      <c r="I30" s="167">
        <f t="shared" si="7"/>
        <v>577.083005014811</v>
      </c>
      <c r="J30" s="167">
        <f t="shared" si="7"/>
        <v>619.183303852322</v>
      </c>
      <c r="K30" s="168"/>
      <c r="AL30" s="164" t="s">
        <v>66</v>
      </c>
      <c r="AM30" s="164" t="s">
        <v>114</v>
      </c>
    </row>
    <row r="31" s="152" customFormat="1" ht="15.75" customHeight="1" spans="1:39">
      <c r="A31" s="164" t="s">
        <v>115</v>
      </c>
      <c r="B31" s="164" t="s">
        <v>116</v>
      </c>
      <c r="C31" s="175">
        <f>C29-C30</f>
        <v>467.2</v>
      </c>
      <c r="D31" s="175">
        <f t="shared" ref="D31:J31" si="8">D29-D30</f>
        <v>429.984</v>
      </c>
      <c r="E31" s="175">
        <f t="shared" si="8"/>
        <v>395.04448</v>
      </c>
      <c r="F31" s="175">
        <f t="shared" si="8"/>
        <v>362.2551456</v>
      </c>
      <c r="G31" s="175">
        <f t="shared" si="8"/>
        <v>331.496391232</v>
      </c>
      <c r="H31" s="175">
        <f t="shared" si="8"/>
        <v>302.65495449504</v>
      </c>
      <c r="I31" s="175">
        <f t="shared" si="8"/>
        <v>275.623588110189</v>
      </c>
      <c r="J31" s="175">
        <f t="shared" si="8"/>
        <v>342.193919897678</v>
      </c>
      <c r="K31" s="168"/>
      <c r="AL31" s="164" t="s">
        <v>115</v>
      </c>
      <c r="AM31" s="164" t="s">
        <v>116</v>
      </c>
    </row>
    <row r="32" s="152" customFormat="1" ht="15.75" customHeight="1" spans="1:39">
      <c r="A32" s="164">
        <v>3.1</v>
      </c>
      <c r="B32" s="164" t="s">
        <v>117</v>
      </c>
      <c r="C32" s="170">
        <f>C31/C29</f>
        <v>0.402758620689655</v>
      </c>
      <c r="D32" s="170">
        <f t="shared" ref="D32:J32" si="9">D31/D29</f>
        <v>0.390185117967332</v>
      </c>
      <c r="E32" s="170">
        <f t="shared" si="9"/>
        <v>0.377346909924539</v>
      </c>
      <c r="F32" s="170">
        <f t="shared" si="9"/>
        <v>0.364238423817687</v>
      </c>
      <c r="G32" s="170">
        <f t="shared" si="9"/>
        <v>0.35085396958227</v>
      </c>
      <c r="H32" s="170">
        <f t="shared" si="9"/>
        <v>0.33718773736295</v>
      </c>
      <c r="I32" s="170">
        <f t="shared" si="9"/>
        <v>0.323233794991643</v>
      </c>
      <c r="J32" s="170">
        <f t="shared" si="9"/>
        <v>0.355941363539795</v>
      </c>
      <c r="K32" s="168"/>
      <c r="AL32" s="164"/>
      <c r="AM32" s="164"/>
    </row>
    <row r="33" s="152" customFormat="1" ht="15.75" customHeight="1" spans="1:39">
      <c r="A33" s="164" t="s">
        <v>112</v>
      </c>
      <c r="B33" s="169" t="s">
        <v>10</v>
      </c>
      <c r="C33" s="175"/>
      <c r="D33" s="175"/>
      <c r="E33" s="175"/>
      <c r="F33" s="175"/>
      <c r="G33" s="175"/>
      <c r="H33" s="175"/>
      <c r="I33" s="175"/>
      <c r="J33" s="175"/>
      <c r="K33" s="168"/>
      <c r="AL33" s="164" t="s">
        <v>118</v>
      </c>
      <c r="AM33" s="169" t="s">
        <v>10</v>
      </c>
    </row>
    <row r="34" s="152" customFormat="1" ht="15.75" customHeight="1" spans="1:39">
      <c r="A34" s="164" t="s">
        <v>64</v>
      </c>
      <c r="B34" s="176" t="s">
        <v>119</v>
      </c>
      <c r="C34" s="167">
        <f>+C8/C3</f>
        <v>34.8</v>
      </c>
      <c r="D34" s="167">
        <f t="shared" ref="D34:J34" si="10">+D8/D3</f>
        <v>34.8</v>
      </c>
      <c r="E34" s="167">
        <f t="shared" si="10"/>
        <v>34.8</v>
      </c>
      <c r="F34" s="167">
        <f t="shared" si="10"/>
        <v>34.8</v>
      </c>
      <c r="G34" s="167">
        <f t="shared" si="10"/>
        <v>34.8</v>
      </c>
      <c r="H34" s="167">
        <f t="shared" si="10"/>
        <v>34.8</v>
      </c>
      <c r="I34" s="167">
        <f t="shared" si="10"/>
        <v>34.8</v>
      </c>
      <c r="J34" s="167">
        <f t="shared" si="10"/>
        <v>34.8</v>
      </c>
      <c r="K34" s="168"/>
      <c r="AL34" s="164" t="s">
        <v>115</v>
      </c>
      <c r="AM34" s="164" t="s">
        <v>119</v>
      </c>
    </row>
    <row r="35" s="152" customFormat="1" ht="15.75" customHeight="1" spans="1:39">
      <c r="A35" s="164" t="s">
        <v>66</v>
      </c>
      <c r="B35" s="176" t="s">
        <v>120</v>
      </c>
      <c r="C35" s="167">
        <f>+C9/C3</f>
        <v>11.6</v>
      </c>
      <c r="D35" s="167">
        <f t="shared" ref="D35:J35" si="11">+D9/D3</f>
        <v>11.6</v>
      </c>
      <c r="E35" s="167">
        <f t="shared" si="11"/>
        <v>11.6</v>
      </c>
      <c r="F35" s="167">
        <f t="shared" si="11"/>
        <v>11.6</v>
      </c>
      <c r="G35" s="167">
        <f t="shared" si="11"/>
        <v>11.6</v>
      </c>
      <c r="H35" s="167">
        <f t="shared" si="11"/>
        <v>11.6</v>
      </c>
      <c r="I35" s="167">
        <f t="shared" si="11"/>
        <v>11.6</v>
      </c>
      <c r="J35" s="167">
        <f t="shared" si="11"/>
        <v>11.6</v>
      </c>
      <c r="K35" s="168"/>
      <c r="AL35" s="164" t="s">
        <v>69</v>
      </c>
      <c r="AM35" s="164" t="s">
        <v>120</v>
      </c>
    </row>
    <row r="36" s="152" customFormat="1" ht="15.75" customHeight="1" spans="1:39">
      <c r="A36" s="164" t="s">
        <v>115</v>
      </c>
      <c r="B36" s="176" t="s">
        <v>121</v>
      </c>
      <c r="C36" s="167">
        <f>+C10/C3</f>
        <v>11.6</v>
      </c>
      <c r="D36" s="167">
        <f t="shared" ref="D36:J36" si="12">+D10/D3</f>
        <v>11.6</v>
      </c>
      <c r="E36" s="167">
        <f t="shared" si="12"/>
        <v>11.6</v>
      </c>
      <c r="F36" s="167">
        <f t="shared" si="12"/>
        <v>11.6</v>
      </c>
      <c r="G36" s="167">
        <f t="shared" si="12"/>
        <v>11.6</v>
      </c>
      <c r="H36" s="167">
        <f t="shared" si="12"/>
        <v>11.6</v>
      </c>
      <c r="I36" s="167">
        <f t="shared" si="12"/>
        <v>11.6</v>
      </c>
      <c r="J36" s="167">
        <f t="shared" si="12"/>
        <v>11.6</v>
      </c>
      <c r="K36" s="168"/>
      <c r="AL36" s="164" t="s">
        <v>76</v>
      </c>
      <c r="AM36" s="164" t="s">
        <v>121</v>
      </c>
    </row>
    <row r="37" s="152" customFormat="1" ht="15.75" customHeight="1" spans="1:39">
      <c r="A37" s="164" t="s">
        <v>122</v>
      </c>
      <c r="B37" s="197" t="s">
        <v>123</v>
      </c>
      <c r="C37" s="167"/>
      <c r="D37" s="167"/>
      <c r="E37" s="167"/>
      <c r="F37" s="167"/>
      <c r="G37" s="167"/>
      <c r="H37" s="167"/>
      <c r="I37" s="167"/>
      <c r="J37" s="167"/>
      <c r="K37" s="168"/>
      <c r="AL37" s="164" t="s">
        <v>122</v>
      </c>
      <c r="AM37" s="169" t="s">
        <v>123</v>
      </c>
    </row>
    <row r="38" s="152" customFormat="1" spans="1:39">
      <c r="A38" s="164" t="s">
        <v>64</v>
      </c>
      <c r="B38" s="176" t="s">
        <v>124</v>
      </c>
      <c r="C38" s="167">
        <f>+C12/C3</f>
        <v>409.2</v>
      </c>
      <c r="D38" s="167">
        <f t="shared" ref="D38:J38" si="13">+D12/D3</f>
        <v>371.984</v>
      </c>
      <c r="E38" s="167">
        <f t="shared" si="13"/>
        <v>337.04448</v>
      </c>
      <c r="F38" s="167">
        <f t="shared" si="13"/>
        <v>304.2551456</v>
      </c>
      <c r="G38" s="167">
        <f t="shared" si="13"/>
        <v>273.496391232</v>
      </c>
      <c r="H38" s="167">
        <f t="shared" si="13"/>
        <v>244.65495449504</v>
      </c>
      <c r="I38" s="167">
        <f t="shared" si="13"/>
        <v>217.623588110189</v>
      </c>
      <c r="J38" s="167">
        <f t="shared" si="13"/>
        <v>284.193919897678</v>
      </c>
      <c r="K38" s="168"/>
      <c r="AL38" s="164" t="s">
        <v>64</v>
      </c>
      <c r="AM38" s="164" t="s">
        <v>125</v>
      </c>
    </row>
    <row r="39" s="152" customFormat="1" ht="15.75" customHeight="1" spans="1:39">
      <c r="A39" s="164" t="s">
        <v>66</v>
      </c>
      <c r="B39" s="176" t="s">
        <v>126</v>
      </c>
      <c r="C39" s="193">
        <f>+C20/C38</f>
        <v>759.726295210166</v>
      </c>
      <c r="D39" s="193">
        <f t="shared" ref="D39:J39" si="14">+D20/D38</f>
        <v>912.543089410911</v>
      </c>
      <c r="E39" s="193">
        <f t="shared" si="14"/>
        <v>1929.51217765509</v>
      </c>
      <c r="F39" s="193">
        <f t="shared" si="14"/>
        <v>2137.45416626876</v>
      </c>
      <c r="G39" s="193">
        <f t="shared" si="14"/>
        <v>2377.84281409318</v>
      </c>
      <c r="H39" s="193">
        <f t="shared" si="14"/>
        <v>2658.15760777742</v>
      </c>
      <c r="I39" s="193">
        <f t="shared" si="14"/>
        <v>2988.33152333721</v>
      </c>
      <c r="J39" s="193">
        <f t="shared" si="14"/>
        <v>12334.5154146027</v>
      </c>
      <c r="K39" s="168"/>
      <c r="AL39" s="164" t="s">
        <v>66</v>
      </c>
      <c r="AM39" s="164" t="s">
        <v>126</v>
      </c>
    </row>
    <row r="40" s="152" customFormat="1" ht="15.75" customHeight="1" spans="1:39">
      <c r="A40" s="164" t="s">
        <v>127</v>
      </c>
      <c r="B40" s="169" t="s">
        <v>128</v>
      </c>
      <c r="C40" s="175"/>
      <c r="D40" s="175"/>
      <c r="E40" s="175"/>
      <c r="F40" s="175"/>
      <c r="G40" s="175"/>
      <c r="H40" s="175"/>
      <c r="I40" s="175"/>
      <c r="J40" s="175"/>
      <c r="K40" s="168"/>
      <c r="AL40" s="164" t="s">
        <v>127</v>
      </c>
      <c r="AM40" s="169" t="s">
        <v>128</v>
      </c>
    </row>
    <row r="41" s="152" customFormat="1" ht="15.75" customHeight="1" spans="1:39">
      <c r="A41" s="164" t="s">
        <v>64</v>
      </c>
      <c r="B41" s="164" t="s">
        <v>129</v>
      </c>
      <c r="C41" s="175">
        <f>+C14/C3</f>
        <v>69.6</v>
      </c>
      <c r="D41" s="175">
        <f t="shared" ref="D41:J41" si="15">+D14/D3</f>
        <v>69.6</v>
      </c>
      <c r="E41" s="175">
        <f t="shared" si="15"/>
        <v>69.6</v>
      </c>
      <c r="F41" s="175">
        <f t="shared" si="15"/>
        <v>69.6</v>
      </c>
      <c r="G41" s="175">
        <f t="shared" si="15"/>
        <v>69.6</v>
      </c>
      <c r="H41" s="175">
        <f t="shared" si="15"/>
        <v>69.6</v>
      </c>
      <c r="I41" s="175">
        <f t="shared" si="15"/>
        <v>69.6</v>
      </c>
      <c r="J41" s="175">
        <f t="shared" si="15"/>
        <v>69.6</v>
      </c>
      <c r="K41" s="168"/>
      <c r="AL41" s="164" t="s">
        <v>64</v>
      </c>
      <c r="AM41" s="164" t="s">
        <v>129</v>
      </c>
    </row>
    <row r="42" s="152" customFormat="1" ht="15.75" customHeight="1" spans="1:39">
      <c r="A42" s="164" t="s">
        <v>66</v>
      </c>
      <c r="B42" s="164" t="s">
        <v>130</v>
      </c>
      <c r="C42" s="175">
        <f>+C16/C3</f>
        <v>16.24</v>
      </c>
      <c r="D42" s="175">
        <f t="shared" ref="D42:J42" si="16">+D16/D3</f>
        <v>16.24</v>
      </c>
      <c r="E42" s="175">
        <f t="shared" si="16"/>
        <v>16.24</v>
      </c>
      <c r="F42" s="175">
        <f t="shared" si="16"/>
        <v>16.24</v>
      </c>
      <c r="G42" s="175">
        <f t="shared" si="16"/>
        <v>16.24</v>
      </c>
      <c r="H42" s="175">
        <f t="shared" si="16"/>
        <v>16.24</v>
      </c>
      <c r="I42" s="175">
        <f t="shared" si="16"/>
        <v>16.24</v>
      </c>
      <c r="J42" s="175">
        <f t="shared" si="16"/>
        <v>16.24</v>
      </c>
      <c r="K42" s="168"/>
      <c r="AL42" s="164" t="s">
        <v>66</v>
      </c>
      <c r="AM42" s="164" t="s">
        <v>130</v>
      </c>
    </row>
    <row r="43" s="152" customFormat="1" ht="15.75" customHeight="1" spans="1:39">
      <c r="A43" s="164" t="s">
        <v>115</v>
      </c>
      <c r="B43" s="164" t="s">
        <v>131</v>
      </c>
      <c r="C43" s="175">
        <f>+C17/C3</f>
        <v>23.2</v>
      </c>
      <c r="D43" s="175">
        <f t="shared" ref="D43:J43" si="17">+D17/D3</f>
        <v>23.2</v>
      </c>
      <c r="E43" s="175">
        <f t="shared" si="17"/>
        <v>23.2</v>
      </c>
      <c r="F43" s="175">
        <f t="shared" si="17"/>
        <v>23.2</v>
      </c>
      <c r="G43" s="175">
        <f t="shared" si="17"/>
        <v>23.2</v>
      </c>
      <c r="H43" s="175">
        <f t="shared" si="17"/>
        <v>23.2</v>
      </c>
      <c r="I43" s="175">
        <f t="shared" si="17"/>
        <v>23.2</v>
      </c>
      <c r="J43" s="175">
        <f t="shared" si="17"/>
        <v>23.2</v>
      </c>
      <c r="K43" s="168"/>
      <c r="AL43" s="164" t="s">
        <v>115</v>
      </c>
      <c r="AM43" s="164" t="s">
        <v>131</v>
      </c>
    </row>
    <row r="44" s="152" customFormat="1" ht="15.75" customHeight="1" spans="1:39">
      <c r="A44" s="164" t="s">
        <v>69</v>
      </c>
      <c r="B44" s="164" t="s">
        <v>132</v>
      </c>
      <c r="C44" s="175">
        <f>C18/C3</f>
        <v>0</v>
      </c>
      <c r="D44" s="175">
        <f t="shared" ref="D44:J44" si="18">D18/D3</f>
        <v>14.2857142857143</v>
      </c>
      <c r="E44" s="175">
        <f t="shared" si="18"/>
        <v>7.14285714285714</v>
      </c>
      <c r="F44" s="175">
        <f t="shared" si="18"/>
        <v>7.14285714285714</v>
      </c>
      <c r="G44" s="175">
        <f t="shared" si="18"/>
        <v>7.14285714285714</v>
      </c>
      <c r="H44" s="175">
        <f t="shared" si="18"/>
        <v>7.14285714285714</v>
      </c>
      <c r="I44" s="175">
        <f t="shared" si="18"/>
        <v>7.14285714285714</v>
      </c>
      <c r="J44" s="175">
        <f t="shared" si="18"/>
        <v>3.8961038961039</v>
      </c>
      <c r="K44" s="168"/>
      <c r="AL44" s="164" t="s">
        <v>69</v>
      </c>
      <c r="AM44" s="164" t="s">
        <v>133</v>
      </c>
    </row>
    <row r="45" s="152" customFormat="1" ht="15.75" customHeight="1" spans="1:39">
      <c r="A45" s="164" t="s">
        <v>72</v>
      </c>
      <c r="B45" s="164" t="s">
        <v>134</v>
      </c>
      <c r="C45" s="175">
        <f>C19/C3</f>
        <v>46.4</v>
      </c>
      <c r="D45" s="175">
        <f t="shared" ref="D45:J45" si="19">D19/D3</f>
        <v>46.4</v>
      </c>
      <c r="E45" s="175">
        <f t="shared" si="19"/>
        <v>46.4</v>
      </c>
      <c r="F45" s="175">
        <f t="shared" si="19"/>
        <v>46.4</v>
      </c>
      <c r="G45" s="175">
        <f t="shared" si="19"/>
        <v>46.4</v>
      </c>
      <c r="H45" s="175">
        <f t="shared" si="19"/>
        <v>46.4</v>
      </c>
      <c r="I45" s="175">
        <f t="shared" si="19"/>
        <v>46.4</v>
      </c>
      <c r="J45" s="175">
        <f t="shared" si="19"/>
        <v>46.4</v>
      </c>
      <c r="K45" s="168"/>
      <c r="AL45" s="164" t="s">
        <v>72</v>
      </c>
      <c r="AM45" s="164" t="s">
        <v>134</v>
      </c>
    </row>
    <row r="46" s="152" customFormat="1" ht="15.75" customHeight="1" spans="1:39">
      <c r="A46" s="164" t="s">
        <v>135</v>
      </c>
      <c r="B46" s="169" t="s">
        <v>136</v>
      </c>
      <c r="C46" s="175"/>
      <c r="D46" s="175"/>
      <c r="E46" s="175"/>
      <c r="F46" s="175"/>
      <c r="G46" s="175"/>
      <c r="H46" s="175"/>
      <c r="I46" s="175"/>
      <c r="J46" s="175"/>
      <c r="K46" s="168"/>
      <c r="AL46" s="164" t="s">
        <v>135</v>
      </c>
      <c r="AM46" s="169" t="s">
        <v>136</v>
      </c>
    </row>
    <row r="47" s="152" customFormat="1" ht="15.75" customHeight="1" spans="1:39">
      <c r="A47" s="164" t="s">
        <v>64</v>
      </c>
      <c r="B47" s="164" t="s">
        <v>137</v>
      </c>
      <c r="C47" s="179">
        <f>+(C10+C16)/C6</f>
        <v>0.024</v>
      </c>
      <c r="D47" s="179">
        <f t="shared" ref="D47:J47" si="20">+(D10+D16)/D6</f>
        <v>0.0252631578947368</v>
      </c>
      <c r="E47" s="179">
        <f t="shared" si="20"/>
        <v>0.0265927977839335</v>
      </c>
      <c r="F47" s="179">
        <f t="shared" si="20"/>
        <v>0.02799241871993</v>
      </c>
      <c r="G47" s="179">
        <f t="shared" si="20"/>
        <v>0.0294657039157158</v>
      </c>
      <c r="H47" s="179">
        <f t="shared" si="20"/>
        <v>0.0310165304375956</v>
      </c>
      <c r="I47" s="179">
        <f t="shared" si="20"/>
        <v>0.0326489794079954</v>
      </c>
      <c r="J47" s="179">
        <f t="shared" si="20"/>
        <v>0.028958455965293</v>
      </c>
      <c r="K47" s="168"/>
      <c r="AL47" s="164" t="s">
        <v>64</v>
      </c>
      <c r="AM47" s="164" t="s">
        <v>137</v>
      </c>
    </row>
    <row r="48" s="152" customFormat="1" ht="15.75" customHeight="1" spans="1:39">
      <c r="A48" s="164" t="s">
        <v>66</v>
      </c>
      <c r="B48" s="164" t="s">
        <v>138</v>
      </c>
      <c r="C48" s="179">
        <f>+(C8+C9+C14)/C6</f>
        <v>0.1</v>
      </c>
      <c r="D48" s="179">
        <f t="shared" ref="D48:J48" si="21">+(D8+D9+D14)/D6</f>
        <v>0.105263157894737</v>
      </c>
      <c r="E48" s="179">
        <f t="shared" si="21"/>
        <v>0.110803324099723</v>
      </c>
      <c r="F48" s="179">
        <f t="shared" si="21"/>
        <v>0.116635077999708</v>
      </c>
      <c r="G48" s="179">
        <f t="shared" si="21"/>
        <v>0.122773766315483</v>
      </c>
      <c r="H48" s="179">
        <f t="shared" si="21"/>
        <v>0.129235543489982</v>
      </c>
      <c r="I48" s="179">
        <f t="shared" si="21"/>
        <v>0.136037414199981</v>
      </c>
      <c r="J48" s="179">
        <f t="shared" si="21"/>
        <v>0.120660233188721</v>
      </c>
      <c r="K48" s="168"/>
      <c r="AL48" s="164" t="s">
        <v>66</v>
      </c>
      <c r="AM48" s="164" t="s">
        <v>138</v>
      </c>
    </row>
    <row r="49" s="152" customFormat="1" ht="15.75" customHeight="1" spans="1:39">
      <c r="A49" s="164" t="s">
        <v>115</v>
      </c>
      <c r="B49" s="164" t="s">
        <v>139</v>
      </c>
      <c r="C49" s="179">
        <f>+C17/C6</f>
        <v>0.02</v>
      </c>
      <c r="D49" s="179">
        <f t="shared" ref="D49:J49" si="22">+D17/D6</f>
        <v>0.0210526315789474</v>
      </c>
      <c r="E49" s="179">
        <f t="shared" si="22"/>
        <v>0.0221606648199446</v>
      </c>
      <c r="F49" s="179">
        <f t="shared" si="22"/>
        <v>0.0233270155999417</v>
      </c>
      <c r="G49" s="179">
        <f t="shared" si="22"/>
        <v>0.0245547532630965</v>
      </c>
      <c r="H49" s="179">
        <f t="shared" si="22"/>
        <v>0.0258471086979963</v>
      </c>
      <c r="I49" s="179">
        <f t="shared" si="22"/>
        <v>0.0272074828399961</v>
      </c>
      <c r="J49" s="179">
        <f t="shared" si="22"/>
        <v>0.0241320466377442</v>
      </c>
      <c r="K49" s="168"/>
      <c r="AL49" s="164" t="s">
        <v>115</v>
      </c>
      <c r="AM49" s="164" t="s">
        <v>139</v>
      </c>
    </row>
    <row r="50" s="152" customFormat="1" ht="15.75" customHeight="1" spans="1:39">
      <c r="A50" s="164" t="s">
        <v>69</v>
      </c>
      <c r="B50" s="164" t="s">
        <v>140</v>
      </c>
      <c r="C50" s="179">
        <f>+C18/C6</f>
        <v>0</v>
      </c>
      <c r="D50" s="179">
        <f t="shared" ref="D50:J50" si="23">+D18/D6</f>
        <v>0.0129634430904848</v>
      </c>
      <c r="E50" s="179">
        <f t="shared" si="23"/>
        <v>0.0068228647844657</v>
      </c>
      <c r="F50" s="179">
        <f t="shared" si="23"/>
        <v>0.00718196293101653</v>
      </c>
      <c r="G50" s="179">
        <f t="shared" si="23"/>
        <v>0.0075599609800174</v>
      </c>
      <c r="H50" s="179">
        <f t="shared" si="23"/>
        <v>0.00795785366317621</v>
      </c>
      <c r="I50" s="179">
        <f t="shared" si="23"/>
        <v>0.00837668806650128</v>
      </c>
      <c r="J50" s="179">
        <f t="shared" si="23"/>
        <v>0.00405262762613258</v>
      </c>
      <c r="K50" s="168"/>
      <c r="AL50" s="164" t="s">
        <v>69</v>
      </c>
      <c r="AM50" s="164" t="s">
        <v>140</v>
      </c>
    </row>
    <row r="51" s="152" customFormat="1" ht="15.75" customHeight="1" spans="1:39">
      <c r="A51" s="164" t="s">
        <v>72</v>
      </c>
      <c r="B51" s="164" t="s">
        <v>141</v>
      </c>
      <c r="C51" s="179">
        <f>+C19/C6</f>
        <v>0.04</v>
      </c>
      <c r="D51" s="179">
        <f t="shared" ref="D51:J51" si="24">+D19/D6</f>
        <v>0.0421052631578947</v>
      </c>
      <c r="E51" s="179">
        <f t="shared" si="24"/>
        <v>0.0443213296398892</v>
      </c>
      <c r="F51" s="179">
        <f t="shared" si="24"/>
        <v>0.0466540311998834</v>
      </c>
      <c r="G51" s="179">
        <f t="shared" si="24"/>
        <v>0.049109506526193</v>
      </c>
      <c r="H51" s="179">
        <f t="shared" si="24"/>
        <v>0.0516942173959927</v>
      </c>
      <c r="I51" s="179">
        <f t="shared" si="24"/>
        <v>0.0544149656799923</v>
      </c>
      <c r="J51" s="179">
        <f t="shared" si="24"/>
        <v>0.0482640932754883</v>
      </c>
      <c r="K51" s="168"/>
      <c r="AL51" s="164" t="s">
        <v>72</v>
      </c>
      <c r="AM51" s="164" t="s">
        <v>141</v>
      </c>
    </row>
    <row r="52" s="152" customFormat="1" ht="15.75" customHeight="1" spans="1:39">
      <c r="A52" s="164" t="s">
        <v>76</v>
      </c>
      <c r="B52" s="164" t="s">
        <v>142</v>
      </c>
      <c r="C52" s="179">
        <f>+C23/C6</f>
        <v>0.154832512315271</v>
      </c>
      <c r="D52" s="179">
        <f t="shared" ref="D52:J52" si="25">+D23/D6</f>
        <v>0.137653098262899</v>
      </c>
      <c r="E52" s="179">
        <f t="shared" si="25"/>
        <v>0.124984446597437</v>
      </c>
      <c r="F52" s="179">
        <f t="shared" si="25"/>
        <v>0.106835938025406</v>
      </c>
      <c r="G52" s="179">
        <f t="shared" si="25"/>
        <v>0.0880427089363237</v>
      </c>
      <c r="H52" s="179">
        <f t="shared" si="25"/>
        <v>0.0685773627586554</v>
      </c>
      <c r="I52" s="179">
        <f t="shared" si="25"/>
        <v>0.0484111985978831</v>
      </c>
      <c r="J52" s="179">
        <f t="shared" si="25"/>
        <v>0.094365959415213</v>
      </c>
      <c r="K52" s="168"/>
      <c r="AL52" s="164" t="s">
        <v>76</v>
      </c>
      <c r="AM52" s="164" t="s">
        <v>143</v>
      </c>
    </row>
    <row r="53" s="152" customFormat="1" ht="15.75" customHeight="1" spans="1:39">
      <c r="A53" s="164" t="s">
        <v>144</v>
      </c>
      <c r="B53" s="169" t="s">
        <v>145</v>
      </c>
      <c r="C53" s="175">
        <f>+C21/C3</f>
        <v>239.474285714286</v>
      </c>
      <c r="D53" s="175">
        <f t="shared" ref="D53:J53" si="26">+D21/D3</f>
        <v>202.258285714286</v>
      </c>
      <c r="E53" s="175">
        <f t="shared" si="26"/>
        <v>174.461622857143</v>
      </c>
      <c r="F53" s="175">
        <f t="shared" si="26"/>
        <v>141.672288457143</v>
      </c>
      <c r="G53" s="175">
        <f t="shared" si="26"/>
        <v>110.913534089143</v>
      </c>
      <c r="H53" s="175">
        <f t="shared" si="26"/>
        <v>82.0720973521828</v>
      </c>
      <c r="I53" s="175">
        <f t="shared" si="26"/>
        <v>55.0407309673315</v>
      </c>
      <c r="J53" s="175">
        <f t="shared" si="26"/>
        <v>120.96171210547</v>
      </c>
      <c r="K53" s="168"/>
      <c r="AL53" s="164" t="s">
        <v>144</v>
      </c>
      <c r="AM53" s="169" t="s">
        <v>145</v>
      </c>
    </row>
    <row r="54" s="152" customFormat="1" ht="15.75" customHeight="1" spans="1:39">
      <c r="A54" s="164" t="s">
        <v>146</v>
      </c>
      <c r="B54" s="208" t="s">
        <v>147</v>
      </c>
      <c r="C54" s="175"/>
      <c r="D54" s="175"/>
      <c r="E54" s="175"/>
      <c r="F54" s="175"/>
      <c r="G54" s="175"/>
      <c r="H54" s="175"/>
      <c r="I54" s="175"/>
      <c r="J54" s="175"/>
      <c r="K54" s="168"/>
      <c r="AL54" s="164"/>
      <c r="AM54" s="169"/>
    </row>
    <row r="55" s="152" customFormat="1" ht="15.75" customHeight="1" spans="1:11">
      <c r="A55" s="164" t="s">
        <v>64</v>
      </c>
      <c r="B55" s="164" t="s">
        <v>148</v>
      </c>
      <c r="C55" s="175"/>
      <c r="D55" s="175"/>
      <c r="E55" s="175"/>
      <c r="F55" s="175"/>
      <c r="G55" s="175"/>
      <c r="H55" s="175"/>
      <c r="I55" s="175"/>
      <c r="J55" s="175"/>
      <c r="K55" s="168"/>
    </row>
    <row r="56" s="152" customFormat="1" ht="15.75" customHeight="1" spans="1:11">
      <c r="A56" s="164">
        <v>1.1</v>
      </c>
      <c r="B56" s="209" t="s">
        <v>149</v>
      </c>
      <c r="C56" s="175"/>
      <c r="D56" s="175"/>
      <c r="E56" s="175"/>
      <c r="F56" s="175"/>
      <c r="G56" s="175"/>
      <c r="H56" s="175"/>
      <c r="I56" s="175"/>
      <c r="J56" s="175"/>
      <c r="K56" s="168"/>
    </row>
    <row r="57" s="152" customFormat="1" ht="15.75" customHeight="1" spans="1:11">
      <c r="A57" s="164">
        <v>1.2</v>
      </c>
      <c r="B57" s="164" t="s">
        <v>150</v>
      </c>
      <c r="C57" s="175"/>
      <c r="D57" s="175"/>
      <c r="E57" s="175"/>
      <c r="F57" s="175"/>
      <c r="G57" s="175"/>
      <c r="H57" s="175"/>
      <c r="I57" s="175"/>
      <c r="J57" s="175"/>
      <c r="K57" s="168"/>
    </row>
    <row r="58" ht="15.75" customHeight="1" spans="1:11">
      <c r="A58" s="198" t="s">
        <v>66</v>
      </c>
      <c r="B58" s="198" t="s">
        <v>151</v>
      </c>
      <c r="C58" s="210">
        <f>C59+C60</f>
        <v>359211.428571429</v>
      </c>
      <c r="D58" s="210">
        <f t="shared" ref="D58:J58" si="27">D59+D60</f>
        <v>303387.428571429</v>
      </c>
      <c r="E58" s="210">
        <f t="shared" si="27"/>
        <v>523384.868571429</v>
      </c>
      <c r="F58" s="210">
        <f t="shared" si="27"/>
        <v>425016.865371429</v>
      </c>
      <c r="G58" s="210">
        <f t="shared" si="27"/>
        <v>332740.602267428</v>
      </c>
      <c r="H58" s="210">
        <f t="shared" si="27"/>
        <v>246216.292056548</v>
      </c>
      <c r="I58" s="210">
        <f t="shared" si="27"/>
        <v>165122.192901995</v>
      </c>
      <c r="J58" s="210">
        <f t="shared" si="27"/>
        <v>1995868.24974026</v>
      </c>
      <c r="K58" s="168"/>
    </row>
    <row r="59" ht="15.75" customHeight="1" spans="1:11">
      <c r="A59" s="198" t="s">
        <v>115</v>
      </c>
      <c r="B59" s="198" t="s">
        <v>152</v>
      </c>
      <c r="C59" s="210">
        <f>C23</f>
        <v>359211.428571429</v>
      </c>
      <c r="D59" s="210">
        <f t="shared" ref="D59:J59" si="28">D23</f>
        <v>303387.428571429</v>
      </c>
      <c r="E59" s="210">
        <f t="shared" si="28"/>
        <v>523384.868571429</v>
      </c>
      <c r="F59" s="210">
        <f t="shared" si="28"/>
        <v>425016.865371429</v>
      </c>
      <c r="G59" s="210">
        <f t="shared" si="28"/>
        <v>332740.602267428</v>
      </c>
      <c r="H59" s="210">
        <f t="shared" si="28"/>
        <v>246216.292056548</v>
      </c>
      <c r="I59" s="210">
        <f t="shared" si="28"/>
        <v>165122.192901995</v>
      </c>
      <c r="J59" s="210">
        <f t="shared" si="28"/>
        <v>1995868.24974026</v>
      </c>
      <c r="K59" s="168"/>
    </row>
    <row r="60" ht="15.75" customHeight="1" spans="1:11">
      <c r="A60" s="198" t="s">
        <v>69</v>
      </c>
      <c r="B60" s="198" t="s">
        <v>153</v>
      </c>
      <c r="C60" s="198"/>
      <c r="D60" s="210">
        <f>'[2]2023年'!I18</f>
        <v>0</v>
      </c>
      <c r="E60" s="210"/>
      <c r="F60" s="210"/>
      <c r="G60" s="210"/>
      <c r="H60" s="210"/>
      <c r="I60" s="210"/>
      <c r="J60" s="210">
        <f>[2]项目投资!G26</f>
        <v>0</v>
      </c>
      <c r="K60" s="168"/>
    </row>
    <row r="61" ht="15.75" customHeight="1" spans="1:11">
      <c r="A61" s="198" t="s">
        <v>72</v>
      </c>
      <c r="B61" s="198" t="s">
        <v>154</v>
      </c>
      <c r="C61" s="198"/>
      <c r="D61" s="211"/>
      <c r="E61" s="211"/>
      <c r="F61" s="211"/>
      <c r="G61" s="211"/>
      <c r="H61" s="211"/>
      <c r="I61" s="211"/>
      <c r="J61" s="210"/>
      <c r="K61" s="168"/>
    </row>
    <row r="63" spans="2:3">
      <c r="B63"/>
      <c r="C63"/>
    </row>
  </sheetData>
  <mergeCells count="2">
    <mergeCell ref="A1:J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4.3636363636364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156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销量!C9</f>
        <v>1000</v>
      </c>
      <c r="D6" s="166">
        <f>销量!D9</f>
        <v>1000</v>
      </c>
      <c r="E6" s="167">
        <f t="shared" ref="E6:E15" si="0">+SUM(C6:D6)</f>
        <v>2000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1750000</v>
      </c>
      <c r="D7" s="167">
        <f>D6*销量!D8</f>
        <v>570000</v>
      </c>
      <c r="E7" s="167">
        <f t="shared" si="0"/>
        <v>2320000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/>
      <c r="D8" s="167"/>
      <c r="E8" s="167">
        <f>+SUM(C8:D8)</f>
        <v>0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1750000</v>
      </c>
      <c r="D9" s="167">
        <f>+D7-D8</f>
        <v>570000</v>
      </c>
      <c r="E9" s="167">
        <f t="shared" si="0"/>
        <v>2320000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1028600</v>
      </c>
      <c r="D10" s="167">
        <f>D6*D33</f>
        <v>357000</v>
      </c>
      <c r="E10" s="167">
        <f t="shared" si="0"/>
        <v>1385600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52500</v>
      </c>
      <c r="D11" s="167">
        <f>+D6*D36</f>
        <v>17100</v>
      </c>
      <c r="E11" s="167">
        <f t="shared" si="0"/>
        <v>69600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17500</v>
      </c>
      <c r="D12" s="167">
        <f>+D6*D37</f>
        <v>5700</v>
      </c>
      <c r="E12" s="167">
        <f t="shared" si="0"/>
        <v>23200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17500</v>
      </c>
      <c r="D13" s="167">
        <f>+D6*D38</f>
        <v>5700</v>
      </c>
      <c r="E13" s="167">
        <f t="shared" si="0"/>
        <v>23200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87500</v>
      </c>
      <c r="D14" s="167">
        <f>SUM(D11:D13)</f>
        <v>28500</v>
      </c>
      <c r="E14" s="167">
        <f t="shared" si="0"/>
        <v>116000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633900</v>
      </c>
      <c r="D15" s="167">
        <f>+D9-D10-D14</f>
        <v>184500</v>
      </c>
      <c r="E15" s="167">
        <f t="shared" si="0"/>
        <v>818400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0.362228571428572</v>
      </c>
      <c r="D16" s="170">
        <f>+D15/D9</f>
        <v>0.323684210526316</v>
      </c>
      <c r="E16" s="170">
        <f>+E15/E9</f>
        <v>0.352758620689655</v>
      </c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105000</v>
      </c>
      <c r="D17" s="167">
        <f>D6*D43+D18</f>
        <v>34200</v>
      </c>
      <c r="E17" s="167">
        <f>+SUM(C17:D17)</f>
        <v>139200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项目投资!D26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24500</v>
      </c>
      <c r="D19" s="167">
        <f>D6*D44</f>
        <v>7980</v>
      </c>
      <c r="E19" s="167">
        <f>+SUM(C19:D19)</f>
        <v>32480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35000</v>
      </c>
      <c r="D20" s="167">
        <f>D6*D45</f>
        <v>11400</v>
      </c>
      <c r="E20" s="167">
        <f>+SUM(C20:D20)</f>
        <v>46400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项目投资!D27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70000</v>
      </c>
      <c r="D22" s="167">
        <f>D6*D47</f>
        <v>22800</v>
      </c>
      <c r="E22" s="167">
        <f>+SUM(C22:D22)</f>
        <v>92800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248785.714285714</v>
      </c>
      <c r="D23" s="175">
        <f>+D22+D21+D20+D19+D17</f>
        <v>90665.7142857143</v>
      </c>
      <c r="E23" s="167">
        <f>+SUM(C23:D23)</f>
        <v>339451.428571429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385114.285714286</v>
      </c>
      <c r="D24" s="175">
        <f>+D15-D23</f>
        <v>93834.2857142857</v>
      </c>
      <c r="E24" s="167">
        <f>+SUM(C24:D24)</f>
        <v>478948.571428571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96278.5714285714</v>
      </c>
      <c r="D25" s="175">
        <f>IF(D24&lt;0,0,D24*0.25)</f>
        <v>23458.5714285714</v>
      </c>
      <c r="E25" s="167">
        <f>+SUM(C25:D25)</f>
        <v>119737.142857143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288835.714285714</v>
      </c>
      <c r="D26" s="175">
        <f>D24-D25</f>
        <v>70375.7142857143</v>
      </c>
      <c r="E26" s="167">
        <f>+SUM(C26:D26)</f>
        <v>359211.428571429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9">
        <f>C26/C7</f>
        <v>0.165048979591837</v>
      </c>
      <c r="D27" s="179">
        <f>D26/D7</f>
        <v>0.123466165413534</v>
      </c>
      <c r="E27" s="179">
        <f>E26/E7</f>
        <v>0.154832512315271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1750</v>
      </c>
      <c r="D31" s="180">
        <f>(D7-D8)/D6</f>
        <v>570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1750</v>
      </c>
      <c r="D32" s="167">
        <f>D31*1</f>
        <v>570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材料成本!D24</f>
        <v>1028.6</v>
      </c>
      <c r="D33" s="167">
        <f>材料成本!E24</f>
        <v>357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721.4</v>
      </c>
      <c r="D34" s="181">
        <f>D32-D33</f>
        <v>213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633.9</v>
      </c>
      <c r="D40" s="175">
        <f>D34-D36-D37-D38</f>
        <v>184.5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14.2857142857143</v>
      </c>
      <c r="D46" s="182">
        <f>D21/D6</f>
        <v>14.2857142857143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385.114285714286</v>
      </c>
      <c r="D48" s="175">
        <f>D40-D43-D44-D45-D47-D46</f>
        <v>93.8342857142858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4.3636363636364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172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销量!C10</f>
        <v>1000</v>
      </c>
      <c r="D6" s="166">
        <f>销量!D10</f>
        <v>1000</v>
      </c>
      <c r="E6" s="167">
        <f t="shared" ref="E6:E15" si="0">+SUM(C6:D6)</f>
        <v>2000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1750000</v>
      </c>
      <c r="D7" s="167">
        <f>D6*销量!D8</f>
        <v>570000</v>
      </c>
      <c r="E7" s="167">
        <f t="shared" si="0"/>
        <v>2320000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C7*(1-销量!$P$7)</f>
        <v>87500.0000000001</v>
      </c>
      <c r="D8" s="167">
        <f>D7*(1-销量!$P$7)</f>
        <v>28500</v>
      </c>
      <c r="E8" s="167">
        <f t="shared" si="0"/>
        <v>116000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1662500</v>
      </c>
      <c r="D9" s="167">
        <f>+D7-D8</f>
        <v>541500</v>
      </c>
      <c r="E9" s="167">
        <f t="shared" si="0"/>
        <v>2204000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997742</v>
      </c>
      <c r="D10" s="167">
        <f>D6*D33</f>
        <v>346290</v>
      </c>
      <c r="E10" s="167">
        <f t="shared" si="0"/>
        <v>1344032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52500</v>
      </c>
      <c r="D11" s="167">
        <f>+D6*D36</f>
        <v>17100</v>
      </c>
      <c r="E11" s="167">
        <f t="shared" si="0"/>
        <v>69600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17500</v>
      </c>
      <c r="D12" s="167">
        <f>+D6*D37</f>
        <v>5700</v>
      </c>
      <c r="E12" s="167">
        <f t="shared" si="0"/>
        <v>23200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17500</v>
      </c>
      <c r="D13" s="167">
        <f>+D6*D38</f>
        <v>5700</v>
      </c>
      <c r="E13" s="167">
        <f t="shared" si="0"/>
        <v>23200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87500</v>
      </c>
      <c r="D14" s="167">
        <f>SUM(D11:D13)</f>
        <v>28500</v>
      </c>
      <c r="E14" s="167">
        <f t="shared" si="0"/>
        <v>116000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577258</v>
      </c>
      <c r="D15" s="167">
        <f>+D9-D10-D14</f>
        <v>166710</v>
      </c>
      <c r="E15" s="167">
        <f t="shared" si="0"/>
        <v>743968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0.347222857142857</v>
      </c>
      <c r="D16" s="170">
        <f>+D15/D9</f>
        <v>0.30786703601108</v>
      </c>
      <c r="E16" s="170">
        <f>+E15/E9</f>
        <v>0.337553539019964</v>
      </c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105000</v>
      </c>
      <c r="D17" s="167">
        <f>D6*D43+D18</f>
        <v>34200</v>
      </c>
      <c r="E17" s="167">
        <f>+SUM(C17:D17)</f>
        <v>139200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项目投资!E26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24500</v>
      </c>
      <c r="D19" s="167">
        <f>D6*D44</f>
        <v>7980</v>
      </c>
      <c r="E19" s="167">
        <f>+SUM(C19:D19)</f>
        <v>32480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35000</v>
      </c>
      <c r="D20" s="167">
        <f>D6*D45</f>
        <v>11400</v>
      </c>
      <c r="E20" s="167">
        <f>+SUM(C20:D20)</f>
        <v>46400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项目投资!D27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70000</v>
      </c>
      <c r="D22" s="167">
        <f>D6*D47</f>
        <v>22800</v>
      </c>
      <c r="E22" s="167">
        <f>+SUM(C22:D22)</f>
        <v>92800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248785.714285714</v>
      </c>
      <c r="D23" s="175">
        <f>+D22+D21+D20+D19+D17</f>
        <v>90665.7142857143</v>
      </c>
      <c r="E23" s="167">
        <f>+SUM(C23:D23)</f>
        <v>339451.428571429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328472.285714286</v>
      </c>
      <c r="D24" s="175">
        <f>+D15-D23</f>
        <v>76044.2857142858</v>
      </c>
      <c r="E24" s="167">
        <f>+SUM(C24:D24)</f>
        <v>404516.571428572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82118.0714285714</v>
      </c>
      <c r="D25" s="175">
        <f>IF(D24&lt;0,0,D24*0.25)</f>
        <v>19011.0714285714</v>
      </c>
      <c r="E25" s="167">
        <f>+SUM(C25:D25)</f>
        <v>101129.142857143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246354.214285714</v>
      </c>
      <c r="D26" s="175">
        <f>D24-D25</f>
        <v>57033.2142857143</v>
      </c>
      <c r="E26" s="167">
        <f>+SUM(C26:D26)</f>
        <v>303387.428571429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9">
        <f>C26/C7</f>
        <v>0.140773836734694</v>
      </c>
      <c r="D27" s="179">
        <f>D26/D7</f>
        <v>0.100058270676692</v>
      </c>
      <c r="E27" s="179">
        <f>E26/E7</f>
        <v>0.130770443349754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1662.5</v>
      </c>
      <c r="D31" s="180">
        <f>(D7-D8)/D6</f>
        <v>541.5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1662.5</v>
      </c>
      <c r="D32" s="167">
        <f>D31*1</f>
        <v>541.5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材料成本!D27</f>
        <v>997.742</v>
      </c>
      <c r="D33" s="167">
        <f>材料成本!E27</f>
        <v>346.29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664.758</v>
      </c>
      <c r="D34" s="181">
        <f>D32-D33</f>
        <v>195.21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577.258</v>
      </c>
      <c r="D40" s="175">
        <f>D34-D36-D37-D38</f>
        <v>166.71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14.2857142857143</v>
      </c>
      <c r="D46" s="182">
        <f>D21/D6</f>
        <v>14.2857142857143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328.472285714286</v>
      </c>
      <c r="D48" s="175">
        <f>D40-D43-D44-D45-D47-D46</f>
        <v>76.0442857142858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4" activePane="bottomRight" state="frozen"/>
      <selection/>
      <selection pane="topRight"/>
      <selection pane="bottomLeft"/>
      <selection pane="bottomRight" activeCell="D34" sqref="D34"/>
    </sheetView>
  </sheetViews>
  <sheetFormatPr defaultColWidth="9" defaultRowHeight="14.5"/>
  <cols>
    <col min="1" max="1" width="5.12727272727273" style="152" customWidth="1"/>
    <col min="2" max="2" width="17.5" style="152" customWidth="1"/>
    <col min="3" max="3" width="15.5" style="153" customWidth="1"/>
    <col min="4" max="4" width="15.5454545454545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173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销量!C11</f>
        <v>2000</v>
      </c>
      <c r="D6" s="166">
        <f>销量!D11</f>
        <v>2000</v>
      </c>
      <c r="E6" s="167">
        <f t="shared" ref="E6:E15" si="0">+SUM(C6:D6)</f>
        <v>4000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3500000</v>
      </c>
      <c r="D7" s="167">
        <f>D6*销量!D8</f>
        <v>1140000</v>
      </c>
      <c r="E7" s="167">
        <f t="shared" si="0"/>
        <v>4640000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C7*(1-销量!$P$8)</f>
        <v>341250</v>
      </c>
      <c r="D8" s="167">
        <f>D7*(1-销量!$P$8)</f>
        <v>111150</v>
      </c>
      <c r="E8" s="167">
        <f t="shared" si="0"/>
        <v>452400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3158750</v>
      </c>
      <c r="D9" s="167">
        <f>+D7-D8</f>
        <v>1028850</v>
      </c>
      <c r="E9" s="167">
        <f t="shared" si="0"/>
        <v>4187600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1935619.48</v>
      </c>
      <c r="D10" s="167">
        <f>D6*D33</f>
        <v>671802.6</v>
      </c>
      <c r="E10" s="167">
        <f t="shared" si="0"/>
        <v>2607422.08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105000</v>
      </c>
      <c r="D11" s="167">
        <f>+D6*D36</f>
        <v>34200</v>
      </c>
      <c r="E11" s="167">
        <f t="shared" si="0"/>
        <v>139200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35000</v>
      </c>
      <c r="D12" s="167">
        <f>+D6*D37</f>
        <v>11400</v>
      </c>
      <c r="E12" s="167">
        <f t="shared" si="0"/>
        <v>46400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35000</v>
      </c>
      <c r="D13" s="167">
        <f>+D6*D38</f>
        <v>11400</v>
      </c>
      <c r="E13" s="167">
        <f t="shared" si="0"/>
        <v>46400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175000</v>
      </c>
      <c r="D14" s="167">
        <f>SUM(D11:D13)</f>
        <v>57000</v>
      </c>
      <c r="E14" s="167">
        <f t="shared" si="0"/>
        <v>232000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1048130.52</v>
      </c>
      <c r="D15" s="167">
        <f>+D9-D10-D14</f>
        <v>300047.4</v>
      </c>
      <c r="E15" s="167">
        <f t="shared" si="0"/>
        <v>1348177.92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0.331818130589632</v>
      </c>
      <c r="D16" s="170">
        <f>+D15/D9</f>
        <v>0.291633765855081</v>
      </c>
      <c r="E16" s="170">
        <f>+E15/E9</f>
        <v>0.321945247874678</v>
      </c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210000</v>
      </c>
      <c r="D17" s="167">
        <f>D6*D43+D18</f>
        <v>68400</v>
      </c>
      <c r="E17" s="167">
        <f>+SUM(C17:D17)</f>
        <v>278400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项目投资!F26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49000</v>
      </c>
      <c r="D19" s="167">
        <f>D6*D44</f>
        <v>15960</v>
      </c>
      <c r="E19" s="167">
        <f>+SUM(C19:D19)</f>
        <v>64960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70000</v>
      </c>
      <c r="D20" s="167">
        <f>D6*D45</f>
        <v>22800</v>
      </c>
      <c r="E20" s="167">
        <f>+SUM(C20:D20)</f>
        <v>92800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项目投资!E27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140000</v>
      </c>
      <c r="D22" s="167">
        <f>D6*D47</f>
        <v>45600</v>
      </c>
      <c r="E22" s="167">
        <f>+SUM(C22:D22)</f>
        <v>185600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483285.714285714</v>
      </c>
      <c r="D23" s="175">
        <f>+D22+D21+D20+D19+D17</f>
        <v>167045.714285714</v>
      </c>
      <c r="E23" s="167">
        <f>+SUM(C23:D23)</f>
        <v>650331.428571429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564844.805714286</v>
      </c>
      <c r="D24" s="175">
        <f>+D15-D23</f>
        <v>133001.685714286</v>
      </c>
      <c r="E24" s="167">
        <f>+SUM(C24:D24)</f>
        <v>697846.491428572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141211.201428572</v>
      </c>
      <c r="D25" s="175">
        <f>IF(D24&lt;0,0,D24*0.25)</f>
        <v>33250.4214285715</v>
      </c>
      <c r="E25" s="167">
        <f>+SUM(C25:D25)</f>
        <v>174461.622857143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423633.604285715</v>
      </c>
      <c r="D26" s="175">
        <f>D24-D25</f>
        <v>99751.2642857144</v>
      </c>
      <c r="E26" s="167">
        <f>+SUM(C26:D26)</f>
        <v>523384.868571429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9">
        <f>C26/C7</f>
        <v>0.121038172653061</v>
      </c>
      <c r="D27" s="179">
        <f>D26/D7</f>
        <v>0.0875011090225565</v>
      </c>
      <c r="E27" s="179">
        <f>E26/E7</f>
        <v>0.112798463054187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1579.375</v>
      </c>
      <c r="D31" s="180">
        <f>(D7-D8)/D6</f>
        <v>514.425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1579.375</v>
      </c>
      <c r="D32" s="167">
        <f>D31*1</f>
        <v>514.425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材料成本!D28</f>
        <v>967.80974</v>
      </c>
      <c r="D33" s="167">
        <f>材料成本!E28</f>
        <v>335.9013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611.56526</v>
      </c>
      <c r="D34" s="181">
        <f>D32-D33</f>
        <v>178.5237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524.06526</v>
      </c>
      <c r="D40" s="175">
        <f>D34-D36-D37-D38</f>
        <v>150.0237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7.14285714285714</v>
      </c>
      <c r="D46" s="182">
        <f>D21/D6</f>
        <v>7.14285714285714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282.422402857143</v>
      </c>
      <c r="D48" s="175">
        <f>D40-D43-D44-D45-D47-D46</f>
        <v>66.5008428571429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3" sqref="E$1:E$1048576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5.5454545454545" style="153" customWidth="1"/>
    <col min="5" max="5" width="16.8181818181818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174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销量!C12</f>
        <v>2000</v>
      </c>
      <c r="D6" s="166">
        <f>销量!D12</f>
        <v>2000</v>
      </c>
      <c r="E6" s="167">
        <f t="shared" ref="E6:E15" si="0">+SUM(C6:D6)</f>
        <v>4000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3500000</v>
      </c>
      <c r="D7" s="167">
        <f>D6*销量!D8</f>
        <v>1140000</v>
      </c>
      <c r="E7" s="167">
        <f t="shared" si="0"/>
        <v>4640000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C7*(1-销量!$P$9)</f>
        <v>499187.5</v>
      </c>
      <c r="D8" s="167">
        <f>D7*(1-销量!$P$9)</f>
        <v>162592.5</v>
      </c>
      <c r="E8" s="167">
        <f t="shared" si="0"/>
        <v>661780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3000812.5</v>
      </c>
      <c r="D9" s="167">
        <f>+D7-D8</f>
        <v>977407.5</v>
      </c>
      <c r="E9" s="167">
        <f t="shared" si="0"/>
        <v>3978220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1877550.8956</v>
      </c>
      <c r="D10" s="167">
        <f>D6*D33</f>
        <v>651648.522</v>
      </c>
      <c r="E10" s="167">
        <f t="shared" si="0"/>
        <v>2529199.4176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105000</v>
      </c>
      <c r="D11" s="167">
        <f>+D6*D36</f>
        <v>34200</v>
      </c>
      <c r="E11" s="167">
        <f t="shared" si="0"/>
        <v>139200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35000</v>
      </c>
      <c r="D12" s="167">
        <f>+D6*D37</f>
        <v>11400</v>
      </c>
      <c r="E12" s="167">
        <f t="shared" si="0"/>
        <v>46400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35000</v>
      </c>
      <c r="D13" s="167">
        <f>+D6*D38</f>
        <v>11400</v>
      </c>
      <c r="E13" s="167">
        <f t="shared" si="0"/>
        <v>46400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175000</v>
      </c>
      <c r="D14" s="167">
        <f>SUM(D11:D13)</f>
        <v>57000</v>
      </c>
      <c r="E14" s="167">
        <f t="shared" si="0"/>
        <v>232000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948261.6044</v>
      </c>
      <c r="D15" s="167">
        <f>+D9-D10-D14</f>
        <v>268758.978</v>
      </c>
      <c r="E15" s="167">
        <f t="shared" si="0"/>
        <v>1217020.5824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0.316001617695208</v>
      </c>
      <c r="D16" s="170">
        <f>+D15/D9</f>
        <v>0.274971266334666</v>
      </c>
      <c r="E16" s="170">
        <f>+E15/E9</f>
        <v>0.305920884817833</v>
      </c>
      <c r="F16" s="171"/>
      <c r="G16" s="171"/>
      <c r="H16" s="171"/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210000</v>
      </c>
      <c r="D17" s="167">
        <f>D6*D43+D18</f>
        <v>68400</v>
      </c>
      <c r="E17" s="167">
        <f>+SUM(C17:D17)</f>
        <v>278400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项目投资!G26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49000</v>
      </c>
      <c r="D19" s="167">
        <f>D6*D44</f>
        <v>15960</v>
      </c>
      <c r="E19" s="167">
        <f>+SUM(C19:D19)</f>
        <v>64960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70000</v>
      </c>
      <c r="D20" s="167">
        <f>D6*D45</f>
        <v>22800</v>
      </c>
      <c r="E20" s="167">
        <f>+SUM(C20:D20)</f>
        <v>92800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项目投资!F27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140000</v>
      </c>
      <c r="D22" s="167">
        <f>D6*D47</f>
        <v>45600</v>
      </c>
      <c r="E22" s="167">
        <f>+SUM(C22:D22)</f>
        <v>185600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483285.714285714</v>
      </c>
      <c r="D23" s="175">
        <f>+D22+D21+D20+D19+D17</f>
        <v>167045.714285714</v>
      </c>
      <c r="E23" s="167">
        <f>+SUM(C23:D23)</f>
        <v>650331.428571429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464975.890114286</v>
      </c>
      <c r="D24" s="175">
        <f>+D15-D23</f>
        <v>101713.263714286</v>
      </c>
      <c r="E24" s="167">
        <f>+SUM(C24:D24)</f>
        <v>566689.153828572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116243.972528571</v>
      </c>
      <c r="D25" s="175">
        <f>IF(D24&lt;0,0,D24*0.25)</f>
        <v>25428.3159285715</v>
      </c>
      <c r="E25" s="167">
        <f>+SUM(C25:D25)</f>
        <v>141672.288457143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348731.917585714</v>
      </c>
      <c r="D26" s="175">
        <f>D24-D25</f>
        <v>76284.9477857144</v>
      </c>
      <c r="E26" s="167">
        <f>+SUM(C26:D26)</f>
        <v>425016.865371429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9">
        <f>C26/C7</f>
        <v>0.0996376907387756</v>
      </c>
      <c r="D27" s="179">
        <f>D26/D7</f>
        <v>0.0669166208646618</v>
      </c>
      <c r="E27" s="179">
        <f>E26/E7</f>
        <v>0.0915984623645321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1500.40625</v>
      </c>
      <c r="D31" s="180">
        <f>(D7-D8)/D6</f>
        <v>488.70375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1500.40625</v>
      </c>
      <c r="D32" s="167">
        <f>D31*1</f>
        <v>488.70375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材料成本!D29</f>
        <v>938.7754478</v>
      </c>
      <c r="D33" s="167">
        <f>材料成本!E29</f>
        <v>325.824261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561.6308022</v>
      </c>
      <c r="D34" s="181">
        <f>D32-D33</f>
        <v>162.879489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474.1308022</v>
      </c>
      <c r="D40" s="175">
        <f>D34-D36-D37-D38</f>
        <v>134.379489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7.14285714285714</v>
      </c>
      <c r="D46" s="182">
        <f>D21/D6</f>
        <v>7.14285714285714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232.487945057143</v>
      </c>
      <c r="D48" s="175">
        <f>D40-D43-D44-D45-D47-D46</f>
        <v>50.856631857143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3" sqref="E$1:E$1048576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5.5454545454545" style="153" customWidth="1"/>
    <col min="5" max="5" width="16.8181818181818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175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销量!C13</f>
        <v>2000</v>
      </c>
      <c r="D6" s="166">
        <f>销量!D13</f>
        <v>2000</v>
      </c>
      <c r="E6" s="167">
        <f t="shared" ref="E6:E15" si="0">+SUM(C6:D6)</f>
        <v>4000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3500000</v>
      </c>
      <c r="D7" s="167">
        <f>D6*销量!D8</f>
        <v>1140000</v>
      </c>
      <c r="E7" s="167">
        <f t="shared" si="0"/>
        <v>4640000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C7*(1-销量!$P$10)</f>
        <v>649228.125</v>
      </c>
      <c r="D8" s="167">
        <f>D7*(1-销量!$P$10)</f>
        <v>211462.875</v>
      </c>
      <c r="E8" s="167">
        <f t="shared" si="0"/>
        <v>860691.000000001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2850771.875</v>
      </c>
      <c r="D9" s="167">
        <f>+D7-D8</f>
        <v>928537.125</v>
      </c>
      <c r="E9" s="167">
        <f t="shared" si="0"/>
        <v>3779309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1821224.368732</v>
      </c>
      <c r="D10" s="167">
        <f>D6*D33</f>
        <v>632099.06634</v>
      </c>
      <c r="E10" s="167">
        <f t="shared" si="0"/>
        <v>2453323.435072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105000</v>
      </c>
      <c r="D11" s="167">
        <f>+D6*D36</f>
        <v>34200</v>
      </c>
      <c r="E11" s="167">
        <f t="shared" si="0"/>
        <v>139200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35000</v>
      </c>
      <c r="D12" s="167">
        <f>+D6*D37</f>
        <v>11400</v>
      </c>
      <c r="E12" s="167">
        <f t="shared" si="0"/>
        <v>46400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35000</v>
      </c>
      <c r="D13" s="167">
        <f>+D6*D38</f>
        <v>11400</v>
      </c>
      <c r="E13" s="167">
        <f t="shared" si="0"/>
        <v>46400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175000</v>
      </c>
      <c r="D14" s="167">
        <f>SUM(D11:D13)</f>
        <v>57000</v>
      </c>
      <c r="E14" s="167">
        <f t="shared" si="0"/>
        <v>232000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854547.506268</v>
      </c>
      <c r="D15" s="167">
        <f>+D9-D10-D14</f>
        <v>239438.05866</v>
      </c>
      <c r="E15" s="167">
        <f t="shared" si="0"/>
        <v>1093985.564928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0.299760045257217</v>
      </c>
      <c r="D16" s="170">
        <f>+D15/D9</f>
        <v>0.257865897025927</v>
      </c>
      <c r="E16" s="170">
        <f>+E15/E9</f>
        <v>0.289467086424529</v>
      </c>
      <c r="F16" s="171"/>
      <c r="G16" s="171"/>
      <c r="H16" s="171"/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210000</v>
      </c>
      <c r="D17" s="167">
        <f>D6*D43+D18</f>
        <v>68400</v>
      </c>
      <c r="E17" s="167">
        <f>+SUM(C17:D17)</f>
        <v>278400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项目投资!H26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49000</v>
      </c>
      <c r="D19" s="167">
        <f>D6*D44</f>
        <v>15960</v>
      </c>
      <c r="E19" s="167">
        <f>+SUM(C19:D19)</f>
        <v>64960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70000</v>
      </c>
      <c r="D20" s="167">
        <f>D6*D45</f>
        <v>22800</v>
      </c>
      <c r="E20" s="167">
        <f>+SUM(C20:D20)</f>
        <v>92800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项目投资!F27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140000</v>
      </c>
      <c r="D22" s="167">
        <f>D6*D47</f>
        <v>45600</v>
      </c>
      <c r="E22" s="167">
        <f>+SUM(C22:D22)</f>
        <v>185600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483285.714285714</v>
      </c>
      <c r="D23" s="175">
        <f>+D22+D21+D20+D19+D17</f>
        <v>167045.714285714</v>
      </c>
      <c r="E23" s="167">
        <f>+SUM(C23:D23)</f>
        <v>650331.428571429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371261.791982285</v>
      </c>
      <c r="D24" s="175">
        <f>+D15-D23</f>
        <v>72392.3443742858</v>
      </c>
      <c r="E24" s="167">
        <f>+SUM(C24:D24)</f>
        <v>443654.136356571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92815.4479955714</v>
      </c>
      <c r="D25" s="175">
        <f>IF(D24&lt;0,0,D24*0.25)</f>
        <v>18098.0860935715</v>
      </c>
      <c r="E25" s="167">
        <f>+SUM(C25:D25)</f>
        <v>110913.534089143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278446.343986714</v>
      </c>
      <c r="D26" s="175">
        <f>D24-D25</f>
        <v>54294.2582807144</v>
      </c>
      <c r="E26" s="167">
        <f>+SUM(C26:D26)</f>
        <v>332740.602267428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9">
        <f>C26/C7</f>
        <v>0.0795560982819183</v>
      </c>
      <c r="D27" s="179">
        <f>D26/D7</f>
        <v>0.0476265423515038</v>
      </c>
      <c r="E27" s="179">
        <f>E26/E7</f>
        <v>0.0717113366955665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1425.3859375</v>
      </c>
      <c r="D31" s="180">
        <f>(D7-D8)/D6</f>
        <v>464.2685625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1425.3859375</v>
      </c>
      <c r="D32" s="167">
        <f>D31*1</f>
        <v>464.2685625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材料成本!D30</f>
        <v>910.612184366</v>
      </c>
      <c r="D33" s="167">
        <f>材料成本!E30</f>
        <v>316.04953317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514.773753134</v>
      </c>
      <c r="D34" s="181">
        <f>D32-D33</f>
        <v>148.21902933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427.273753134</v>
      </c>
      <c r="D40" s="175">
        <f>D34-D36-D37-D38</f>
        <v>119.71902933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7.14285714285714</v>
      </c>
      <c r="D46" s="182">
        <f>D21/D6</f>
        <v>7.14285714285714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185.630895991143</v>
      </c>
      <c r="D48" s="175">
        <f>D40-D43-D44-D45-D47-D46</f>
        <v>36.1961721871429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3" sqref="E$1:E$1048576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5.5454545454545" style="153" customWidth="1"/>
    <col min="5" max="5" width="16.8181818181818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155</v>
      </c>
      <c r="B1" s="154"/>
      <c r="C1" s="155" t="s">
        <v>176</v>
      </c>
      <c r="D1" s="156"/>
      <c r="E1" s="157"/>
    </row>
    <row r="2" spans="1:5">
      <c r="A2" s="154" t="s">
        <v>157</v>
      </c>
      <c r="B2" s="154"/>
      <c r="C2" s="158" t="s">
        <v>158</v>
      </c>
      <c r="D2" s="158"/>
      <c r="E2" s="158"/>
    </row>
    <row r="3" spans="1:5">
      <c r="A3" s="154" t="s">
        <v>159</v>
      </c>
      <c r="B3" s="154"/>
      <c r="C3" s="159" t="s">
        <v>160</v>
      </c>
      <c r="D3" s="159" t="s">
        <v>161</v>
      </c>
      <c r="E3" s="160" t="s">
        <v>60</v>
      </c>
    </row>
    <row r="4" spans="1:5">
      <c r="A4" s="154" t="s">
        <v>162</v>
      </c>
      <c r="B4" s="154"/>
      <c r="C4" s="79" t="s">
        <v>163</v>
      </c>
      <c r="D4" s="79" t="s">
        <v>164</v>
      </c>
      <c r="E4" s="161"/>
    </row>
    <row r="5" ht="82.5" spans="1:34">
      <c r="A5" s="154" t="s">
        <v>165</v>
      </c>
      <c r="B5" s="154"/>
      <c r="C5" s="162" t="s">
        <v>166</v>
      </c>
      <c r="D5" s="162" t="s">
        <v>167</v>
      </c>
      <c r="E5" s="163"/>
      <c r="AH5" s="152" t="s">
        <v>61</v>
      </c>
    </row>
    <row r="6" ht="16.5" spans="1:34">
      <c r="A6" s="164" t="s">
        <v>21</v>
      </c>
      <c r="B6" s="165" t="s">
        <v>168</v>
      </c>
      <c r="C6" s="166">
        <f>销量!C14</f>
        <v>2000</v>
      </c>
      <c r="D6" s="166">
        <f>销量!D14</f>
        <v>2000</v>
      </c>
      <c r="E6" s="167">
        <f t="shared" ref="E6:E15" si="0">+SUM(C6:D6)</f>
        <v>4000</v>
      </c>
      <c r="P6" s="165" t="s">
        <v>3</v>
      </c>
      <c r="AF6" s="164" t="s">
        <v>21</v>
      </c>
      <c r="AG6" s="165" t="s">
        <v>3</v>
      </c>
      <c r="AH6" s="152" t="s">
        <v>62</v>
      </c>
    </row>
    <row r="7" spans="1:34">
      <c r="A7" s="154">
        <v>1</v>
      </c>
      <c r="B7" s="165" t="s">
        <v>63</v>
      </c>
      <c r="C7" s="167">
        <f>C6*销量!C8</f>
        <v>3500000</v>
      </c>
      <c r="D7" s="167">
        <f>D6*销量!D8</f>
        <v>1140000</v>
      </c>
      <c r="E7" s="167">
        <f t="shared" si="0"/>
        <v>4640000</v>
      </c>
      <c r="F7" s="153"/>
      <c r="P7" s="165" t="s">
        <v>63</v>
      </c>
      <c r="AF7" s="164" t="s">
        <v>64</v>
      </c>
      <c r="AG7" s="165" t="s">
        <v>63</v>
      </c>
      <c r="AH7" s="152" t="s">
        <v>62</v>
      </c>
    </row>
    <row r="8" spans="1:34">
      <c r="A8" s="154">
        <v>2</v>
      </c>
      <c r="B8" s="154" t="s">
        <v>65</v>
      </c>
      <c r="C8" s="167">
        <f>C7*(1-销量!$P$11)</f>
        <v>791766.71875</v>
      </c>
      <c r="D8" s="167">
        <f>D7*(1-销量!$P$11)</f>
        <v>257889.73125</v>
      </c>
      <c r="E8" s="167">
        <f t="shared" si="0"/>
        <v>1049656.45</v>
      </c>
      <c r="F8" s="168"/>
      <c r="P8" s="154" t="s">
        <v>67</v>
      </c>
      <c r="AF8" s="164" t="s">
        <v>66</v>
      </c>
      <c r="AG8" s="154" t="s">
        <v>67</v>
      </c>
      <c r="AH8" s="152" t="s">
        <v>62</v>
      </c>
    </row>
    <row r="9" spans="1:34">
      <c r="A9" s="154">
        <v>3</v>
      </c>
      <c r="B9" s="165" t="s">
        <v>68</v>
      </c>
      <c r="C9" s="167">
        <f>+C7-C8</f>
        <v>2708233.28125</v>
      </c>
      <c r="D9" s="167">
        <f>+D7-D8</f>
        <v>882110.26875</v>
      </c>
      <c r="E9" s="167">
        <f t="shared" si="0"/>
        <v>3590343.55</v>
      </c>
      <c r="P9" s="165" t="s">
        <v>68</v>
      </c>
      <c r="AF9" s="164" t="s">
        <v>69</v>
      </c>
      <c r="AG9" s="165" t="s">
        <v>68</v>
      </c>
      <c r="AH9" s="152" t="s">
        <v>70</v>
      </c>
    </row>
    <row r="10" spans="1:34">
      <c r="A10" s="154">
        <v>4</v>
      </c>
      <c r="B10" s="164" t="s">
        <v>73</v>
      </c>
      <c r="C10" s="167">
        <f>C6*C33</f>
        <v>1766587.63767004</v>
      </c>
      <c r="D10" s="167">
        <f>D6*D33</f>
        <v>613136.0943498</v>
      </c>
      <c r="E10" s="167">
        <f t="shared" si="0"/>
        <v>2379723.73201984</v>
      </c>
      <c r="P10" s="164" t="s">
        <v>73</v>
      </c>
      <c r="AF10" s="164" t="s">
        <v>72</v>
      </c>
      <c r="AG10" s="164" t="s">
        <v>73</v>
      </c>
      <c r="AH10" s="152" t="s">
        <v>74</v>
      </c>
    </row>
    <row r="11" spans="1:33">
      <c r="A11" s="154">
        <v>5</v>
      </c>
      <c r="B11" s="164" t="s">
        <v>75</v>
      </c>
      <c r="C11" s="167">
        <f>+C6*C36</f>
        <v>105000</v>
      </c>
      <c r="D11" s="167">
        <f>+D6*D36</f>
        <v>34200</v>
      </c>
      <c r="E11" s="167">
        <f t="shared" si="0"/>
        <v>139200</v>
      </c>
      <c r="P11" s="164" t="s">
        <v>75</v>
      </c>
      <c r="AF11" s="164" t="s">
        <v>76</v>
      </c>
      <c r="AG11" s="164" t="s">
        <v>75</v>
      </c>
    </row>
    <row r="12" spans="1:33">
      <c r="A12" s="154">
        <v>6</v>
      </c>
      <c r="B12" s="164" t="s">
        <v>77</v>
      </c>
      <c r="C12" s="167">
        <f>+C6*C37</f>
        <v>35000</v>
      </c>
      <c r="D12" s="167">
        <f>+D6*D37</f>
        <v>11400</v>
      </c>
      <c r="E12" s="167">
        <f t="shared" si="0"/>
        <v>46400</v>
      </c>
      <c r="P12" s="164" t="s">
        <v>77</v>
      </c>
      <c r="AF12" s="164" t="s">
        <v>78</v>
      </c>
      <c r="AG12" s="164" t="s">
        <v>77</v>
      </c>
    </row>
    <row r="13" spans="1:34">
      <c r="A13" s="154">
        <v>7</v>
      </c>
      <c r="B13" s="164" t="s">
        <v>79</v>
      </c>
      <c r="C13" s="167">
        <f>+C6*C38</f>
        <v>35000</v>
      </c>
      <c r="D13" s="167">
        <f>+D6*D38</f>
        <v>11400</v>
      </c>
      <c r="E13" s="167">
        <f t="shared" si="0"/>
        <v>46400</v>
      </c>
      <c r="P13" s="164" t="s">
        <v>79</v>
      </c>
      <c r="AF13" s="164" t="s">
        <v>80</v>
      </c>
      <c r="AG13" s="164" t="s">
        <v>79</v>
      </c>
      <c r="AH13" s="152" t="s">
        <v>62</v>
      </c>
    </row>
    <row r="14" spans="1:33">
      <c r="A14" s="154">
        <v>8</v>
      </c>
      <c r="B14" s="169" t="s">
        <v>81</v>
      </c>
      <c r="C14" s="167">
        <f>SUM(C11:C13)</f>
        <v>175000</v>
      </c>
      <c r="D14" s="167">
        <f>SUM(D11:D13)</f>
        <v>57000</v>
      </c>
      <c r="E14" s="167">
        <f t="shared" si="0"/>
        <v>232000</v>
      </c>
      <c r="P14" s="169" t="s">
        <v>81</v>
      </c>
      <c r="AF14" s="164" t="s">
        <v>82</v>
      </c>
      <c r="AG14" s="169" t="s">
        <v>81</v>
      </c>
    </row>
    <row r="15" spans="1:33">
      <c r="A15" s="154">
        <v>9</v>
      </c>
      <c r="B15" s="169" t="s">
        <v>83</v>
      </c>
      <c r="C15" s="167">
        <f>+C9-C10-C14</f>
        <v>766645.64357996</v>
      </c>
      <c r="D15" s="167">
        <f>+D9-D10-D14</f>
        <v>211974.1744002</v>
      </c>
      <c r="E15" s="167">
        <f t="shared" si="0"/>
        <v>978619.81798016</v>
      </c>
      <c r="P15" s="169" t="s">
        <v>83</v>
      </c>
      <c r="AF15" s="164" t="s">
        <v>84</v>
      </c>
      <c r="AG15" s="169" t="s">
        <v>83</v>
      </c>
    </row>
    <row r="16" spans="1:33">
      <c r="A16" s="154">
        <v>10</v>
      </c>
      <c r="B16" s="164" t="s">
        <v>85</v>
      </c>
      <c r="C16" s="170">
        <f>+C15/C9</f>
        <v>0.283079618320808</v>
      </c>
      <c r="D16" s="170">
        <f>+D15/D9</f>
        <v>0.240303488021491</v>
      </c>
      <c r="E16" s="170">
        <f>+E15/E9</f>
        <v>0.272569965617959</v>
      </c>
      <c r="F16" s="171"/>
      <c r="G16" s="171"/>
      <c r="H16" s="171"/>
      <c r="P16" s="164" t="s">
        <v>85</v>
      </c>
      <c r="AF16" s="164" t="s">
        <v>86</v>
      </c>
      <c r="AG16" s="164" t="s">
        <v>85</v>
      </c>
    </row>
    <row r="17" spans="1:33">
      <c r="A17" s="154">
        <v>11</v>
      </c>
      <c r="B17" s="164" t="s">
        <v>87</v>
      </c>
      <c r="C17" s="167">
        <f>C6*C43+C18</f>
        <v>210000</v>
      </c>
      <c r="D17" s="167">
        <f>D6*D43+D18</f>
        <v>68400</v>
      </c>
      <c r="E17" s="167">
        <f>+SUM(C17:D17)</f>
        <v>278400</v>
      </c>
      <c r="F17" s="168"/>
      <c r="P17" s="164" t="s">
        <v>87</v>
      </c>
      <c r="AF17" s="164" t="s">
        <v>88</v>
      </c>
      <c r="AG17" s="164" t="s">
        <v>87</v>
      </c>
    </row>
    <row r="18" s="150" customFormat="1" spans="1:8">
      <c r="A18" s="154">
        <v>12</v>
      </c>
      <c r="B18" s="172" t="s">
        <v>89</v>
      </c>
      <c r="C18" s="173">
        <f>$E$18/$E$6*C6</f>
        <v>0</v>
      </c>
      <c r="D18" s="173">
        <f>$E$18/$E$6*D6</f>
        <v>0</v>
      </c>
      <c r="E18" s="167">
        <f>项目投资!I26</f>
        <v>0</v>
      </c>
      <c r="F18" s="174" t="s">
        <v>90</v>
      </c>
      <c r="G18" s="174"/>
      <c r="H18" s="174"/>
    </row>
    <row r="19" spans="1:34">
      <c r="A19" s="154">
        <v>13</v>
      </c>
      <c r="B19" s="164" t="s">
        <v>91</v>
      </c>
      <c r="C19" s="167">
        <f>C6*C44</f>
        <v>49000</v>
      </c>
      <c r="D19" s="167">
        <f>D6*D44</f>
        <v>15960</v>
      </c>
      <c r="E19" s="167">
        <f>+SUM(C19:D19)</f>
        <v>64960</v>
      </c>
      <c r="F19" s="150"/>
      <c r="P19" s="164" t="s">
        <v>91</v>
      </c>
      <c r="AF19" s="164" t="s">
        <v>92</v>
      </c>
      <c r="AG19" s="164" t="s">
        <v>91</v>
      </c>
      <c r="AH19" s="152" t="s">
        <v>62</v>
      </c>
    </row>
    <row r="20" spans="1:33">
      <c r="A20" s="154">
        <v>14</v>
      </c>
      <c r="B20" s="164" t="s">
        <v>93</v>
      </c>
      <c r="C20" s="167">
        <f>C6*C45</f>
        <v>70000</v>
      </c>
      <c r="D20" s="167">
        <f>D6*D45</f>
        <v>22800</v>
      </c>
      <c r="E20" s="167">
        <f>+SUM(C20:D20)</f>
        <v>92800</v>
      </c>
      <c r="P20" s="164" t="s">
        <v>93</v>
      </c>
      <c r="AF20" s="164" t="s">
        <v>94</v>
      </c>
      <c r="AG20" s="164" t="s">
        <v>93</v>
      </c>
    </row>
    <row r="21" spans="1:33">
      <c r="A21" s="154">
        <v>15</v>
      </c>
      <c r="B21" s="164" t="s">
        <v>95</v>
      </c>
      <c r="C21" s="175">
        <f>$E$21/$E$6*C6</f>
        <v>14285.7142857143</v>
      </c>
      <c r="D21" s="175">
        <f>$E$21/$E$6*D6</f>
        <v>14285.7142857143</v>
      </c>
      <c r="E21" s="167">
        <f>项目投资!F27</f>
        <v>28571.4285714286</v>
      </c>
      <c r="P21" s="164" t="s">
        <v>95</v>
      </c>
      <c r="AF21" s="164"/>
      <c r="AG21" s="164"/>
    </row>
    <row r="22" spans="1:33">
      <c r="A22" s="154">
        <v>16</v>
      </c>
      <c r="B22" s="164" t="s">
        <v>96</v>
      </c>
      <c r="C22" s="167">
        <f>C6*C47</f>
        <v>140000</v>
      </c>
      <c r="D22" s="167">
        <f>D6*D47</f>
        <v>45600</v>
      </c>
      <c r="E22" s="167">
        <f>+SUM(C22:D22)</f>
        <v>185600</v>
      </c>
      <c r="P22" s="164" t="s">
        <v>96</v>
      </c>
      <c r="AF22" s="164" t="s">
        <v>97</v>
      </c>
      <c r="AG22" s="164" t="s">
        <v>96</v>
      </c>
    </row>
    <row r="23" spans="1:33">
      <c r="A23" s="154">
        <v>17</v>
      </c>
      <c r="B23" s="169" t="s">
        <v>98</v>
      </c>
      <c r="C23" s="175">
        <f>+C22+C21+C20+C19+C17</f>
        <v>483285.714285714</v>
      </c>
      <c r="D23" s="175">
        <f>+D22+D21+D20+D19+D17</f>
        <v>167045.714285714</v>
      </c>
      <c r="E23" s="167">
        <f>+SUM(C23:D23)</f>
        <v>650331.428571429</v>
      </c>
      <c r="P23" s="169" t="s">
        <v>98</v>
      </c>
      <c r="AF23" s="164" t="s">
        <v>99</v>
      </c>
      <c r="AG23" s="169" t="s">
        <v>98</v>
      </c>
    </row>
    <row r="24" spans="1:33">
      <c r="A24" s="154">
        <v>18</v>
      </c>
      <c r="B24" s="176" t="s">
        <v>100</v>
      </c>
      <c r="C24" s="175">
        <f>+C15-C23</f>
        <v>283359.929294246</v>
      </c>
      <c r="D24" s="175">
        <f>+D15-D23</f>
        <v>44928.4601144858</v>
      </c>
      <c r="E24" s="167">
        <f>+SUM(C24:D24)</f>
        <v>328288.389408731</v>
      </c>
      <c r="G24" s="177"/>
      <c r="P24" s="164" t="s">
        <v>100</v>
      </c>
      <c r="AF24" s="164" t="s">
        <v>101</v>
      </c>
      <c r="AG24" s="164" t="s">
        <v>100</v>
      </c>
    </row>
    <row r="25" spans="1:33">
      <c r="A25" s="154">
        <v>19</v>
      </c>
      <c r="B25" s="164" t="s">
        <v>169</v>
      </c>
      <c r="C25" s="175">
        <f>IF(C24&lt;0,0,C24*0.25)</f>
        <v>70839.9823235614</v>
      </c>
      <c r="D25" s="175">
        <f>IF(D24&lt;0,0,D24*0.25)</f>
        <v>11232.1150286214</v>
      </c>
      <c r="E25" s="167">
        <f>+SUM(C25:D25)</f>
        <v>82072.0973521828</v>
      </c>
      <c r="F25" s="2"/>
      <c r="G25" s="2"/>
      <c r="H25" s="2"/>
      <c r="P25" s="164" t="s">
        <v>38</v>
      </c>
      <c r="AF25" s="164" t="s">
        <v>102</v>
      </c>
      <c r="AG25" s="164" t="s">
        <v>38</v>
      </c>
    </row>
    <row r="26" spans="1:33">
      <c r="A26" s="154">
        <v>20</v>
      </c>
      <c r="B26" s="164" t="s">
        <v>103</v>
      </c>
      <c r="C26" s="175">
        <f>C24-C25</f>
        <v>212519.946970684</v>
      </c>
      <c r="D26" s="175">
        <f>D24-D25</f>
        <v>33696.3450858643</v>
      </c>
      <c r="E26" s="167">
        <f>+SUM(C26:D26)</f>
        <v>246216.292056548</v>
      </c>
      <c r="F26" s="2"/>
      <c r="G26" s="2"/>
      <c r="H26" s="2"/>
      <c r="P26" s="164" t="s">
        <v>103</v>
      </c>
      <c r="AF26" s="164" t="s">
        <v>104</v>
      </c>
      <c r="AG26" s="164" t="s">
        <v>103</v>
      </c>
    </row>
    <row r="27" spans="1:33">
      <c r="A27" s="154">
        <v>21</v>
      </c>
      <c r="B27" s="164" t="s">
        <v>107</v>
      </c>
      <c r="C27" s="178">
        <f>C26/C7</f>
        <v>0.0607199848487669</v>
      </c>
      <c r="D27" s="178">
        <f>D26/D7</f>
        <v>0.0295581974437406</v>
      </c>
      <c r="E27" s="179">
        <f>E26/E7</f>
        <v>0.0530638560466699</v>
      </c>
      <c r="F27" s="2"/>
      <c r="G27" s="2"/>
      <c r="H27" s="2"/>
      <c r="P27" s="164" t="s">
        <v>107</v>
      </c>
      <c r="AF27" s="164" t="s">
        <v>106</v>
      </c>
      <c r="AG27" s="164" t="s">
        <v>107</v>
      </c>
    </row>
    <row r="28" spans="6:16">
      <c r="F28" s="2"/>
      <c r="G28" s="2"/>
      <c r="H28" s="2"/>
      <c r="P28" s="164"/>
    </row>
    <row r="29" spans="1:32">
      <c r="A29" s="152" t="s">
        <v>108</v>
      </c>
      <c r="E29" s="153" t="s">
        <v>170</v>
      </c>
      <c r="F29" s="2"/>
      <c r="G29" s="2"/>
      <c r="H29" s="2"/>
      <c r="P29" s="164"/>
      <c r="AF29" s="152" t="s">
        <v>108</v>
      </c>
    </row>
    <row r="30" spans="1:33">
      <c r="A30" s="164" t="s">
        <v>110</v>
      </c>
      <c r="B30" s="169" t="s">
        <v>111</v>
      </c>
      <c r="C30" s="175"/>
      <c r="D30" s="175"/>
      <c r="E30" s="175"/>
      <c r="F30" s="2"/>
      <c r="G30" s="2"/>
      <c r="H30" s="2"/>
      <c r="J30" s="2"/>
      <c r="P30" s="169" t="s">
        <v>111</v>
      </c>
      <c r="AF30" s="164" t="s">
        <v>112</v>
      </c>
      <c r="AG30" s="169" t="s">
        <v>111</v>
      </c>
    </row>
    <row r="31" spans="1:33">
      <c r="A31" s="154">
        <v>1</v>
      </c>
      <c r="B31" s="172" t="s">
        <v>113</v>
      </c>
      <c r="C31" s="180">
        <f>(C7-C8)/C6</f>
        <v>1354.116640625</v>
      </c>
      <c r="D31" s="180">
        <f>(D7-D8)/D6</f>
        <v>441.055134375</v>
      </c>
      <c r="E31" s="175"/>
      <c r="F31" s="2"/>
      <c r="G31" s="2"/>
      <c r="H31" s="2"/>
      <c r="J31" s="2"/>
      <c r="P31" s="164" t="s">
        <v>113</v>
      </c>
      <c r="AF31" s="164" t="s">
        <v>64</v>
      </c>
      <c r="AG31" s="164" t="s">
        <v>113</v>
      </c>
    </row>
    <row r="32" spans="1:33">
      <c r="A32" s="154">
        <v>2</v>
      </c>
      <c r="B32" s="164" t="s">
        <v>171</v>
      </c>
      <c r="C32" s="167">
        <f>C31*1</f>
        <v>1354.116640625</v>
      </c>
      <c r="D32" s="167">
        <f>D31*1</f>
        <v>441.055134375</v>
      </c>
      <c r="E32" s="175"/>
      <c r="F32" s="2"/>
      <c r="G32" s="2"/>
      <c r="H32" s="2"/>
      <c r="I32" s="2"/>
      <c r="J32" s="2"/>
      <c r="K32" s="2"/>
      <c r="L32" s="2"/>
      <c r="AF32" s="164"/>
      <c r="AG32" s="164"/>
    </row>
    <row r="33" spans="1:33">
      <c r="A33" s="154">
        <v>3</v>
      </c>
      <c r="B33" s="172" t="s">
        <v>114</v>
      </c>
      <c r="C33" s="167">
        <f>材料成本!D31</f>
        <v>883.29381883502</v>
      </c>
      <c r="D33" s="167">
        <f>材料成本!E31</f>
        <v>306.5680471749</v>
      </c>
      <c r="E33" s="175"/>
      <c r="G33" s="2"/>
      <c r="H33" s="2"/>
      <c r="I33" s="2"/>
      <c r="J33" s="2"/>
      <c r="K33" s="2"/>
      <c r="L33" s="2"/>
      <c r="P33" s="164" t="s">
        <v>114</v>
      </c>
      <c r="AF33" s="164" t="s">
        <v>66</v>
      </c>
      <c r="AG33" s="164" t="s">
        <v>114</v>
      </c>
    </row>
    <row r="34" ht="17.25" customHeight="1" spans="1:33">
      <c r="A34" s="154">
        <v>4</v>
      </c>
      <c r="B34" s="164" t="s">
        <v>116</v>
      </c>
      <c r="C34" s="181">
        <f>C32-C33</f>
        <v>470.82282178998</v>
      </c>
      <c r="D34" s="181">
        <f>D32-D33</f>
        <v>134.4870872001</v>
      </c>
      <c r="E34" s="175"/>
      <c r="G34" s="2"/>
      <c r="H34" s="2"/>
      <c r="I34" s="2"/>
      <c r="J34" s="2"/>
      <c r="K34" s="2"/>
      <c r="L34" s="2"/>
      <c r="P34" s="164" t="s">
        <v>116</v>
      </c>
      <c r="AF34" s="164" t="s">
        <v>115</v>
      </c>
      <c r="AG34" s="164" t="s">
        <v>116</v>
      </c>
    </row>
    <row r="35" spans="1:33">
      <c r="A35" s="164" t="s">
        <v>112</v>
      </c>
      <c r="B35" s="169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69" t="s">
        <v>10</v>
      </c>
      <c r="AF35" s="164" t="s">
        <v>118</v>
      </c>
      <c r="AG35" s="169" t="s">
        <v>10</v>
      </c>
    </row>
    <row r="36" spans="1:33">
      <c r="A36" s="154">
        <v>1</v>
      </c>
      <c r="B36" s="164" t="s">
        <v>119</v>
      </c>
      <c r="C36" s="173">
        <f>标准成本!E4</f>
        <v>52.5</v>
      </c>
      <c r="D36" s="173">
        <f>标准成本!E16</f>
        <v>17.1</v>
      </c>
      <c r="E36" s="180"/>
      <c r="F36" s="2"/>
      <c r="G36" s="2"/>
      <c r="H36" s="2"/>
      <c r="I36" s="2"/>
      <c r="J36" s="2"/>
      <c r="K36" s="2"/>
      <c r="L36" s="2"/>
      <c r="M36" s="2"/>
      <c r="N36" s="2"/>
      <c r="O36" s="2"/>
      <c r="P36" s="164" t="s">
        <v>119</v>
      </c>
      <c r="AF36" s="164" t="s">
        <v>115</v>
      </c>
      <c r="AG36" s="164" t="s">
        <v>119</v>
      </c>
    </row>
    <row r="37" spans="1:33">
      <c r="A37" s="154">
        <v>2</v>
      </c>
      <c r="B37" s="164" t="s">
        <v>120</v>
      </c>
      <c r="C37" s="173">
        <f>标准成本!E6</f>
        <v>17.5</v>
      </c>
      <c r="D37" s="173">
        <f>标准成本!E18</f>
        <v>5.7</v>
      </c>
      <c r="E37" s="180"/>
      <c r="F37" s="2"/>
      <c r="G37" s="2"/>
      <c r="H37" s="2"/>
      <c r="I37" s="2"/>
      <c r="J37" s="2"/>
      <c r="K37" s="2"/>
      <c r="L37" s="2"/>
      <c r="M37" s="2"/>
      <c r="N37" s="2"/>
      <c r="O37" s="2"/>
      <c r="P37" s="164" t="s">
        <v>120</v>
      </c>
      <c r="AF37" s="164" t="s">
        <v>69</v>
      </c>
      <c r="AG37" s="164" t="s">
        <v>120</v>
      </c>
    </row>
    <row r="38" spans="1:33">
      <c r="A38" s="154">
        <v>3</v>
      </c>
      <c r="B38" s="164" t="s">
        <v>121</v>
      </c>
      <c r="C38" s="173">
        <f>标准成本!E10</f>
        <v>17.5</v>
      </c>
      <c r="D38" s="173">
        <f>标准成本!E22</f>
        <v>5.7</v>
      </c>
      <c r="E38" s="180"/>
      <c r="F38" s="2"/>
      <c r="G38" s="2"/>
      <c r="H38" s="2"/>
      <c r="I38" s="2"/>
      <c r="J38" s="2"/>
      <c r="K38" s="2"/>
      <c r="L38" s="2"/>
      <c r="M38" s="2"/>
      <c r="N38" s="2"/>
      <c r="O38" s="2"/>
      <c r="P38" s="164" t="s">
        <v>121</v>
      </c>
      <c r="AF38" s="164" t="s">
        <v>76</v>
      </c>
      <c r="AG38" s="164" t="s">
        <v>121</v>
      </c>
    </row>
    <row r="39" spans="1:33">
      <c r="A39" s="164" t="s">
        <v>118</v>
      </c>
      <c r="B39" s="169" t="s">
        <v>123</v>
      </c>
      <c r="C39" s="175"/>
      <c r="D39" s="175"/>
      <c r="E39" s="175"/>
      <c r="P39" s="169" t="s">
        <v>123</v>
      </c>
      <c r="AF39" s="164" t="s">
        <v>122</v>
      </c>
      <c r="AG39" s="169" t="s">
        <v>123</v>
      </c>
    </row>
    <row r="40" spans="1:33">
      <c r="A40" s="154">
        <v>1</v>
      </c>
      <c r="B40" s="164" t="s">
        <v>125</v>
      </c>
      <c r="C40" s="175">
        <f>C34-C36-C37-C38</f>
        <v>383.32282178998</v>
      </c>
      <c r="D40" s="175">
        <f>D34-D36-D37-D38</f>
        <v>105.9870872001</v>
      </c>
      <c r="E40" s="175"/>
      <c r="P40" s="164" t="s">
        <v>125</v>
      </c>
      <c r="AF40" s="164" t="s">
        <v>64</v>
      </c>
      <c r="AG40" s="164" t="s">
        <v>125</v>
      </c>
    </row>
    <row r="41" spans="1:33">
      <c r="A41" s="154">
        <v>2</v>
      </c>
      <c r="B41" s="164" t="s">
        <v>126</v>
      </c>
      <c r="C41" s="175"/>
      <c r="D41" s="175"/>
      <c r="E41" s="175"/>
      <c r="P41" s="164" t="s">
        <v>126</v>
      </c>
      <c r="AF41" s="164" t="s">
        <v>66</v>
      </c>
      <c r="AG41" s="164" t="s">
        <v>126</v>
      </c>
    </row>
    <row r="42" spans="1:33">
      <c r="A42" s="164" t="s">
        <v>122</v>
      </c>
      <c r="B42" s="169" t="s">
        <v>128</v>
      </c>
      <c r="C42" s="175"/>
      <c r="D42" s="175"/>
      <c r="E42" s="175"/>
      <c r="P42" s="169" t="s">
        <v>128</v>
      </c>
      <c r="AF42" s="164" t="s">
        <v>127</v>
      </c>
      <c r="AG42" s="169" t="s">
        <v>128</v>
      </c>
    </row>
    <row r="43" spans="1:33">
      <c r="A43" s="154">
        <v>1</v>
      </c>
      <c r="B43" s="176" t="s">
        <v>129</v>
      </c>
      <c r="C43" s="173">
        <f>标准成本!E5</f>
        <v>105</v>
      </c>
      <c r="D43" s="173">
        <f>标准成本!E17</f>
        <v>34.2</v>
      </c>
      <c r="E43" s="175"/>
      <c r="P43" s="164" t="s">
        <v>129</v>
      </c>
      <c r="AF43" s="164" t="s">
        <v>64</v>
      </c>
      <c r="AG43" s="164" t="s">
        <v>129</v>
      </c>
    </row>
    <row r="44" spans="1:33">
      <c r="A44" s="154">
        <v>2</v>
      </c>
      <c r="B44" s="176" t="s">
        <v>130</v>
      </c>
      <c r="C44" s="173">
        <f>标准成本!E9</f>
        <v>24.5</v>
      </c>
      <c r="D44" s="173">
        <f>标准成本!E21</f>
        <v>7.98</v>
      </c>
      <c r="E44" s="175"/>
      <c r="P44" s="164" t="s">
        <v>130</v>
      </c>
      <c r="AF44" s="164" t="s">
        <v>66</v>
      </c>
      <c r="AG44" s="164" t="s">
        <v>130</v>
      </c>
    </row>
    <row r="45" spans="1:33">
      <c r="A45" s="154">
        <v>3</v>
      </c>
      <c r="B45" s="176" t="s">
        <v>131</v>
      </c>
      <c r="C45" s="173">
        <f>标准成本!E8</f>
        <v>35</v>
      </c>
      <c r="D45" s="173">
        <f>标准成本!E20</f>
        <v>11.4</v>
      </c>
      <c r="E45" s="175"/>
      <c r="P45" s="164" t="s">
        <v>131</v>
      </c>
      <c r="AF45" s="164" t="s">
        <v>115</v>
      </c>
      <c r="AG45" s="164" t="s">
        <v>131</v>
      </c>
    </row>
    <row r="46" s="151" customFormat="1" spans="1:33">
      <c r="A46" s="154">
        <v>4</v>
      </c>
      <c r="B46" s="176" t="s">
        <v>132</v>
      </c>
      <c r="C46" s="182">
        <f>C21/C6</f>
        <v>7.14285714285714</v>
      </c>
      <c r="D46" s="182">
        <f>D21/D6</f>
        <v>7.14285714285714</v>
      </c>
      <c r="E46" s="182"/>
      <c r="P46" s="176" t="s">
        <v>134</v>
      </c>
      <c r="AF46" s="176" t="s">
        <v>72</v>
      </c>
      <c r="AG46" s="176" t="s">
        <v>134</v>
      </c>
    </row>
    <row r="47" s="151" customFormat="1" spans="1:33">
      <c r="A47" s="154">
        <v>5</v>
      </c>
      <c r="B47" s="176" t="s">
        <v>134</v>
      </c>
      <c r="C47" s="182">
        <f>标准成本!E11</f>
        <v>70</v>
      </c>
      <c r="D47" s="182">
        <f>标准成本!E23</f>
        <v>22.8</v>
      </c>
      <c r="E47" s="182"/>
      <c r="P47" s="176" t="s">
        <v>134</v>
      </c>
      <c r="AF47" s="176" t="s">
        <v>72</v>
      </c>
      <c r="AG47" s="176" t="s">
        <v>134</v>
      </c>
    </row>
    <row r="48" spans="1:33">
      <c r="A48" s="164" t="s">
        <v>127</v>
      </c>
      <c r="B48" s="169" t="s">
        <v>145</v>
      </c>
      <c r="C48" s="175">
        <f>C40-C43-C44-C45-C47-C46</f>
        <v>141.679964647123</v>
      </c>
      <c r="D48" s="175">
        <f>D40-D43-D44-D45-D47-D46</f>
        <v>22.4642300572429</v>
      </c>
      <c r="E48" s="175"/>
      <c r="P48" s="169" t="s">
        <v>145</v>
      </c>
      <c r="AF48" s="164" t="s">
        <v>144</v>
      </c>
      <c r="AG48" s="169" t="s">
        <v>145</v>
      </c>
    </row>
    <row r="51" spans="3:4">
      <c r="C51" s="183"/>
      <c r="D51" s="183"/>
    </row>
    <row r="54" spans="2:10">
      <c r="B54" s="2"/>
      <c r="C54" s="184"/>
      <c r="D54" s="184"/>
      <c r="E54" s="184"/>
      <c r="F54" s="2"/>
      <c r="G54" s="2"/>
      <c r="H54" s="2"/>
      <c r="I54" s="2"/>
      <c r="J54" s="2"/>
    </row>
    <row r="55" spans="2:10">
      <c r="B55" s="2"/>
      <c r="C55" s="184"/>
      <c r="D55" s="184"/>
      <c r="E55" s="184"/>
      <c r="F55" s="2"/>
      <c r="G55" s="2"/>
      <c r="H55" s="2"/>
      <c r="I55" s="2"/>
      <c r="J55" s="2"/>
    </row>
    <row r="56" spans="2:10">
      <c r="B56" s="2"/>
      <c r="C56" s="184"/>
      <c r="D56" s="184"/>
      <c r="E56" s="184"/>
      <c r="F56" s="2"/>
      <c r="G56" s="2"/>
      <c r="H56" s="2"/>
      <c r="I56" s="2"/>
      <c r="J56" s="2"/>
    </row>
    <row r="57" spans="2:10">
      <c r="B57" s="2"/>
      <c r="C57" s="184"/>
      <c r="D57" s="184"/>
      <c r="E57" s="184"/>
      <c r="F57" s="2"/>
      <c r="G57" s="2"/>
      <c r="H57" s="2"/>
      <c r="I57" s="2"/>
      <c r="J57" s="2"/>
    </row>
    <row r="58" spans="2:10">
      <c r="B58" s="2"/>
      <c r="C58" s="184"/>
      <c r="D58" s="184"/>
      <c r="E58" s="184"/>
      <c r="F58" s="2"/>
      <c r="G58" s="2"/>
      <c r="H58" s="2"/>
      <c r="I58" s="2"/>
      <c r="J58" s="2"/>
    </row>
    <row r="59" spans="2:10">
      <c r="B59" s="2"/>
      <c r="C59" s="184"/>
      <c r="D59" s="184"/>
      <c r="E59" s="184"/>
      <c r="F59" s="2"/>
      <c r="G59" s="2"/>
      <c r="H59" s="2"/>
      <c r="I59" s="2"/>
      <c r="J59" s="2"/>
    </row>
    <row r="60" spans="2:10">
      <c r="B60" s="2"/>
      <c r="C60" s="184"/>
      <c r="D60" s="184"/>
      <c r="E60" s="184"/>
      <c r="F60" s="2"/>
      <c r="G60" s="2"/>
      <c r="H60" s="2"/>
      <c r="I60" s="2"/>
      <c r="J60" s="2"/>
    </row>
    <row r="61" spans="2:10">
      <c r="B61" s="2"/>
      <c r="C61" s="184"/>
      <c r="D61" s="184"/>
      <c r="E61" s="184"/>
      <c r="F61" s="2"/>
      <c r="G61" s="2"/>
      <c r="H61" s="2"/>
      <c r="I61" s="2"/>
      <c r="J61" s="2"/>
    </row>
    <row r="62" spans="2:10">
      <c r="B62" s="2"/>
      <c r="C62" s="184"/>
      <c r="D62" s="184"/>
      <c r="E62" s="184"/>
      <c r="F62" s="2"/>
      <c r="G62" s="2"/>
      <c r="H62" s="2"/>
      <c r="I62" s="2"/>
      <c r="J62" s="2"/>
    </row>
    <row r="63" spans="2:10">
      <c r="B63" s="2"/>
      <c r="C63" s="184"/>
      <c r="D63" s="184"/>
      <c r="E63" s="184"/>
      <c r="F63" s="2"/>
      <c r="G63" s="2"/>
      <c r="H63" s="2"/>
      <c r="I63" s="2"/>
      <c r="J63" s="2"/>
    </row>
    <row r="64" spans="2:10">
      <c r="B64" s="2"/>
      <c r="C64" s="184"/>
      <c r="D64" s="184"/>
      <c r="E64" s="184"/>
      <c r="F64" s="2"/>
      <c r="G64" s="2"/>
      <c r="H64" s="2"/>
      <c r="I64" s="2"/>
      <c r="J64" s="2"/>
    </row>
    <row r="65" spans="2:10">
      <c r="B65" s="2"/>
      <c r="C65" s="184"/>
      <c r="D65" s="184"/>
      <c r="E65" s="184"/>
      <c r="F65" s="2"/>
      <c r="G65" s="2"/>
      <c r="H65" s="2"/>
      <c r="I65" s="2"/>
      <c r="J65" s="2"/>
    </row>
    <row r="66" spans="2:10">
      <c r="B66" s="2"/>
      <c r="C66" s="184"/>
      <c r="D66" s="184"/>
      <c r="E66" s="184"/>
      <c r="F66" s="2"/>
      <c r="G66" s="2"/>
      <c r="H66" s="2"/>
      <c r="I66" s="2"/>
      <c r="J66" s="2"/>
    </row>
    <row r="67" spans="2:6">
      <c r="B67" s="2"/>
      <c r="C67" s="184"/>
      <c r="D67" s="184"/>
      <c r="E67" s="184"/>
      <c r="F67" s="2"/>
    </row>
    <row r="68" spans="2:6">
      <c r="B68" s="2"/>
      <c r="C68" s="184"/>
      <c r="D68" s="184"/>
      <c r="E68" s="184"/>
      <c r="F68" s="2"/>
    </row>
    <row r="69" spans="2:6">
      <c r="B69" s="2"/>
      <c r="C69" s="184"/>
      <c r="D69" s="184"/>
      <c r="E69" s="184"/>
      <c r="F69" s="2"/>
    </row>
    <row r="70" spans="2:6">
      <c r="B70" s="2"/>
      <c r="C70" s="184"/>
      <c r="D70" s="184"/>
      <c r="E70" s="184"/>
      <c r="F70" s="2"/>
    </row>
    <row r="71" spans="2:6">
      <c r="B71" s="2"/>
      <c r="C71" s="184"/>
      <c r="D71" s="184"/>
      <c r="E71" s="184"/>
      <c r="F71" s="2"/>
    </row>
    <row r="72" spans="2:6">
      <c r="B72" s="2"/>
      <c r="C72" s="184"/>
      <c r="D72" s="184"/>
      <c r="E72" s="184"/>
      <c r="F72" s="2"/>
    </row>
    <row r="73" spans="2:6">
      <c r="B73" s="2"/>
      <c r="C73" s="184"/>
      <c r="D73" s="184"/>
      <c r="E73" s="184"/>
      <c r="F73" s="2"/>
    </row>
    <row r="74" spans="2:6">
      <c r="B74" s="2"/>
      <c r="C74" s="184"/>
      <c r="D74" s="184"/>
      <c r="E74" s="184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2024-10-31T05:20:41Z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