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656" tabRatio="907" activeTab="1"/>
  </bookViews>
  <sheets>
    <sheet name="假设条件" sheetId="34" r:id="rId1"/>
    <sheet name="损益表" sheetId="2" r:id="rId2"/>
    <sheet name="现金" sheetId="36" state="hidden" r:id="rId3"/>
    <sheet name="2024年" sheetId="56" r:id="rId4"/>
    <sheet name="2025年" sheetId="58" r:id="rId5"/>
    <sheet name="2026年" sheetId="59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'2024年'!$A$1:$D$48</definedName>
    <definedName name="_xlnm.Print_Area" localSheetId="4">'2025年'!$A$1:$D$48</definedName>
    <definedName name="_xlnm.Print_Area" localSheetId="5">'2026年'!$A$1:$D$48</definedName>
    <definedName name="_xlnm.Print_Area" localSheetId="1">损益表!$A$1:$F$62</definedName>
    <definedName name="_xlnm.Print_Area" localSheetId="6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9" l="1"/>
  <c r="C2" i="58"/>
  <c r="I12" i="50"/>
  <c r="D11" i="50"/>
  <c r="H10" i="50"/>
  <c r="D10" i="50"/>
  <c r="D9" i="50"/>
  <c r="D8" i="50"/>
  <c r="H7" i="50"/>
  <c r="G7" i="50"/>
  <c r="D7" i="50"/>
  <c r="D6" i="50"/>
  <c r="D5" i="50"/>
  <c r="D4" i="50"/>
  <c r="H3" i="50"/>
  <c r="H27" i="53"/>
  <c r="G27" i="53"/>
  <c r="F27" i="53"/>
  <c r="H26" i="53"/>
  <c r="G26" i="53"/>
  <c r="F26" i="53"/>
  <c r="H25" i="53"/>
  <c r="G25" i="53"/>
  <c r="F25" i="53"/>
  <c r="H24" i="53"/>
  <c r="G24" i="53"/>
  <c r="F24" i="53"/>
  <c r="H23" i="53"/>
  <c r="G23" i="53"/>
  <c r="F23" i="53"/>
  <c r="H22" i="53"/>
  <c r="G22" i="53"/>
  <c r="F22" i="53"/>
  <c r="G21" i="53"/>
  <c r="F21" i="53"/>
  <c r="E21" i="53"/>
  <c r="D21" i="53"/>
  <c r="C21" i="53"/>
  <c r="G20" i="53"/>
  <c r="F20" i="53"/>
  <c r="E20" i="53"/>
  <c r="D20" i="53"/>
  <c r="C20" i="53"/>
  <c r="L12" i="53"/>
  <c r="K12" i="53"/>
  <c r="J12" i="53"/>
  <c r="I12" i="53"/>
  <c r="H12" i="53"/>
  <c r="G12" i="53"/>
  <c r="F12" i="53"/>
  <c r="E12" i="53"/>
  <c r="D12" i="53"/>
  <c r="K5" i="53"/>
  <c r="J5" i="53"/>
  <c r="I5" i="53"/>
  <c r="H5" i="53"/>
  <c r="G5" i="53"/>
  <c r="F5" i="53"/>
  <c r="E5" i="53"/>
  <c r="K4" i="53"/>
  <c r="J4" i="53"/>
  <c r="I4" i="53"/>
  <c r="H4" i="53"/>
  <c r="G4" i="53"/>
  <c r="F4" i="53"/>
  <c r="E4" i="53"/>
  <c r="J19" i="55"/>
  <c r="I19" i="55"/>
  <c r="H19" i="55"/>
  <c r="G19" i="55"/>
  <c r="F19" i="55"/>
  <c r="E19" i="55"/>
  <c r="D19" i="55"/>
  <c r="C19" i="55"/>
  <c r="J18" i="55"/>
  <c r="I18" i="55"/>
  <c r="H18" i="55"/>
  <c r="G18" i="55"/>
  <c r="F18" i="55"/>
  <c r="D18" i="55"/>
  <c r="C18" i="55"/>
  <c r="D17" i="55"/>
  <c r="L15" i="55"/>
  <c r="K15" i="55"/>
  <c r="J15" i="55"/>
  <c r="I15" i="55"/>
  <c r="H15" i="55"/>
  <c r="G15" i="55"/>
  <c r="F15" i="55"/>
  <c r="E15" i="55"/>
  <c r="D15" i="55"/>
  <c r="C15" i="55"/>
  <c r="L14" i="55"/>
  <c r="L13" i="55"/>
  <c r="L12" i="55"/>
  <c r="L11" i="55"/>
  <c r="L10" i="55"/>
  <c r="P9" i="55"/>
  <c r="O9" i="55"/>
  <c r="N9" i="55"/>
  <c r="L9" i="55"/>
  <c r="P8" i="55"/>
  <c r="O8" i="55"/>
  <c r="N8" i="55"/>
  <c r="M8" i="55"/>
  <c r="O7" i="55"/>
  <c r="H28" i="51"/>
  <c r="J26" i="51"/>
  <c r="I26" i="51"/>
  <c r="F26" i="51"/>
  <c r="E26" i="51"/>
  <c r="D26" i="51"/>
  <c r="B26" i="51"/>
  <c r="G22" i="51"/>
  <c r="B9" i="51"/>
  <c r="B27" i="51" s="1"/>
  <c r="D27" i="51" s="1"/>
  <c r="B8" i="51"/>
  <c r="B7" i="51"/>
  <c r="B5" i="51"/>
  <c r="C47" i="59"/>
  <c r="C45" i="59"/>
  <c r="C44" i="59"/>
  <c r="C43" i="59"/>
  <c r="C40" i="59"/>
  <c r="C38" i="59"/>
  <c r="C37" i="59"/>
  <c r="C36" i="59"/>
  <c r="C34" i="59"/>
  <c r="C33" i="59"/>
  <c r="C32" i="59"/>
  <c r="C31" i="59"/>
  <c r="D22" i="59"/>
  <c r="C22" i="59"/>
  <c r="D20" i="59"/>
  <c r="C20" i="59"/>
  <c r="D19" i="59"/>
  <c r="C19" i="59"/>
  <c r="D18" i="59"/>
  <c r="C18" i="59"/>
  <c r="D17" i="59"/>
  <c r="C17" i="59"/>
  <c r="D16" i="59"/>
  <c r="C16" i="59"/>
  <c r="D15" i="59"/>
  <c r="C15" i="59"/>
  <c r="D14" i="59"/>
  <c r="C14" i="59"/>
  <c r="D13" i="59"/>
  <c r="C13" i="59"/>
  <c r="D12" i="59"/>
  <c r="C12" i="59"/>
  <c r="D11" i="59"/>
  <c r="C11" i="59"/>
  <c r="D10" i="59"/>
  <c r="C10" i="59"/>
  <c r="D9" i="59"/>
  <c r="C9" i="59"/>
  <c r="D8" i="59"/>
  <c r="C8" i="59"/>
  <c r="D7" i="59"/>
  <c r="C7" i="59"/>
  <c r="D6" i="59"/>
  <c r="C6" i="59"/>
  <c r="C47" i="58"/>
  <c r="C45" i="58"/>
  <c r="C44" i="58"/>
  <c r="C43" i="58"/>
  <c r="C40" i="58"/>
  <c r="C38" i="58"/>
  <c r="C37" i="58"/>
  <c r="C36" i="58"/>
  <c r="C34" i="58"/>
  <c r="C33" i="58"/>
  <c r="C32" i="58"/>
  <c r="C31" i="58"/>
  <c r="D22" i="58"/>
  <c r="C22" i="58"/>
  <c r="D20" i="58"/>
  <c r="C20" i="58"/>
  <c r="D19" i="58"/>
  <c r="C19" i="58"/>
  <c r="D18" i="58"/>
  <c r="C18" i="58"/>
  <c r="D17" i="58"/>
  <c r="C17" i="58"/>
  <c r="D16" i="58"/>
  <c r="C16" i="58"/>
  <c r="D15" i="58"/>
  <c r="C15" i="58"/>
  <c r="D14" i="58"/>
  <c r="C14" i="58"/>
  <c r="D13" i="58"/>
  <c r="C13" i="58"/>
  <c r="D12" i="58"/>
  <c r="C12" i="58"/>
  <c r="D11" i="58"/>
  <c r="C11" i="58"/>
  <c r="D10" i="58"/>
  <c r="C10" i="58"/>
  <c r="D9" i="58"/>
  <c r="C9" i="58"/>
  <c r="D8" i="58"/>
  <c r="C8" i="58"/>
  <c r="D7" i="58"/>
  <c r="C7" i="58"/>
  <c r="D6" i="58"/>
  <c r="C6" i="58"/>
  <c r="C47" i="56"/>
  <c r="C45" i="56"/>
  <c r="C44" i="56"/>
  <c r="C43" i="56"/>
  <c r="C40" i="56"/>
  <c r="C38" i="56"/>
  <c r="C37" i="56"/>
  <c r="C36" i="56"/>
  <c r="C34" i="56"/>
  <c r="C33" i="56"/>
  <c r="C32" i="56"/>
  <c r="C31" i="56"/>
  <c r="D22" i="56"/>
  <c r="C22" i="56"/>
  <c r="D20" i="56"/>
  <c r="C20" i="56"/>
  <c r="D19" i="56"/>
  <c r="C19" i="56"/>
  <c r="D18" i="56"/>
  <c r="C18" i="56"/>
  <c r="D17" i="56"/>
  <c r="C17" i="56"/>
  <c r="D16" i="56"/>
  <c r="C16" i="56"/>
  <c r="D15" i="56"/>
  <c r="C15" i="56"/>
  <c r="D14" i="56"/>
  <c r="C14" i="56"/>
  <c r="D13" i="56"/>
  <c r="C13" i="56"/>
  <c r="D12" i="56"/>
  <c r="C12" i="56"/>
  <c r="D11" i="56"/>
  <c r="C11" i="56"/>
  <c r="D10" i="56"/>
  <c r="C10" i="56"/>
  <c r="D9" i="56"/>
  <c r="C9" i="56"/>
  <c r="D8" i="56"/>
  <c r="D7" i="56"/>
  <c r="C7" i="56"/>
  <c r="D6" i="56"/>
  <c r="C6" i="56"/>
  <c r="I24" i="36"/>
  <c r="E24" i="36"/>
  <c r="R23" i="36"/>
  <c r="I23" i="36"/>
  <c r="E23" i="36"/>
  <c r="I22" i="36"/>
  <c r="E22" i="36"/>
  <c r="L20" i="36"/>
  <c r="K20" i="36"/>
  <c r="J20" i="36"/>
  <c r="I20" i="36"/>
  <c r="H20" i="36"/>
  <c r="G20" i="36"/>
  <c r="F20" i="36"/>
  <c r="E20" i="36"/>
  <c r="D20" i="36"/>
  <c r="C20" i="36"/>
  <c r="M19" i="36"/>
  <c r="L19" i="36"/>
  <c r="K19" i="36"/>
  <c r="J19" i="36"/>
  <c r="I19" i="36"/>
  <c r="H19" i="36"/>
  <c r="G19" i="36"/>
  <c r="F19" i="36"/>
  <c r="E19" i="36"/>
  <c r="D19" i="36"/>
  <c r="C19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6" i="36"/>
  <c r="M15" i="36"/>
  <c r="L15" i="36"/>
  <c r="K15" i="36"/>
  <c r="J15" i="36"/>
  <c r="I15" i="36"/>
  <c r="H15" i="36"/>
  <c r="G15" i="36"/>
  <c r="F15" i="36"/>
  <c r="E15" i="36"/>
  <c r="D15" i="36"/>
  <c r="C15" i="36"/>
  <c r="M14" i="36"/>
  <c r="L14" i="36"/>
  <c r="K14" i="36"/>
  <c r="J14" i="36"/>
  <c r="I14" i="36"/>
  <c r="H14" i="36"/>
  <c r="G14" i="36"/>
  <c r="F14" i="36"/>
  <c r="E14" i="36"/>
  <c r="D14" i="36"/>
  <c r="C14" i="36"/>
  <c r="M13" i="36"/>
  <c r="L13" i="36"/>
  <c r="K13" i="36"/>
  <c r="J13" i="36"/>
  <c r="I13" i="36"/>
  <c r="H13" i="36"/>
  <c r="G13" i="36"/>
  <c r="F13" i="36"/>
  <c r="E13" i="36"/>
  <c r="D13" i="36"/>
  <c r="C13" i="36"/>
  <c r="M12" i="36"/>
  <c r="L12" i="36"/>
  <c r="K12" i="36"/>
  <c r="J12" i="36"/>
  <c r="I12" i="36"/>
  <c r="H12" i="36"/>
  <c r="G12" i="36"/>
  <c r="F12" i="36"/>
  <c r="E12" i="36"/>
  <c r="D12" i="36"/>
  <c r="C12" i="36"/>
  <c r="M11" i="36"/>
  <c r="L11" i="36"/>
  <c r="K11" i="36"/>
  <c r="J11" i="36"/>
  <c r="I11" i="36"/>
  <c r="H11" i="36"/>
  <c r="G11" i="36"/>
  <c r="F11" i="36"/>
  <c r="E11" i="36"/>
  <c r="D11" i="36"/>
  <c r="C11" i="36"/>
  <c r="M10" i="36"/>
  <c r="L10" i="36"/>
  <c r="K10" i="36"/>
  <c r="J10" i="36"/>
  <c r="I10" i="36"/>
  <c r="H10" i="36"/>
  <c r="G10" i="36"/>
  <c r="F10" i="36"/>
  <c r="E10" i="36"/>
  <c r="D10" i="36"/>
  <c r="C10" i="36"/>
  <c r="M9" i="36"/>
  <c r="M8" i="36"/>
  <c r="M7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M5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F61" i="2"/>
  <c r="C58" i="2"/>
  <c r="C57" i="2"/>
  <c r="D56" i="2"/>
  <c r="C56" i="2"/>
  <c r="F52" i="2"/>
  <c r="E52" i="2"/>
  <c r="D52" i="2"/>
  <c r="C52" i="2"/>
  <c r="F50" i="2"/>
  <c r="E50" i="2"/>
  <c r="D50" i="2"/>
  <c r="C50" i="2"/>
  <c r="F49" i="2"/>
  <c r="E49" i="2"/>
  <c r="D49" i="2"/>
  <c r="C49" i="2"/>
  <c r="F48" i="2"/>
  <c r="E48" i="2"/>
  <c r="D48" i="2"/>
  <c r="C48" i="2"/>
  <c r="E46" i="2"/>
  <c r="D46" i="2"/>
  <c r="C46" i="2"/>
  <c r="F44" i="2"/>
  <c r="E44" i="2"/>
  <c r="D44" i="2"/>
  <c r="C44" i="2"/>
  <c r="F43" i="2"/>
  <c r="E43" i="2"/>
  <c r="D43" i="2"/>
  <c r="C43" i="2"/>
  <c r="F42" i="2"/>
  <c r="E42" i="2"/>
  <c r="D42" i="2"/>
  <c r="C42" i="2"/>
  <c r="F39" i="2"/>
  <c r="E39" i="2"/>
  <c r="D39" i="2"/>
  <c r="C39" i="2"/>
  <c r="F37" i="2"/>
  <c r="E37" i="2"/>
  <c r="D37" i="2"/>
  <c r="C37" i="2"/>
  <c r="F36" i="2"/>
  <c r="E36" i="2"/>
  <c r="D36" i="2"/>
  <c r="C36" i="2"/>
  <c r="F35" i="2"/>
  <c r="E35" i="2"/>
  <c r="D35" i="2"/>
  <c r="C35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0" i="2"/>
  <c r="E20" i="2"/>
  <c r="D20" i="2"/>
  <c r="C20" i="2"/>
  <c r="F18" i="2"/>
  <c r="E18" i="2"/>
  <c r="D18" i="2"/>
  <c r="C18" i="2"/>
  <c r="F17" i="2"/>
  <c r="E17" i="2"/>
  <c r="D17" i="2"/>
  <c r="C17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A1" i="34"/>
  <c r="E27" i="51" l="1"/>
  <c r="D28" i="51"/>
  <c r="D21" i="56"/>
  <c r="B10" i="51"/>
  <c r="D23" i="56" l="1"/>
  <c r="D24" i="56" s="1"/>
  <c r="C19" i="2"/>
  <c r="C21" i="56"/>
  <c r="F27" i="51"/>
  <c r="D21" i="58"/>
  <c r="E28" i="51"/>
  <c r="D23" i="58" l="1"/>
  <c r="D24" i="58" s="1"/>
  <c r="D19" i="2"/>
  <c r="C21" i="58"/>
  <c r="D21" i="59"/>
  <c r="F28" i="51"/>
  <c r="I27" i="51"/>
  <c r="L27" i="51" s="1"/>
  <c r="C23" i="56"/>
  <c r="C24" i="56" s="1"/>
  <c r="C46" i="56"/>
  <c r="C48" i="56" s="1"/>
  <c r="C45" i="2"/>
  <c r="C21" i="2"/>
  <c r="C51" i="2"/>
  <c r="C22" i="2"/>
  <c r="C54" i="2" s="1"/>
  <c r="D25" i="56"/>
  <c r="C23" i="2" s="1"/>
  <c r="D26" i="56" l="1"/>
  <c r="E19" i="2"/>
  <c r="C21" i="59"/>
  <c r="D23" i="59"/>
  <c r="D24" i="59" s="1"/>
  <c r="C23" i="58"/>
  <c r="C24" i="58" s="1"/>
  <c r="C46" i="58"/>
  <c r="C48" i="58" s="1"/>
  <c r="C40" i="2"/>
  <c r="D21" i="2"/>
  <c r="D40" i="2" s="1"/>
  <c r="D51" i="2"/>
  <c r="D45" i="2"/>
  <c r="C25" i="56"/>
  <c r="C26" i="56" s="1"/>
  <c r="C27" i="56" s="1"/>
  <c r="D25" i="58"/>
  <c r="D23" i="2" s="1"/>
  <c r="D22" i="2"/>
  <c r="D54" i="2" s="1"/>
  <c r="D25" i="59" l="1"/>
  <c r="E23" i="2" s="1"/>
  <c r="E22" i="2"/>
  <c r="E54" i="2" s="1"/>
  <c r="C46" i="59"/>
  <c r="C48" i="59" s="1"/>
  <c r="C23" i="59"/>
  <c r="C24" i="59" s="1"/>
  <c r="C25" i="58"/>
  <c r="C26" i="58" s="1"/>
  <c r="E21" i="2"/>
  <c r="E51" i="2"/>
  <c r="E45" i="2"/>
  <c r="F19" i="2"/>
  <c r="F51" i="2" s="1"/>
  <c r="D27" i="56"/>
  <c r="C24" i="2"/>
  <c r="C27" i="58" l="1"/>
  <c r="D26" i="58"/>
  <c r="E40" i="2"/>
  <c r="F21" i="2"/>
  <c r="C25" i="59"/>
  <c r="C26" i="59" s="1"/>
  <c r="C25" i="2"/>
  <c r="C60" i="2"/>
  <c r="C59" i="2" s="1"/>
  <c r="C53" i="2"/>
  <c r="D26" i="59" l="1"/>
  <c r="C27" i="59"/>
  <c r="F40" i="2"/>
  <c r="F22" i="2"/>
  <c r="D27" i="58"/>
  <c r="D24" i="2"/>
  <c r="D25" i="2" l="1"/>
  <c r="D60" i="2"/>
  <c r="D59" i="2" s="1"/>
  <c r="D53" i="2"/>
  <c r="F23" i="2"/>
  <c r="F24" i="2" s="1"/>
  <c r="F54" i="2"/>
  <c r="E24" i="2"/>
  <c r="D27" i="59"/>
  <c r="F25" i="2" l="1"/>
  <c r="F60" i="2"/>
  <c r="F59" i="2" s="1"/>
  <c r="F53" i="2"/>
  <c r="E25" i="2"/>
  <c r="E60" i="2"/>
  <c r="E59" i="2" s="1"/>
  <c r="E53" i="2"/>
</calcChain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2021.11月河北报表数据</t>
        </r>
      </text>
    </comment>
    <comment ref="E10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<sst xmlns="http://schemas.openxmlformats.org/spreadsheetml/2006/main" count="942" uniqueCount="281">
  <si>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</si>
  <si>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</si>
  <si>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</si>
  <si>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</si>
  <si>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</si>
  <si>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</si>
  <si>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销售价格（未税）：由营销部门提供，包括年降4%。</t>
  </si>
  <si>
    <t>材料成本</t>
  </si>
  <si>
    <t>成本预估根据项目经理提供资料估算。供应商年度降价与销价降价同步。</t>
  </si>
  <si>
    <t>单台材料成本为未税价格。</t>
  </si>
  <si>
    <t>变动费用</t>
  </si>
  <si>
    <t>固定费用</t>
  </si>
  <si>
    <t>预测工厂产能满足客户订单，新增生产设备。</t>
  </si>
  <si>
    <t>研发费用按照产销量摊销。</t>
  </si>
  <si>
    <t>财务费用按集团水平。</t>
  </si>
  <si>
    <t>如有产线改造按照产销量摊销，无净残值。</t>
  </si>
  <si>
    <t>投资回收期</t>
  </si>
  <si>
    <t>投资仅指此项目研发费用及模夹检具工装、生产地产线改造投入。</t>
  </si>
  <si>
    <t>豪瀚NX座椅项目投资收益分析</t>
  </si>
  <si>
    <t>单位：元</t>
  </si>
  <si>
    <t>序号</t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</si>
  <si>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</si>
  <si>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</si>
  <si>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r>
      <rPr>
        <b/>
        <sz val="10"/>
        <rFont val="CorpoS"/>
        <family val="1"/>
      </rPr>
      <t>2026年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</si>
  <si>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</si>
  <si>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</si>
  <si>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</si>
  <si>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</si>
  <si>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</si>
  <si>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</si>
  <si>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</si>
  <si>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</si>
  <si>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</si>
  <si>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</si>
  <si>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</si>
  <si>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</si>
  <si>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</si>
  <si>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</si>
  <si>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</si>
  <si>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</si>
  <si>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</si>
  <si>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</si>
  <si>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</si>
  <si>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</si>
  <si>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</si>
  <si>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</si>
  <si>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</si>
  <si>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</si>
  <si>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</si>
  <si>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</si>
  <si>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</si>
  <si>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</si>
  <si>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</si>
  <si>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</si>
  <si>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</si>
  <si>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</si>
  <si>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</si>
  <si>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</si>
  <si>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</si>
  <si>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</si>
  <si>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</si>
  <si>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</si>
  <si>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</si>
  <si>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</si>
  <si>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</si>
  <si>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</si>
  <si>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</si>
  <si>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</si>
  <si>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</si>
  <si>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</si>
  <si>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</si>
  <si>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</si>
  <si>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</si>
  <si>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</si>
  <si>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</si>
  <si>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</si>
  <si>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</si>
  <si>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</si>
  <si>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</si>
  <si>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</si>
  <si>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</si>
  <si>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</si>
  <si>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</si>
  <si>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</si>
  <si>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</si>
  <si>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</si>
  <si>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</si>
  <si>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</si>
  <si>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</si>
  <si>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</si>
  <si>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</si>
  <si>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</si>
  <si>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</si>
  <si>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</si>
  <si>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</si>
  <si>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</si>
  <si>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</si>
  <si>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</si>
  <si>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</si>
  <si>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</si>
  <si>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</si>
  <si>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</si>
  <si>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</si>
  <si>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</si>
  <si>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</si>
  <si>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</si>
  <si>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</si>
  <si>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</si>
  <si>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</si>
  <si>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</si>
  <si>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</si>
  <si>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</si>
  <si>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</si>
  <si>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</si>
  <si>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</si>
  <si>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</si>
  <si>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</si>
  <si>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</si>
  <si>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</si>
  <si>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</si>
  <si>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</si>
  <si>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</si>
  <si>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</si>
  <si>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</si>
  <si>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</si>
  <si>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</si>
  <si>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</si>
  <si>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</si>
  <si>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</si>
  <si>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</si>
  <si>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</si>
  <si>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</si>
  <si>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</si>
  <si>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</si>
  <si>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</si>
  <si>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</si>
  <si>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</si>
  <si>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</si>
  <si>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</si>
  <si>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</si>
  <si>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</si>
  <si>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</si>
  <si>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</si>
  <si>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</si>
  <si>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</si>
  <si>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</si>
  <si>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2024年  </t>
  </si>
  <si>
    <t>客户全称</t>
  </si>
  <si>
    <t>产品名称</t>
  </si>
  <si>
    <t>驾驶员座椅</t>
  </si>
  <si>
    <t>产品图号</t>
  </si>
  <si>
    <t>AZ160051000250</t>
  </si>
  <si>
    <t>车型</t>
  </si>
  <si>
    <t>豪瀚NX</t>
  </si>
  <si>
    <t>销量(件）</t>
  </si>
  <si>
    <t>设备模具等折旧分摊</t>
  </si>
  <si>
    <t>假设包含在固定制造费用中</t>
  </si>
  <si>
    <t>所得税(税率25%）</t>
  </si>
  <si>
    <t>单件销售收入净额</t>
  </si>
  <si>
    <t xml:space="preserve">2025年  </t>
  </si>
  <si>
    <t>所得税(税率15%）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</si>
  <si>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</si>
  <si>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</si>
  <si>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</si>
  <si>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</si>
  <si>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</si>
  <si>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</si>
  <si>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</si>
  <si>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</si>
  <si>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</si>
  <si>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</si>
  <si>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</si>
  <si>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</si>
  <si>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</si>
  <si>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</si>
  <si>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</si>
  <si>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</si>
  <si>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</si>
  <si>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</si>
  <si>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</si>
  <si>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</si>
  <si>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</si>
  <si>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</si>
  <si>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</si>
  <si>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</si>
  <si>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</si>
  <si>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</si>
  <si>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</si>
  <si>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</si>
  <si>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</si>
  <si>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</si>
  <si>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</si>
  <si>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</si>
  <si>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</si>
  <si>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</si>
  <si>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</si>
  <si>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</si>
  <si>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</si>
  <si>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</si>
  <si>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2026年</t>
  </si>
  <si>
    <t>2027年</t>
  </si>
  <si>
    <t>2028年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</si>
  <si>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</si>
  <si>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</si>
  <si>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</si>
  <si>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</si>
  <si>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</si>
  <si>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3年</t>
  </si>
  <si>
    <t>新开发产品</t>
  </si>
  <si>
    <t>配置</t>
  </si>
  <si>
    <t>在基础件YZ167151000047上增加扶手配置。</t>
  </si>
  <si>
    <t xml:space="preserve">销售价格
（元，未税）  </t>
  </si>
  <si>
    <t>销量（件）</t>
  </si>
  <si>
    <t>2029年</t>
  </si>
  <si>
    <t>成本</t>
  </si>
  <si>
    <t>附加值率</t>
  </si>
  <si>
    <t>预估原材料成本（单位：元，未税）</t>
  </si>
  <si>
    <t>供应商年降：    连降4%</t>
  </si>
  <si>
    <t>模块</t>
  </si>
  <si>
    <t>项目名称</t>
  </si>
  <si>
    <t>项目编号</t>
  </si>
  <si>
    <t xml:space="preserve">
ZY2426</t>
  </si>
  <si>
    <t>产品图号/物料号</t>
  </si>
  <si>
    <t>汇总</t>
  </si>
  <si>
    <t>不含包装费</t>
  </si>
  <si>
    <t>材料成本年降汇总表</t>
  </si>
  <si>
    <t>产品号</t>
  </si>
  <si>
    <t>材料成本（连降4%）</t>
  </si>
  <si>
    <t>项    目</t>
  </si>
  <si>
    <t>内容</t>
  </si>
  <si>
    <t>说明</t>
  </si>
  <si>
    <t>生产地点</t>
  </si>
  <si>
    <t>黄骅</t>
  </si>
  <si>
    <t>客户地点</t>
  </si>
  <si>
    <t>济宁/济南</t>
  </si>
  <si>
    <t>送货地点</t>
  </si>
  <si>
    <t>客户付款方式</t>
  </si>
  <si>
    <t>商业承兑</t>
  </si>
  <si>
    <t>现汇或承兑的比例</t>
  </si>
  <si>
    <t>喷涂件生产地点</t>
  </si>
  <si>
    <t>委外加工</t>
  </si>
  <si>
    <t>物流包装信息</t>
  </si>
  <si>
    <t>工装运输</t>
  </si>
  <si>
    <t>客户现场服务要求</t>
  </si>
  <si>
    <t>驻场服务</t>
  </si>
  <si>
    <t>客户所在地第三方收费标准</t>
  </si>
  <si>
    <t>同现卡车TX产品</t>
  </si>
  <si>
    <t>客户是否指定供方及其结算方式</t>
  </si>
  <si>
    <t>面料价格</t>
  </si>
  <si>
    <t>待商定</t>
  </si>
  <si>
    <t>包含所有的主、辅料</t>
  </si>
  <si>
    <t>产品特殊特性</t>
  </si>
  <si>
    <t>无</t>
  </si>
  <si>
    <t>开发费分摊情况</t>
  </si>
  <si>
    <t>分摊</t>
  </si>
  <si>
    <t>产品应用场景</t>
  </si>
  <si>
    <t>公路载货车</t>
  </si>
  <si>
    <t>三包周期</t>
  </si>
  <si>
    <t>18月</t>
  </si>
  <si>
    <t>涂红色处为必填项</t>
  </si>
  <si>
    <t>单位：元、%、未税</t>
  </si>
  <si>
    <t>科目</t>
  </si>
  <si>
    <t>预计</t>
  </si>
  <si>
    <t>后视镜单件金额</t>
  </si>
  <si>
    <t>座椅单件金额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</si>
  <si>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</si>
  <si>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</si>
  <si>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</si>
  <si>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</si>
  <si>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</si>
  <si>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</si>
  <si>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</si>
  <si>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</si>
  <si>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</si>
  <si>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中国重汽济宁商用车有限公司</t>
    <phoneticPr fontId="57" type="noConversion"/>
  </si>
  <si>
    <t>变动费用参考河北工厂2023年实际及2024预算暂估。</t>
    <phoneticPr fontId="57" type="noConversion"/>
  </si>
  <si>
    <t>项目期间按1次出差计算，单次1000</t>
  </si>
  <si>
    <t>项目期间按10次邮寄费用，单次500</t>
  </si>
  <si>
    <t>项目期间按花费5天计算，单价1600</t>
  </si>
  <si>
    <t>项目期间预计5套，单价3000</t>
  </si>
  <si>
    <t>强检、3C、扩项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</si>
</sst>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2"/>
      <color rgb="FF0D0D0D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4"/>
      <color rgb="FFFF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9.75"/>
      <color rgb="FF333333"/>
      <name val="Helvetica"/>
      <family val="2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06918546098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8" fillId="0" borderId="0"/>
    <xf numFmtId="0" fontId="49" fillId="0" borderId="2" applyNumberFormat="0" applyFill="0" applyBorder="0" applyAlignment="0" applyProtection="0">
      <alignment vertical="center"/>
    </xf>
    <xf numFmtId="0" fontId="2" fillId="0" borderId="0">
      <alignment vertical="center"/>
    </xf>
    <xf numFmtId="0" fontId="50" fillId="0" borderId="0"/>
    <xf numFmtId="0" fontId="2" fillId="0" borderId="0">
      <alignment vertical="center"/>
    </xf>
    <xf numFmtId="0" fontId="51" fillId="0" borderId="0"/>
    <xf numFmtId="1" fontId="52" fillId="0" borderId="2" applyBorder="0"/>
    <xf numFmtId="43" fontId="2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0" fontId="50" fillId="0" borderId="0"/>
  </cellStyleXfs>
  <cellXfs count="2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  <xf numFmtId="10" fontId="2" fillId="0" borderId="0" xfId="2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6" fontId="0" fillId="0" borderId="2" xfId="2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9" fontId="3" fillId="0" borderId="2" xfId="2" applyFont="1" applyFill="1" applyBorder="1" applyAlignment="1">
      <alignment horizontal="center" vertical="center"/>
    </xf>
    <xf numFmtId="10" fontId="3" fillId="0" borderId="2" xfId="2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6" fillId="0" borderId="2" xfId="1" applyFont="1" applyBorder="1">
      <alignment vertical="center"/>
    </xf>
    <xf numFmtId="43" fontId="6" fillId="0" borderId="2" xfId="1" applyFont="1" applyFill="1" applyBorder="1">
      <alignment vertical="center"/>
    </xf>
    <xf numFmtId="43" fontId="8" fillId="0" borderId="2" xfId="1" applyFont="1" applyFill="1" applyBorder="1">
      <alignment vertical="center"/>
    </xf>
    <xf numFmtId="43" fontId="8" fillId="0" borderId="2" xfId="1" applyFont="1" applyBorder="1">
      <alignment vertical="center"/>
    </xf>
    <xf numFmtId="43" fontId="6" fillId="0" borderId="0" xfId="0" applyNumberFormat="1" applyFont="1">
      <alignment vertical="center"/>
    </xf>
    <xf numFmtId="43" fontId="6" fillId="0" borderId="0" xfId="1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7" applyFont="1" applyFill="1" applyBorder="1" applyAlignment="1">
      <alignment horizontal="center" vertical="center" wrapText="1"/>
    </xf>
    <xf numFmtId="43" fontId="6" fillId="0" borderId="0" xfId="0" applyNumberFormat="1" applyFont="1" applyBorder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11" fillId="0" borderId="2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vertical="center"/>
    </xf>
    <xf numFmtId="177" fontId="12" fillId="0" borderId="0" xfId="1" applyNumberFormat="1" applyFont="1">
      <alignment vertical="center"/>
    </xf>
    <xf numFmtId="0" fontId="12" fillId="4" borderId="0" xfId="0" applyFont="1" applyFill="1">
      <alignment vertical="center"/>
    </xf>
    <xf numFmtId="10" fontId="12" fillId="5" borderId="0" xfId="0" applyNumberFormat="1" applyFont="1" applyFill="1">
      <alignment vertical="center"/>
    </xf>
    <xf numFmtId="10" fontId="12" fillId="0" borderId="0" xfId="0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4" xfId="7" applyFont="1" applyFill="1" applyBorder="1" applyAlignment="1">
      <alignment horizontal="center" vertical="center" wrapText="1"/>
    </xf>
    <xf numFmtId="0" fontId="18" fillId="0" borderId="2" xfId="7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43" fontId="20" fillId="0" borderId="7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2" xfId="0" applyFont="1" applyFill="1" applyBorder="1" applyAlignment="1">
      <alignment horizontal="center" vertical="center" wrapText="1" readingOrder="1"/>
    </xf>
    <xf numFmtId="0" fontId="23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 readingOrder="1"/>
    </xf>
    <xf numFmtId="0" fontId="25" fillId="0" borderId="2" xfId="0" applyFont="1" applyFill="1" applyBorder="1" applyAlignment="1">
      <alignment horizontal="center" vertical="center" wrapText="1" readingOrder="1"/>
    </xf>
    <xf numFmtId="0" fontId="22" fillId="0" borderId="2" xfId="0" applyFont="1" applyFill="1" applyBorder="1" applyAlignment="1">
      <alignment horizontal="center" vertical="center" wrapText="1" readingOrder="1"/>
    </xf>
    <xf numFmtId="177" fontId="22" fillId="6" borderId="2" xfId="0" applyNumberFormat="1" applyFont="1" applyFill="1" applyBorder="1" applyAlignment="1">
      <alignment horizontal="center" wrapText="1" readingOrder="1"/>
    </xf>
    <xf numFmtId="43" fontId="12" fillId="0" borderId="0" xfId="1" applyFont="1">
      <alignment vertical="center"/>
    </xf>
    <xf numFmtId="0" fontId="12" fillId="0" borderId="2" xfId="0" applyFont="1" applyBorder="1">
      <alignment vertical="center"/>
    </xf>
    <xf numFmtId="43" fontId="12" fillId="0" borderId="2" xfId="0" applyNumberFormat="1" applyFont="1" applyBorder="1">
      <alignment vertical="center"/>
    </xf>
    <xf numFmtId="176" fontId="12" fillId="0" borderId="2" xfId="2" applyNumberFormat="1" applyFont="1" applyBorder="1">
      <alignment vertical="center"/>
    </xf>
    <xf numFmtId="43" fontId="12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77" fontId="22" fillId="6" borderId="2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 readingOrder="1"/>
    </xf>
    <xf numFmtId="10" fontId="12" fillId="0" borderId="0" xfId="2" applyNumberFormat="1" applyFont="1">
      <alignment vertical="center"/>
    </xf>
    <xf numFmtId="43" fontId="0" fillId="0" borderId="0" xfId="1" applyFont="1">
      <alignment vertical="center"/>
    </xf>
    <xf numFmtId="178" fontId="28" fillId="8" borderId="2" xfId="8" applyNumberFormat="1" applyFont="1" applyFill="1" applyBorder="1" applyAlignment="1">
      <alignment horizontal="center" vertical="center" wrapText="1"/>
    </xf>
    <xf numFmtId="43" fontId="28" fillId="8" borderId="2" xfId="1" applyFont="1" applyFill="1" applyBorder="1" applyAlignment="1">
      <alignment horizontal="center" vertical="center" wrapText="1"/>
    </xf>
    <xf numFmtId="0" fontId="28" fillId="8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29" fillId="0" borderId="2" xfId="8" applyNumberFormat="1" applyFont="1" applyFill="1" applyBorder="1" applyAlignment="1">
      <alignment horizontal="left" vertical="center"/>
    </xf>
    <xf numFmtId="43" fontId="29" fillId="4" borderId="2" xfId="1" applyFont="1" applyFill="1" applyBorder="1" applyAlignment="1">
      <alignment horizontal="center" vertical="center"/>
    </xf>
    <xf numFmtId="0" fontId="30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2" fillId="3" borderId="2" xfId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1" fillId="7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>
      <alignment vertical="center"/>
    </xf>
    <xf numFmtId="43" fontId="29" fillId="0" borderId="2" xfId="1" applyFont="1" applyFill="1" applyBorder="1" applyAlignment="1">
      <alignment horizontal="center" vertical="center"/>
    </xf>
    <xf numFmtId="0" fontId="0" fillId="6" borderId="2" xfId="0" applyFill="1" applyBorder="1">
      <alignment vertical="center"/>
    </xf>
    <xf numFmtId="0" fontId="4" fillId="9" borderId="2" xfId="0" applyFont="1" applyFill="1" applyBorder="1">
      <alignment vertical="center"/>
    </xf>
    <xf numFmtId="178" fontId="29" fillId="0" borderId="5" xfId="8" applyNumberFormat="1" applyFont="1" applyFill="1" applyBorder="1" applyAlignment="1">
      <alignment horizontal="center" vertical="center"/>
    </xf>
    <xf numFmtId="178" fontId="29" fillId="0" borderId="5" xfId="8" applyNumberFormat="1" applyFont="1" applyFill="1" applyBorder="1" applyAlignment="1">
      <alignment horizontal="left" vertical="center" wrapText="1"/>
    </xf>
    <xf numFmtId="0" fontId="30" fillId="7" borderId="2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3" fillId="0" borderId="0" xfId="0" applyFont="1" applyFill="1">
      <alignment vertical="center"/>
    </xf>
    <xf numFmtId="43" fontId="33" fillId="0" borderId="0" xfId="1" applyFont="1" applyFill="1">
      <alignment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2" xfId="0" applyFont="1" applyFill="1" applyBorder="1">
      <alignment vertical="center"/>
    </xf>
    <xf numFmtId="0" fontId="36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 readingOrder="1"/>
    </xf>
    <xf numFmtId="43" fontId="33" fillId="0" borderId="2" xfId="1" applyFont="1" applyFill="1" applyBorder="1" applyAlignment="1">
      <alignment horizontal="center" vertical="center"/>
    </xf>
    <xf numFmtId="43" fontId="33" fillId="0" borderId="0" xfId="0" applyNumberFormat="1" applyFont="1" applyFill="1">
      <alignment vertical="center"/>
    </xf>
    <xf numFmtId="0" fontId="36" fillId="0" borderId="2" xfId="0" applyFont="1" applyFill="1" applyBorder="1">
      <alignment vertical="center"/>
    </xf>
    <xf numFmtId="9" fontId="33" fillId="0" borderId="2" xfId="2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7" fillId="0" borderId="0" xfId="0" applyFont="1" applyFill="1">
      <alignment vertical="center"/>
    </xf>
    <xf numFmtId="43" fontId="33" fillId="0" borderId="2" xfId="1" applyFont="1" applyFill="1" applyBorder="1">
      <alignment vertical="center"/>
    </xf>
    <xf numFmtId="0" fontId="32" fillId="0" borderId="2" xfId="0" applyFont="1" applyFill="1" applyBorder="1">
      <alignment vertical="center"/>
    </xf>
    <xf numFmtId="179" fontId="33" fillId="0" borderId="0" xfId="0" applyNumberFormat="1" applyFont="1" applyFill="1">
      <alignment vertical="center"/>
    </xf>
    <xf numFmtId="10" fontId="33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33" fillId="0" borderId="2" xfId="0" applyNumberFormat="1" applyFont="1" applyFill="1" applyBorder="1">
      <alignment vertical="center"/>
    </xf>
    <xf numFmtId="43" fontId="32" fillId="0" borderId="2" xfId="1" applyFont="1" applyFill="1" applyBorder="1">
      <alignment vertical="center"/>
    </xf>
    <xf numFmtId="43" fontId="33" fillId="0" borderId="0" xfId="1" applyFont="1" applyFill="1" applyAlignment="1">
      <alignment horizontal="center" vertical="center"/>
    </xf>
    <xf numFmtId="1" fontId="29" fillId="7" borderId="0" xfId="3" applyNumberFormat="1" applyFont="1" applyFill="1" applyProtection="1"/>
    <xf numFmtId="0" fontId="29" fillId="7" borderId="0" xfId="3" applyFont="1" applyFill="1" applyProtection="1"/>
    <xf numFmtId="0" fontId="38" fillId="7" borderId="0" xfId="3" applyFont="1" applyFill="1" applyAlignment="1" applyProtection="1">
      <alignment horizontal="centerContinuous"/>
    </xf>
    <xf numFmtId="0" fontId="29" fillId="7" borderId="0" xfId="3" applyFont="1" applyFill="1" applyAlignment="1">
      <alignment horizontal="centerContinuous"/>
    </xf>
    <xf numFmtId="0" fontId="29" fillId="7" borderId="0" xfId="3" applyFont="1" applyFill="1" applyAlignment="1" applyProtection="1">
      <alignment horizontal="centerContinuous"/>
    </xf>
    <xf numFmtId="9" fontId="29" fillId="7" borderId="0" xfId="3" applyNumberFormat="1" applyFont="1" applyFill="1" applyProtection="1"/>
    <xf numFmtId="0" fontId="29" fillId="7" borderId="6" xfId="3" applyFont="1" applyFill="1" applyBorder="1" applyAlignment="1" applyProtection="1">
      <alignment horizontal="center"/>
    </xf>
    <xf numFmtId="0" fontId="31" fillId="7" borderId="2" xfId="3" applyFont="1" applyFill="1" applyBorder="1" applyAlignment="1" applyProtection="1">
      <alignment horizontal="center"/>
    </xf>
    <xf numFmtId="0" fontId="31" fillId="7" borderId="3" xfId="3" applyFont="1" applyFill="1" applyBorder="1" applyAlignment="1" applyProtection="1">
      <alignment horizontal="center"/>
    </xf>
    <xf numFmtId="1" fontId="31" fillId="7" borderId="3" xfId="9" applyFont="1" applyFill="1" applyBorder="1"/>
    <xf numFmtId="1" fontId="29" fillId="7" borderId="3" xfId="9" applyFont="1" applyFill="1" applyBorder="1"/>
    <xf numFmtId="0" fontId="29" fillId="7" borderId="7" xfId="3" applyFont="1" applyFill="1" applyBorder="1" applyProtection="1"/>
    <xf numFmtId="0" fontId="29" fillId="7" borderId="2" xfId="3" applyFont="1" applyFill="1" applyBorder="1" applyAlignment="1" applyProtection="1">
      <alignment horizontal="center"/>
    </xf>
    <xf numFmtId="0" fontId="29" fillId="7" borderId="2" xfId="3" applyFont="1" applyFill="1" applyBorder="1" applyAlignment="1" applyProtection="1">
      <alignment horizontal="left"/>
    </xf>
    <xf numFmtId="0" fontId="29" fillId="10" borderId="2" xfId="3" applyFont="1" applyFill="1" applyBorder="1" applyProtection="1"/>
    <xf numFmtId="177" fontId="29" fillId="10" borderId="2" xfId="1" applyNumberFormat="1" applyFont="1" applyFill="1" applyBorder="1" applyAlignment="1" applyProtection="1"/>
    <xf numFmtId="0" fontId="29" fillId="7" borderId="2" xfId="3" applyFont="1" applyFill="1" applyBorder="1" applyProtection="1"/>
    <xf numFmtId="177" fontId="29" fillId="7" borderId="2" xfId="1" applyNumberFormat="1" applyFont="1" applyFill="1" applyBorder="1" applyAlignment="1" applyProtection="1"/>
    <xf numFmtId="0" fontId="29" fillId="7" borderId="2" xfId="3" applyNumberFormat="1" applyFont="1" applyFill="1" applyBorder="1" applyAlignment="1" applyProtection="1">
      <alignment horizontal="left"/>
    </xf>
    <xf numFmtId="1" fontId="29" fillId="7" borderId="2" xfId="3" applyNumberFormat="1" applyFont="1" applyFill="1" applyBorder="1" applyProtection="1"/>
    <xf numFmtId="1" fontId="29" fillId="7" borderId="2" xfId="3" applyNumberFormat="1" applyFont="1" applyFill="1" applyBorder="1" applyAlignment="1" applyProtection="1">
      <alignment horizontal="left"/>
    </xf>
    <xf numFmtId="0" fontId="29" fillId="7" borderId="8" xfId="3" applyFont="1" applyFill="1" applyBorder="1" applyProtection="1"/>
    <xf numFmtId="0" fontId="29" fillId="7" borderId="13" xfId="3" applyFont="1" applyFill="1" applyBorder="1" applyProtection="1"/>
    <xf numFmtId="0" fontId="29" fillId="7" borderId="11" xfId="3" applyFont="1" applyFill="1" applyBorder="1" applyProtection="1"/>
    <xf numFmtId="0" fontId="29" fillId="7" borderId="0" xfId="3" applyFont="1" applyFill="1" applyBorder="1" applyProtection="1"/>
    <xf numFmtId="180" fontId="29" fillId="7" borderId="0" xfId="3" applyNumberFormat="1" applyFont="1" applyFill="1" applyBorder="1" applyProtection="1"/>
    <xf numFmtId="10" fontId="29" fillId="7" borderId="0" xfId="3" applyNumberFormat="1" applyFont="1" applyFill="1" applyBorder="1" applyProtection="1"/>
    <xf numFmtId="1" fontId="29" fillId="7" borderId="0" xfId="3" applyNumberFormat="1" applyFont="1" applyFill="1" applyBorder="1" applyProtection="1"/>
    <xf numFmtId="0" fontId="29" fillId="7" borderId="14" xfId="3" applyFont="1" applyFill="1" applyBorder="1" applyProtection="1"/>
    <xf numFmtId="0" fontId="29" fillId="7" borderId="1" xfId="3" applyFont="1" applyFill="1" applyBorder="1" applyProtection="1"/>
    <xf numFmtId="2" fontId="29" fillId="7" borderId="1" xfId="3" applyNumberFormat="1" applyFont="1" applyFill="1" applyBorder="1" applyProtection="1"/>
    <xf numFmtId="0" fontId="29" fillId="7" borderId="4" xfId="3" applyFont="1" applyFill="1" applyBorder="1"/>
    <xf numFmtId="1" fontId="29" fillId="7" borderId="7" xfId="9" applyFont="1" applyFill="1" applyBorder="1" applyAlignment="1">
      <alignment horizontal="center"/>
    </xf>
    <xf numFmtId="0" fontId="29" fillId="7" borderId="9" xfId="3" applyFont="1" applyFill="1" applyBorder="1" applyProtection="1"/>
    <xf numFmtId="0" fontId="29" fillId="7" borderId="15" xfId="3" applyFont="1" applyFill="1" applyBorder="1" applyProtection="1"/>
    <xf numFmtId="0" fontId="29" fillId="7" borderId="16" xfId="3" applyFont="1" applyFill="1" applyBorder="1" applyProtection="1"/>
    <xf numFmtId="0" fontId="39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Border="1">
      <alignment vertical="center"/>
    </xf>
    <xf numFmtId="0" fontId="33" fillId="0" borderId="0" xfId="0" applyFont="1">
      <alignment vertical="center"/>
    </xf>
    <xf numFmtId="43" fontId="33" fillId="0" borderId="0" xfId="1" applyFo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3" fontId="41" fillId="0" borderId="2" xfId="1" applyFont="1" applyFill="1" applyBorder="1" applyAlignment="1">
      <alignment horizontal="center" vertical="center" wrapText="1"/>
    </xf>
    <xf numFmtId="43" fontId="34" fillId="0" borderId="2" xfId="1" applyFont="1" applyFill="1" applyBorder="1" applyAlignment="1">
      <alignment horizontal="center" vertical="center" wrapText="1"/>
    </xf>
    <xf numFmtId="177" fontId="33" fillId="0" borderId="2" xfId="1" applyNumberFormat="1" applyFont="1" applyFill="1" applyBorder="1" applyAlignment="1">
      <alignment horizontal="center" vertical="center"/>
    </xf>
    <xf numFmtId="0" fontId="33" fillId="6" borderId="2" xfId="0" applyFont="1" applyFill="1" applyBorder="1">
      <alignment vertical="center"/>
    </xf>
    <xf numFmtId="0" fontId="36" fillId="10" borderId="2" xfId="0" applyFont="1" applyFill="1" applyBorder="1">
      <alignment vertical="center"/>
    </xf>
    <xf numFmtId="177" fontId="42" fillId="11" borderId="2" xfId="1" applyNumberFormat="1" applyFont="1" applyFill="1" applyBorder="1" applyAlignment="1">
      <alignment horizontal="center" vertical="center"/>
    </xf>
    <xf numFmtId="177" fontId="32" fillId="10" borderId="2" xfId="1" applyNumberFormat="1" applyFont="1" applyFill="1" applyBorder="1" applyAlignment="1">
      <alignment horizontal="center" vertical="center"/>
    </xf>
    <xf numFmtId="0" fontId="43" fillId="0" borderId="2" xfId="0" applyFont="1" applyFill="1" applyBorder="1">
      <alignment vertical="center"/>
    </xf>
    <xf numFmtId="0" fontId="33" fillId="0" borderId="2" xfId="0" applyFont="1" applyBorder="1">
      <alignment vertical="center"/>
    </xf>
    <xf numFmtId="10" fontId="32" fillId="0" borderId="2" xfId="2" applyNumberFormat="1" applyFont="1" applyBorder="1" applyAlignment="1">
      <alignment vertical="center"/>
    </xf>
    <xf numFmtId="0" fontId="43" fillId="10" borderId="2" xfId="0" applyFont="1" applyFill="1" applyBorder="1">
      <alignment vertical="center"/>
    </xf>
    <xf numFmtId="177" fontId="33" fillId="0" borderId="2" xfId="1" applyNumberFormat="1" applyFont="1" applyBorder="1" applyAlignment="1">
      <alignment horizontal="center" vertical="center"/>
    </xf>
    <xf numFmtId="10" fontId="44" fillId="0" borderId="2" xfId="2" applyNumberFormat="1" applyFont="1" applyBorder="1">
      <alignment vertical="center"/>
    </xf>
    <xf numFmtId="10" fontId="33" fillId="0" borderId="0" xfId="2" applyNumberFormat="1" applyFont="1" applyBorder="1">
      <alignment vertical="center"/>
    </xf>
    <xf numFmtId="43" fontId="33" fillId="0" borderId="0" xfId="0" applyNumberFormat="1" applyFont="1" applyFill="1" applyBorder="1">
      <alignment vertical="center"/>
    </xf>
    <xf numFmtId="43" fontId="33" fillId="0" borderId="0" xfId="1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10" fontId="33" fillId="0" borderId="2" xfId="2" applyNumberFormat="1" applyFont="1" applyFill="1" applyBorder="1" applyAlignment="1">
      <alignment horizontal="center" vertical="center"/>
    </xf>
    <xf numFmtId="177" fontId="33" fillId="0" borderId="2" xfId="1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43" fontId="33" fillId="0" borderId="2" xfId="1" applyFont="1" applyBorder="1">
      <alignment vertical="center"/>
    </xf>
    <xf numFmtId="177" fontId="33" fillId="0" borderId="2" xfId="1" applyNumberFormat="1" applyFont="1" applyBorder="1">
      <alignment vertical="center"/>
    </xf>
    <xf numFmtId="0" fontId="32" fillId="0" borderId="2" xfId="0" applyFont="1" applyBorder="1">
      <alignment vertical="center"/>
    </xf>
    <xf numFmtId="0" fontId="43" fillId="0" borderId="2" xfId="0" applyFont="1" applyBorder="1">
      <alignment vertical="center"/>
    </xf>
    <xf numFmtId="0" fontId="33" fillId="0" borderId="6" xfId="0" applyFont="1" applyBorder="1">
      <alignment vertical="center"/>
    </xf>
    <xf numFmtId="0" fontId="45" fillId="0" borderId="0" xfId="0" applyFont="1">
      <alignment vertical="center"/>
    </xf>
    <xf numFmtId="0" fontId="47" fillId="0" borderId="2" xfId="0" applyFont="1" applyBorder="1" applyAlignment="1">
      <alignment horizontal="center" vertical="center" wrapText="1" readingOrder="1"/>
    </xf>
    <xf numFmtId="0" fontId="45" fillId="0" borderId="0" xfId="0" applyFont="1" applyFill="1">
      <alignment vertical="center"/>
    </xf>
    <xf numFmtId="0" fontId="25" fillId="0" borderId="2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17" fillId="0" borderId="2" xfId="0" applyFont="1" applyFill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10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46" fillId="4" borderId="14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 readingOrder="1"/>
    </xf>
    <xf numFmtId="0" fontId="25" fillId="0" borderId="10" xfId="0" applyFont="1" applyBorder="1" applyAlignment="1">
      <alignment horizontal="center" vertical="center" wrapText="1" readingOrder="1"/>
    </xf>
    <xf numFmtId="0" fontId="40" fillId="0" borderId="0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1" fillId="7" borderId="2" xfId="3" applyFont="1" applyFill="1" applyBorder="1" applyAlignment="1" applyProtection="1">
      <alignment horizontal="center"/>
    </xf>
    <xf numFmtId="0" fontId="33" fillId="0" borderId="2" xfId="0" applyFont="1" applyFill="1" applyBorder="1" applyAlignment="1">
      <alignment horizontal="center" vertical="center"/>
    </xf>
    <xf numFmtId="43" fontId="34" fillId="0" borderId="6" xfId="1" applyFont="1" applyFill="1" applyBorder="1" applyAlignment="1">
      <alignment horizontal="center" vertical="center" wrapText="1"/>
    </xf>
    <xf numFmtId="43" fontId="34" fillId="0" borderId="10" xfId="1" applyFont="1" applyFill="1" applyBorder="1" applyAlignment="1">
      <alignment horizontal="center" vertical="center" wrapText="1"/>
    </xf>
    <xf numFmtId="43" fontId="34" fillId="0" borderId="7" xfId="1" applyFont="1" applyFill="1" applyBorder="1" applyAlignment="1">
      <alignment horizontal="center" vertical="center" wrapText="1"/>
    </xf>
    <xf numFmtId="43" fontId="33" fillId="0" borderId="5" xfId="1" applyFont="1" applyFill="1" applyBorder="1" applyAlignment="1">
      <alignment horizontal="center" vertical="center"/>
    </xf>
    <xf numFmtId="43" fontId="33" fillId="0" borderId="4" xfId="1" applyFont="1" applyFill="1" applyBorder="1" applyAlignment="1">
      <alignment horizontal="center" vertical="center"/>
    </xf>
    <xf numFmtId="43" fontId="33" fillId="4" borderId="2" xfId="1" applyFont="1" applyFill="1" applyBorder="1" applyAlignment="1">
      <alignment horizontal="center" vertical="center"/>
    </xf>
    <xf numFmtId="43" fontId="33" fillId="4" borderId="5" xfId="1" applyFont="1" applyFill="1" applyBorder="1" applyAlignment="1">
      <alignment horizontal="center" vertical="center"/>
    </xf>
    <xf numFmtId="43" fontId="33" fillId="4" borderId="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7" borderId="1" xfId="3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3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2 27" xfId="7"/>
    <cellStyle name="常规_20061221C2项目损益分析（概念稿）" xfId="8"/>
    <cellStyle name="普通_销售收入.XLS" xfId="9"/>
    <cellStyle name="千位分隔" xfId="1" builtinId="3"/>
    <cellStyle name="千位分隔 2" xfId="10"/>
    <cellStyle name="千位分隔 2 25" xfId="11"/>
    <cellStyle name="样式 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&#31435;&#39033;&#20998;&#26512;202410/M4&#20013;&#25913;&#20986;&#21475;&#39033;&#30446;-&#25237;&#36164;&#25910;&#30410;&#20998;&#26512;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现金"/>
      <sheetName val="损益表"/>
      <sheetName val="2024年"/>
      <sheetName val="2025年"/>
      <sheetName val="2026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9" sqref="C9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1" spans="1:4" ht="25.5" customHeight="1">
      <c r="A1" s="232" t="str">
        <f>损益表!A1</f>
        <v>豪瀚NX座椅项目投资收益分析</v>
      </c>
      <c r="B1" s="233"/>
      <c r="C1" s="233"/>
    </row>
    <row r="2" spans="1:4" s="222" customFormat="1" ht="35.25" customHeight="1">
      <c r="A2" s="223" t="s">
        <v>0</v>
      </c>
      <c r="B2" s="223" t="s">
        <v>1</v>
      </c>
      <c r="C2" s="223" t="s">
        <v>2</v>
      </c>
      <c r="D2" s="224"/>
    </row>
    <row r="3" spans="1:4" s="222" customFormat="1" ht="33.75" customHeight="1">
      <c r="A3" s="225">
        <v>1</v>
      </c>
      <c r="B3" s="225" t="s">
        <v>3</v>
      </c>
      <c r="C3" s="226" t="s">
        <v>4</v>
      </c>
      <c r="D3" s="224"/>
    </row>
    <row r="4" spans="1:4" s="222" customFormat="1" ht="33.75" customHeight="1">
      <c r="A4" s="225">
        <v>2</v>
      </c>
      <c r="B4" s="225" t="s">
        <v>5</v>
      </c>
      <c r="C4" s="226" t="s">
        <v>6</v>
      </c>
    </row>
    <row r="5" spans="1:4" s="222" customFormat="1" ht="33.75" customHeight="1">
      <c r="A5" s="225">
        <v>3</v>
      </c>
      <c r="B5" s="234" t="s">
        <v>7</v>
      </c>
      <c r="C5" s="227" t="s">
        <v>8</v>
      </c>
    </row>
    <row r="6" spans="1:4" s="222" customFormat="1" ht="33.75" customHeight="1">
      <c r="A6" s="225">
        <v>4</v>
      </c>
      <c r="B6" s="235"/>
      <c r="C6" s="226" t="s">
        <v>9</v>
      </c>
    </row>
    <row r="7" spans="1:4" s="222" customFormat="1" ht="33.75" customHeight="1">
      <c r="A7" s="225">
        <v>5</v>
      </c>
      <c r="B7" s="228" t="s">
        <v>10</v>
      </c>
      <c r="C7" s="226" t="s">
        <v>275</v>
      </c>
    </row>
    <row r="8" spans="1:4" s="222" customFormat="1" ht="33.75" customHeight="1">
      <c r="A8" s="225">
        <v>6</v>
      </c>
      <c r="B8" s="234" t="s">
        <v>11</v>
      </c>
      <c r="C8" s="226" t="s">
        <v>12</v>
      </c>
    </row>
    <row r="9" spans="1:4" s="222" customFormat="1" ht="33.75" customHeight="1">
      <c r="A9" s="225">
        <v>7</v>
      </c>
      <c r="B9" s="235"/>
      <c r="C9" s="226" t="s">
        <v>13</v>
      </c>
    </row>
    <row r="10" spans="1:4" s="222" customFormat="1" ht="33.75" customHeight="1">
      <c r="A10" s="225">
        <v>8</v>
      </c>
      <c r="B10" s="235"/>
      <c r="C10" s="227" t="s">
        <v>14</v>
      </c>
    </row>
    <row r="11" spans="1:4" s="222" customFormat="1" ht="33.75" customHeight="1">
      <c r="A11" s="225">
        <v>9</v>
      </c>
      <c r="B11" s="235"/>
      <c r="C11" s="226" t="s">
        <v>15</v>
      </c>
    </row>
    <row r="12" spans="1:4" s="222" customFormat="1" ht="33.75" customHeight="1">
      <c r="A12" s="225">
        <v>10</v>
      </c>
      <c r="B12" s="228" t="s">
        <v>16</v>
      </c>
      <c r="C12" s="226" t="s">
        <v>17</v>
      </c>
    </row>
    <row r="13" spans="1:4" ht="33.75" customHeight="1"/>
    <row r="14" spans="1:4" ht="33.75" customHeight="1"/>
    <row r="15" spans="1:4" ht="33.75" customHeight="1">
      <c r="C15" s="229"/>
    </row>
  </sheetData>
  <mergeCells count="3">
    <mergeCell ref="A1:C1"/>
    <mergeCell ref="B5:B6"/>
    <mergeCell ref="B8:B11"/>
  </mergeCells>
  <phoneticPr fontId="5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4.4"/>
  <cols>
    <col min="1" max="1" width="9" style="22"/>
    <col min="2" max="2" width="29.6640625" style="22" customWidth="1"/>
    <col min="3" max="3" width="25.44140625" style="22" customWidth="1"/>
    <col min="4" max="4" width="22" style="22" customWidth="1"/>
    <col min="5" max="16384" width="9" style="22"/>
  </cols>
  <sheetData>
    <row r="1" spans="1:5" ht="27" customHeight="1">
      <c r="A1" s="23" t="s">
        <v>20</v>
      </c>
      <c r="B1" s="23" t="s">
        <v>228</v>
      </c>
      <c r="C1" s="23" t="s">
        <v>229</v>
      </c>
      <c r="D1" s="23" t="s">
        <v>230</v>
      </c>
    </row>
    <row r="2" spans="1:5" ht="19.5" customHeight="1">
      <c r="A2" s="23">
        <v>1</v>
      </c>
      <c r="B2" s="24" t="s">
        <v>231</v>
      </c>
      <c r="C2" s="25" t="s">
        <v>232</v>
      </c>
      <c r="D2" s="26"/>
    </row>
    <row r="3" spans="1:5" ht="23.4" customHeight="1">
      <c r="A3" s="23">
        <v>2</v>
      </c>
      <c r="B3" s="24" t="s">
        <v>233</v>
      </c>
      <c r="C3" s="27" t="s">
        <v>234</v>
      </c>
      <c r="D3" s="26" t="s">
        <v>235</v>
      </c>
    </row>
    <row r="4" spans="1:5" ht="23.4" customHeight="1">
      <c r="A4" s="23">
        <v>3</v>
      </c>
      <c r="B4" s="24" t="s">
        <v>236</v>
      </c>
      <c r="C4" s="25" t="s">
        <v>237</v>
      </c>
      <c r="D4" s="26" t="s">
        <v>238</v>
      </c>
    </row>
    <row r="5" spans="1:5" ht="23.4" customHeight="1">
      <c r="A5" s="23">
        <v>4</v>
      </c>
      <c r="B5" s="24" t="s">
        <v>239</v>
      </c>
      <c r="C5" s="25"/>
      <c r="D5" s="26"/>
    </row>
    <row r="6" spans="1:5" ht="23.4" customHeight="1">
      <c r="A6" s="23">
        <v>5</v>
      </c>
      <c r="B6" s="24" t="s">
        <v>240</v>
      </c>
      <c r="C6" s="25"/>
      <c r="D6" s="26"/>
    </row>
    <row r="7" spans="1:5" ht="23.4" customHeight="1">
      <c r="A7" s="23">
        <v>6</v>
      </c>
      <c r="B7" s="26" t="s">
        <v>241</v>
      </c>
      <c r="C7" s="27" t="s">
        <v>242</v>
      </c>
      <c r="D7" s="26"/>
    </row>
    <row r="8" spans="1:5" ht="23.4" customHeight="1">
      <c r="A8" s="23">
        <v>7</v>
      </c>
      <c r="B8" s="24" t="s">
        <v>243</v>
      </c>
      <c r="C8" s="28" t="s">
        <v>244</v>
      </c>
      <c r="D8" s="26"/>
    </row>
    <row r="9" spans="1:5" ht="23.4" customHeight="1">
      <c r="A9" s="23">
        <v>8</v>
      </c>
      <c r="B9" s="26" t="s">
        <v>245</v>
      </c>
      <c r="C9" s="28" t="s">
        <v>246</v>
      </c>
      <c r="D9" s="26"/>
    </row>
    <row r="10" spans="1:5" ht="23.4" customHeight="1">
      <c r="A10" s="23">
        <v>9</v>
      </c>
      <c r="B10" s="26" t="s">
        <v>247</v>
      </c>
      <c r="C10" s="28" t="s">
        <v>246</v>
      </c>
      <c r="D10" s="26"/>
      <c r="E10" s="29"/>
    </row>
    <row r="11" spans="1:5" ht="23.4" customHeight="1">
      <c r="A11" s="23">
        <v>10</v>
      </c>
      <c r="B11" s="26" t="s">
        <v>248</v>
      </c>
      <c r="C11" s="28" t="s">
        <v>249</v>
      </c>
      <c r="D11" s="26" t="s">
        <v>250</v>
      </c>
    </row>
    <row r="12" spans="1:5" ht="23.4" customHeight="1">
      <c r="A12" s="23">
        <v>11</v>
      </c>
      <c r="B12" s="26" t="s">
        <v>251</v>
      </c>
      <c r="C12" s="28" t="s">
        <v>252</v>
      </c>
      <c r="D12" s="26"/>
    </row>
    <row r="13" spans="1:5" ht="24" customHeight="1">
      <c r="A13" s="23">
        <v>12</v>
      </c>
      <c r="B13" s="24" t="s">
        <v>253</v>
      </c>
      <c r="C13" s="28" t="s">
        <v>254</v>
      </c>
      <c r="D13" s="26"/>
    </row>
    <row r="14" spans="1:5" ht="24" customHeight="1">
      <c r="A14" s="23">
        <v>13</v>
      </c>
      <c r="B14" s="24" t="s">
        <v>255</v>
      </c>
      <c r="C14" s="28" t="s">
        <v>256</v>
      </c>
      <c r="D14" s="26"/>
    </row>
    <row r="15" spans="1:5" ht="24" customHeight="1">
      <c r="A15" s="23">
        <v>14</v>
      </c>
      <c r="B15" s="24" t="s">
        <v>257</v>
      </c>
      <c r="C15" s="28" t="s">
        <v>258</v>
      </c>
      <c r="D15" s="26"/>
    </row>
    <row r="16" spans="1:5" ht="24" customHeight="1">
      <c r="A16" s="23">
        <v>15</v>
      </c>
      <c r="B16" s="26" t="s">
        <v>133</v>
      </c>
      <c r="C16" s="26"/>
      <c r="D16" s="26"/>
    </row>
    <row r="17" spans="2:4" ht="15.6">
      <c r="B17" s="30" t="s">
        <v>259</v>
      </c>
      <c r="C17" s="31"/>
      <c r="D17" s="31"/>
    </row>
  </sheetData>
  <phoneticPr fontId="5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workbookViewId="0">
      <selection activeCell="G21" sqref="G21"/>
    </sheetView>
  </sheetViews>
  <sheetFormatPr defaultColWidth="9" defaultRowHeight="14.4"/>
  <cols>
    <col min="1" max="2" width="9" style="2"/>
    <col min="3" max="3" width="14.6640625" style="2" customWidth="1"/>
    <col min="4" max="4" width="12.33203125" style="2" customWidth="1"/>
    <col min="5" max="7" width="11.109375" style="2" customWidth="1"/>
    <col min="8" max="8" width="11" style="3" customWidth="1"/>
    <col min="9" max="16384" width="9" style="2"/>
  </cols>
  <sheetData>
    <row r="1" spans="1:11" s="1" customFormat="1" ht="18.75" customHeight="1">
      <c r="F1" s="295" t="s">
        <v>260</v>
      </c>
      <c r="G1" s="295"/>
      <c r="H1" s="4"/>
    </row>
    <row r="2" spans="1:11" ht="20.25" customHeight="1">
      <c r="A2" s="294" t="s">
        <v>261</v>
      </c>
      <c r="B2" s="294"/>
      <c r="C2" s="296"/>
      <c r="D2" s="296"/>
      <c r="E2" s="296"/>
      <c r="F2" s="296"/>
      <c r="G2" s="297"/>
      <c r="H2" s="5" t="s">
        <v>262</v>
      </c>
      <c r="J2" s="18"/>
      <c r="K2" s="18"/>
    </row>
    <row r="3" spans="1:11" ht="34.5" customHeight="1">
      <c r="A3" s="294"/>
      <c r="B3" s="294"/>
      <c r="C3" s="6" t="s">
        <v>263</v>
      </c>
      <c r="D3" s="6" t="s">
        <v>264</v>
      </c>
      <c r="E3" s="7" t="s">
        <v>265</v>
      </c>
      <c r="F3" s="7" t="s">
        <v>266</v>
      </c>
      <c r="G3" s="7" t="s">
        <v>267</v>
      </c>
      <c r="H3" s="8">
        <f>销量!C8</f>
        <v>1220</v>
      </c>
    </row>
    <row r="4" spans="1:11">
      <c r="A4" s="291" t="s">
        <v>268</v>
      </c>
      <c r="B4" s="291"/>
      <c r="C4" s="10"/>
      <c r="D4" s="11">
        <f t="shared" ref="D4:D11" si="0">$H$3*H4</f>
        <v>52.582000000000001</v>
      </c>
      <c r="E4" s="12"/>
      <c r="F4" s="12"/>
      <c r="G4" s="13">
        <v>6.3270000000000007E-2</v>
      </c>
      <c r="H4" s="3">
        <v>4.3099999999999999E-2</v>
      </c>
      <c r="I4" s="19"/>
      <c r="J4" s="20"/>
      <c r="K4" s="20"/>
    </row>
    <row r="5" spans="1:11">
      <c r="A5" s="291" t="s">
        <v>269</v>
      </c>
      <c r="B5" s="9" t="s">
        <v>270</v>
      </c>
      <c r="C5" s="10"/>
      <c r="D5" s="11">
        <f t="shared" si="0"/>
        <v>50.02</v>
      </c>
      <c r="E5" s="13"/>
      <c r="F5" s="12"/>
      <c r="G5" s="13">
        <v>0.08</v>
      </c>
      <c r="H5" s="3">
        <v>4.1000000000000002E-2</v>
      </c>
      <c r="I5" s="21"/>
      <c r="J5" s="20"/>
      <c r="K5" s="20"/>
    </row>
    <row r="6" spans="1:11">
      <c r="A6" s="291"/>
      <c r="B6" s="9" t="s">
        <v>271</v>
      </c>
      <c r="C6" s="10"/>
      <c r="D6" s="11">
        <f t="shared" si="0"/>
        <v>26.474</v>
      </c>
      <c r="E6" s="12"/>
      <c r="F6" s="12"/>
      <c r="G6" s="13">
        <v>2.068E-2</v>
      </c>
      <c r="H6" s="3">
        <v>2.1700000000000001E-2</v>
      </c>
      <c r="I6" s="19"/>
      <c r="J6" s="20"/>
      <c r="K6" s="20"/>
    </row>
    <row r="7" spans="1:11">
      <c r="A7" s="298" t="s">
        <v>272</v>
      </c>
      <c r="B7" s="297"/>
      <c r="C7" s="14"/>
      <c r="D7" s="11">
        <f t="shared" si="0"/>
        <v>129.07599999999999</v>
      </c>
      <c r="E7" s="15"/>
      <c r="F7" s="15"/>
      <c r="G7" s="16">
        <f t="shared" ref="G7:H7" si="1">SUM(G4:G6)</f>
        <v>0.16395000000000001</v>
      </c>
      <c r="H7" s="3">
        <f t="shared" si="1"/>
        <v>0.10580000000000001</v>
      </c>
      <c r="I7" s="19"/>
      <c r="J7" s="20"/>
      <c r="K7" s="20"/>
    </row>
    <row r="8" spans="1:11">
      <c r="A8" s="291" t="s">
        <v>54</v>
      </c>
      <c r="B8" s="291"/>
      <c r="C8" s="10"/>
      <c r="D8" s="11">
        <f t="shared" si="0"/>
        <v>41.48</v>
      </c>
      <c r="E8" s="17"/>
      <c r="F8" s="12"/>
      <c r="G8" s="13">
        <v>4.9200000000000001E-2</v>
      </c>
      <c r="H8" s="3">
        <v>3.4000000000000002E-2</v>
      </c>
      <c r="I8" s="21"/>
      <c r="J8" s="20"/>
      <c r="K8" s="20"/>
    </row>
    <row r="9" spans="1:11">
      <c r="A9" s="292" t="s">
        <v>273</v>
      </c>
      <c r="B9" s="9" t="s">
        <v>270</v>
      </c>
      <c r="C9" s="10"/>
      <c r="D9" s="11">
        <f t="shared" si="0"/>
        <v>8.5399999999999991</v>
      </c>
      <c r="E9" s="13"/>
      <c r="F9" s="12"/>
      <c r="G9" s="13">
        <v>9.4900000000000002E-3</v>
      </c>
      <c r="H9" s="3">
        <v>7.0000000000000001E-3</v>
      </c>
      <c r="I9" s="3"/>
      <c r="J9" s="20"/>
      <c r="K9" s="20"/>
    </row>
    <row r="10" spans="1:11">
      <c r="A10" s="293"/>
      <c r="B10" s="9" t="s">
        <v>271</v>
      </c>
      <c r="C10" s="10"/>
      <c r="D10" s="11">
        <f t="shared" si="0"/>
        <v>53.68</v>
      </c>
      <c r="E10" s="3"/>
      <c r="F10" s="12"/>
      <c r="G10" s="13">
        <v>5.4899999999999997E-2</v>
      </c>
      <c r="H10" s="3">
        <f>2.8%+1.6%</f>
        <v>4.3999999999999997E-2</v>
      </c>
      <c r="I10" s="3"/>
      <c r="J10" s="20"/>
      <c r="K10" s="20"/>
    </row>
    <row r="11" spans="1:11">
      <c r="A11" s="291" t="s">
        <v>57</v>
      </c>
      <c r="B11" s="291"/>
      <c r="C11" s="10"/>
      <c r="D11" s="11">
        <f t="shared" si="0"/>
        <v>36.6</v>
      </c>
      <c r="E11" s="13"/>
      <c r="F11" s="12"/>
      <c r="G11" s="13">
        <v>2.1299999999999999E-2</v>
      </c>
      <c r="H11" s="3">
        <v>0.03</v>
      </c>
      <c r="I11" s="3"/>
      <c r="J11" s="20"/>
      <c r="K11" s="20"/>
    </row>
    <row r="12" spans="1:11">
      <c r="I12" s="230">
        <f>H4+H6+H10</f>
        <v>0.10879999999999999</v>
      </c>
    </row>
  </sheetData>
  <mergeCells count="9">
    <mergeCell ref="A11:B11"/>
    <mergeCell ref="A5:A6"/>
    <mergeCell ref="A9:A10"/>
    <mergeCell ref="A2:B3"/>
    <mergeCell ref="F1:G1"/>
    <mergeCell ref="C2:G2"/>
    <mergeCell ref="A4:B4"/>
    <mergeCell ref="A7:B7"/>
    <mergeCell ref="A8:B8"/>
  </mergeCells>
  <phoneticPr fontId="57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H20" sqref="H20"/>
    </sheetView>
  </sheetViews>
  <sheetFormatPr defaultColWidth="9" defaultRowHeight="15"/>
  <cols>
    <col min="1" max="1" width="5.109375" style="192" customWidth="1"/>
    <col min="2" max="2" width="35.77734375" style="192" customWidth="1"/>
    <col min="3" max="5" width="13" style="193" customWidth="1"/>
    <col min="6" max="6" width="15.109375" style="193" customWidth="1"/>
    <col min="7" max="7" width="15.44140625" style="192" customWidth="1"/>
    <col min="8" max="33" width="9" style="192"/>
    <col min="34" max="34" width="4.33203125" style="192" customWidth="1"/>
    <col min="35" max="35" width="13.88671875" style="192" customWidth="1"/>
    <col min="36" max="16384" width="9" style="192"/>
  </cols>
  <sheetData>
    <row r="1" spans="1:36" ht="27" customHeight="1">
      <c r="A1" s="236" t="s">
        <v>18</v>
      </c>
      <c r="B1" s="236"/>
      <c r="C1" s="236"/>
      <c r="D1" s="236"/>
      <c r="E1" s="236"/>
      <c r="F1" s="236"/>
    </row>
    <row r="2" spans="1:36" s="189" customFormat="1" ht="15.75" customHeight="1">
      <c r="A2" s="194"/>
      <c r="B2" s="195"/>
      <c r="C2" s="195"/>
      <c r="D2" s="195"/>
      <c r="E2" s="195" t="s">
        <v>19</v>
      </c>
      <c r="F2" s="195"/>
    </row>
    <row r="3" spans="1:36" ht="15.75" customHeight="1">
      <c r="A3" s="237" t="s">
        <v>20</v>
      </c>
      <c r="B3" s="196" t="s">
        <v>1</v>
      </c>
      <c r="C3" s="196" t="s">
        <v>21</v>
      </c>
      <c r="D3" s="196" t="s">
        <v>22</v>
      </c>
      <c r="E3" s="196" t="s">
        <v>23</v>
      </c>
      <c r="F3" s="197" t="s">
        <v>24</v>
      </c>
      <c r="AJ3" s="192" t="s">
        <v>25</v>
      </c>
    </row>
    <row r="4" spans="1:36" s="131" customFormat="1" ht="15.75" customHeight="1">
      <c r="A4" s="238"/>
      <c r="B4" s="136" t="s">
        <v>3</v>
      </c>
      <c r="C4" s="198">
        <f>'2024年'!D6</f>
        <v>200</v>
      </c>
      <c r="D4" s="198">
        <f>'2025年'!D6</f>
        <v>300</v>
      </c>
      <c r="E4" s="198">
        <f>'2026年'!D6</f>
        <v>300</v>
      </c>
      <c r="F4" s="198">
        <f>SUM(C4:E4)</f>
        <v>800</v>
      </c>
      <c r="G4" s="139"/>
      <c r="AH4" s="135" t="s">
        <v>20</v>
      </c>
      <c r="AI4" s="136" t="s">
        <v>3</v>
      </c>
      <c r="AJ4" s="131" t="s">
        <v>26</v>
      </c>
    </row>
    <row r="5" spans="1:36" s="131" customFormat="1" ht="15.75" customHeight="1">
      <c r="A5" s="133">
        <v>1</v>
      </c>
      <c r="B5" s="136" t="s">
        <v>27</v>
      </c>
      <c r="C5" s="198">
        <f>'2024年'!D7</f>
        <v>244000</v>
      </c>
      <c r="D5" s="198">
        <f>'2025年'!D7</f>
        <v>366000</v>
      </c>
      <c r="E5" s="198">
        <f>'2026年'!D7</f>
        <v>366000</v>
      </c>
      <c r="F5" s="198">
        <f t="shared" ref="F5:F11" si="0">SUM(C5:E5)</f>
        <v>976000</v>
      </c>
      <c r="G5" s="139"/>
      <c r="AH5" s="135" t="s">
        <v>28</v>
      </c>
      <c r="AI5" s="136" t="s">
        <v>27</v>
      </c>
      <c r="AJ5" s="131" t="s">
        <v>26</v>
      </c>
    </row>
    <row r="6" spans="1:36" s="131" customFormat="1" ht="15.75" customHeight="1">
      <c r="A6" s="133">
        <v>2</v>
      </c>
      <c r="B6" s="133" t="s">
        <v>29</v>
      </c>
      <c r="C6" s="198">
        <f>'2024年'!D8</f>
        <v>0</v>
      </c>
      <c r="D6" s="198">
        <f>'2025年'!D8</f>
        <v>14640</v>
      </c>
      <c r="E6" s="198">
        <f>'2026年'!D8</f>
        <v>28694.400000000001</v>
      </c>
      <c r="F6" s="198">
        <f t="shared" si="0"/>
        <v>43334.400000000001</v>
      </c>
      <c r="G6" s="139"/>
      <c r="AH6" s="135" t="s">
        <v>30</v>
      </c>
      <c r="AI6" s="133" t="s">
        <v>31</v>
      </c>
      <c r="AJ6" s="131" t="s">
        <v>26</v>
      </c>
    </row>
    <row r="7" spans="1:36" s="131" customFormat="1" ht="15.75" customHeight="1">
      <c r="A7" s="133">
        <v>3</v>
      </c>
      <c r="B7" s="136" t="s">
        <v>32</v>
      </c>
      <c r="C7" s="198">
        <f>'2024年'!D9</f>
        <v>244000</v>
      </c>
      <c r="D7" s="198">
        <f>'2025年'!D9</f>
        <v>351360</v>
      </c>
      <c r="E7" s="198">
        <f>'2026年'!D9</f>
        <v>337305.59999999998</v>
      </c>
      <c r="F7" s="198">
        <f t="shared" si="0"/>
        <v>932665.6</v>
      </c>
      <c r="G7" s="139"/>
      <c r="AH7" s="135" t="s">
        <v>33</v>
      </c>
      <c r="AI7" s="136" t="s">
        <v>32</v>
      </c>
      <c r="AJ7" s="131" t="s">
        <v>34</v>
      </c>
    </row>
    <row r="8" spans="1:36" s="131" customFormat="1" ht="15.75" customHeight="1">
      <c r="A8" s="133">
        <v>4</v>
      </c>
      <c r="B8" s="135" t="s">
        <v>35</v>
      </c>
      <c r="C8" s="198">
        <f>'2024年'!D10</f>
        <v>171800</v>
      </c>
      <c r="D8" s="198">
        <f>'2025年'!D10</f>
        <v>247392</v>
      </c>
      <c r="E8" s="198">
        <f>'2026年'!D10</f>
        <v>237496.32000000001</v>
      </c>
      <c r="F8" s="198">
        <f t="shared" si="0"/>
        <v>656688.31999999995</v>
      </c>
      <c r="G8" s="139"/>
      <c r="AH8" s="135" t="s">
        <v>36</v>
      </c>
      <c r="AI8" s="135" t="s">
        <v>35</v>
      </c>
      <c r="AJ8" s="131" t="s">
        <v>37</v>
      </c>
    </row>
    <row r="9" spans="1:36" s="131" customFormat="1" ht="15.75" customHeight="1">
      <c r="A9" s="133">
        <v>5</v>
      </c>
      <c r="B9" s="135" t="s">
        <v>38</v>
      </c>
      <c r="C9" s="198">
        <f>'2024年'!D11</f>
        <v>10516.4</v>
      </c>
      <c r="D9" s="198">
        <f>'2025年'!D11</f>
        <v>15774.6</v>
      </c>
      <c r="E9" s="198">
        <f>'2026年'!D11</f>
        <v>15774.6</v>
      </c>
      <c r="F9" s="198">
        <f t="shared" si="0"/>
        <v>42065.599999999999</v>
      </c>
      <c r="G9" s="139"/>
      <c r="AH9" s="135" t="s">
        <v>39</v>
      </c>
      <c r="AI9" s="135" t="s">
        <v>38</v>
      </c>
    </row>
    <row r="10" spans="1:36" s="131" customFormat="1" ht="15.75" customHeight="1">
      <c r="A10" s="133">
        <v>6</v>
      </c>
      <c r="B10" s="135" t="s">
        <v>40</v>
      </c>
      <c r="C10" s="198">
        <f>'2024年'!D12</f>
        <v>5294.8</v>
      </c>
      <c r="D10" s="198">
        <f>'2025年'!D12</f>
        <v>7942.2</v>
      </c>
      <c r="E10" s="198">
        <f>'2026年'!D12</f>
        <v>7942.2</v>
      </c>
      <c r="F10" s="198">
        <f t="shared" si="0"/>
        <v>21179.200000000001</v>
      </c>
      <c r="G10" s="139"/>
      <c r="AH10" s="135" t="s">
        <v>41</v>
      </c>
      <c r="AI10" s="135" t="s">
        <v>40</v>
      </c>
    </row>
    <row r="11" spans="1:36" s="131" customFormat="1" ht="15.75" customHeight="1">
      <c r="A11" s="133">
        <v>7</v>
      </c>
      <c r="B11" s="199" t="s">
        <v>42</v>
      </c>
      <c r="C11" s="198">
        <f>'2024年'!D13</f>
        <v>10736</v>
      </c>
      <c r="D11" s="198">
        <f>'2025年'!D13</f>
        <v>16104</v>
      </c>
      <c r="E11" s="198">
        <f>'2026年'!D13</f>
        <v>16104</v>
      </c>
      <c r="F11" s="198">
        <f t="shared" si="0"/>
        <v>42944</v>
      </c>
      <c r="G11" s="139"/>
      <c r="AH11" s="135" t="s">
        <v>43</v>
      </c>
      <c r="AI11" s="135" t="s">
        <v>42</v>
      </c>
      <c r="AJ11" s="131" t="s">
        <v>26</v>
      </c>
    </row>
    <row r="12" spans="1:36" s="131" customFormat="1" ht="15.75" customHeight="1">
      <c r="A12" s="133">
        <v>8</v>
      </c>
      <c r="B12" s="200" t="s">
        <v>44</v>
      </c>
      <c r="C12" s="201">
        <f>SUM(C9:C11)</f>
        <v>26547.200000000001</v>
      </c>
      <c r="D12" s="201">
        <f>SUM(D9:D11)</f>
        <v>39820.800000000003</v>
      </c>
      <c r="E12" s="201">
        <f>SUM(E9:E11)</f>
        <v>39820.800000000003</v>
      </c>
      <c r="F12" s="202">
        <f>SUM(C12:E12)</f>
        <v>106188.8</v>
      </c>
      <c r="G12" s="139"/>
      <c r="AH12" s="135" t="s">
        <v>45</v>
      </c>
      <c r="AI12" s="140" t="s">
        <v>44</v>
      </c>
    </row>
    <row r="13" spans="1:36" s="131" customFormat="1" ht="15.75" customHeight="1">
      <c r="A13" s="133">
        <v>9</v>
      </c>
      <c r="B13" s="203" t="s">
        <v>46</v>
      </c>
      <c r="C13" s="198">
        <f>'2024年'!D15</f>
        <v>45652.800000000003</v>
      </c>
      <c r="D13" s="198">
        <f>'2025年'!D15</f>
        <v>64147.199999999997</v>
      </c>
      <c r="E13" s="198">
        <f>'2026年'!D15</f>
        <v>59988.480000000003</v>
      </c>
      <c r="F13" s="198">
        <f>F7-F8-F12</f>
        <v>169788.48</v>
      </c>
      <c r="G13" s="139"/>
      <c r="I13" s="192"/>
      <c r="J13" s="192"/>
      <c r="K13" s="192"/>
      <c r="L13" s="192"/>
      <c r="M13" s="192"/>
      <c r="N13" s="192"/>
      <c r="AH13" s="135" t="s">
        <v>47</v>
      </c>
      <c r="AI13" s="140" t="s">
        <v>46</v>
      </c>
    </row>
    <row r="14" spans="1:36" ht="15.75" customHeight="1">
      <c r="A14" s="133">
        <v>10</v>
      </c>
      <c r="B14" s="204" t="s">
        <v>48</v>
      </c>
      <c r="C14" s="205">
        <f>'2024年'!D16</f>
        <v>0.18710163934426199</v>
      </c>
      <c r="D14" s="205">
        <f>'2025年'!D16</f>
        <v>0.18256830601092899</v>
      </c>
      <c r="E14" s="205">
        <f>'2026年'!D16</f>
        <v>0.177846083788707</v>
      </c>
      <c r="F14" s="205">
        <f>+F13/F7</f>
        <v>0.182046469817263</v>
      </c>
      <c r="G14" s="139"/>
      <c r="AH14" s="204" t="s">
        <v>49</v>
      </c>
      <c r="AI14" s="204" t="s">
        <v>48</v>
      </c>
    </row>
    <row r="15" spans="1:36" ht="15.75" customHeight="1">
      <c r="A15" s="133">
        <v>11</v>
      </c>
      <c r="B15" s="204" t="s">
        <v>50</v>
      </c>
      <c r="C15" s="198">
        <f>'2024年'!D17</f>
        <v>10004</v>
      </c>
      <c r="D15" s="198">
        <f>'2025年'!D17</f>
        <v>15006</v>
      </c>
      <c r="E15" s="198">
        <f>'2026年'!D17</f>
        <v>15006</v>
      </c>
      <c r="F15" s="198">
        <f>SUM(C15:E15)</f>
        <v>40016</v>
      </c>
      <c r="G15" s="139"/>
      <c r="AH15" s="204" t="s">
        <v>51</v>
      </c>
      <c r="AI15" s="204" t="s">
        <v>50</v>
      </c>
    </row>
    <row r="16" spans="1:36" ht="15.75" hidden="1" customHeight="1">
      <c r="A16" s="133"/>
      <c r="B16" s="204"/>
      <c r="C16" s="198">
        <f>'2024年'!D18</f>
        <v>0</v>
      </c>
      <c r="D16" s="198">
        <f>'2025年'!D18</f>
        <v>0</v>
      </c>
      <c r="E16" s="198">
        <f>'2026年'!D18</f>
        <v>0</v>
      </c>
      <c r="F16" s="198"/>
      <c r="G16" s="139"/>
      <c r="AH16" s="204"/>
      <c r="AI16" s="204"/>
    </row>
    <row r="17" spans="1:36" ht="15.75" customHeight="1">
      <c r="A17" s="133">
        <v>12</v>
      </c>
      <c r="B17" s="204" t="s">
        <v>52</v>
      </c>
      <c r="C17" s="198">
        <f>'2024年'!D19</f>
        <v>1708</v>
      </c>
      <c r="D17" s="198">
        <f>'2025年'!D19</f>
        <v>2562</v>
      </c>
      <c r="E17" s="198">
        <f>'2026年'!D19</f>
        <v>2562</v>
      </c>
      <c r="F17" s="198">
        <f>SUM(C17:E17)</f>
        <v>6832</v>
      </c>
      <c r="G17" s="139"/>
      <c r="O17" s="139"/>
      <c r="AH17" s="204" t="s">
        <v>53</v>
      </c>
      <c r="AI17" s="204" t="s">
        <v>52</v>
      </c>
      <c r="AJ17" s="192" t="s">
        <v>26</v>
      </c>
    </row>
    <row r="18" spans="1:36" ht="15.75" customHeight="1">
      <c r="A18" s="133">
        <v>13</v>
      </c>
      <c r="B18" s="204" t="s">
        <v>54</v>
      </c>
      <c r="C18" s="198">
        <f>'2024年'!D20</f>
        <v>8296</v>
      </c>
      <c r="D18" s="198">
        <f>'2025年'!D20</f>
        <v>12444</v>
      </c>
      <c r="E18" s="198">
        <f>'2026年'!D20</f>
        <v>12444</v>
      </c>
      <c r="F18" s="198">
        <f>SUM(C18:E18)</f>
        <v>33184</v>
      </c>
      <c r="G18" s="139"/>
      <c r="AH18" s="204" t="s">
        <v>55</v>
      </c>
      <c r="AI18" s="204" t="s">
        <v>54</v>
      </c>
    </row>
    <row r="19" spans="1:36" s="130" customFormat="1" ht="15.75" customHeight="1">
      <c r="A19" s="133">
        <v>14</v>
      </c>
      <c r="B19" s="146" t="s">
        <v>56</v>
      </c>
      <c r="C19" s="198">
        <f>'2024年'!D21</f>
        <v>16333.333333333334</v>
      </c>
      <c r="D19" s="198">
        <f>'2025年'!D21</f>
        <v>16333.333333333334</v>
      </c>
      <c r="E19" s="198">
        <f>'2026年'!D21</f>
        <v>16333.333333333334</v>
      </c>
      <c r="F19" s="198">
        <f>SUM(C19:E19)</f>
        <v>49000</v>
      </c>
      <c r="G19" s="139"/>
      <c r="AH19" s="146"/>
      <c r="AI19" s="146"/>
    </row>
    <row r="20" spans="1:36" s="131" customFormat="1" ht="15.75" customHeight="1">
      <c r="A20" s="133">
        <v>15</v>
      </c>
      <c r="B20" s="135" t="s">
        <v>57</v>
      </c>
      <c r="C20" s="198">
        <f>'2024年'!D22</f>
        <v>7320</v>
      </c>
      <c r="D20" s="198">
        <f>'2025年'!D22</f>
        <v>10980</v>
      </c>
      <c r="E20" s="198">
        <f>'2026年'!D22</f>
        <v>10980</v>
      </c>
      <c r="F20" s="198">
        <f>SUM(C20:E20)</f>
        <v>29280</v>
      </c>
      <c r="G20" s="139"/>
      <c r="AH20" s="135" t="s">
        <v>58</v>
      </c>
      <c r="AI20" s="135" t="s">
        <v>57</v>
      </c>
    </row>
    <row r="21" spans="1:36" s="190" customFormat="1" ht="15.75" customHeight="1">
      <c r="A21" s="133">
        <v>16</v>
      </c>
      <c r="B21" s="206" t="s">
        <v>59</v>
      </c>
      <c r="C21" s="201">
        <f>+C20+C19+C18+C17+C15</f>
        <v>43661.333333333336</v>
      </c>
      <c r="D21" s="201">
        <f>+D20+D19+D18+D17+D15</f>
        <v>57325.333333333336</v>
      </c>
      <c r="E21" s="201">
        <f>+E20+E19+E18+E17+E15</f>
        <v>57325.333333333336</v>
      </c>
      <c r="F21" s="202">
        <f>SUM(C21:E21)</f>
        <v>158312</v>
      </c>
      <c r="G21" s="139"/>
      <c r="AH21" s="219" t="s">
        <v>60</v>
      </c>
      <c r="AI21" s="220" t="s">
        <v>59</v>
      </c>
    </row>
    <row r="22" spans="1:36" ht="15.75" customHeight="1">
      <c r="A22" s="133">
        <v>17</v>
      </c>
      <c r="B22" s="204" t="s">
        <v>61</v>
      </c>
      <c r="C22" s="198">
        <f>'2024年'!D24</f>
        <v>1991.4666666666672</v>
      </c>
      <c r="D22" s="207">
        <f>'2025年'!D24</f>
        <v>6821.8666666666613</v>
      </c>
      <c r="E22" s="207">
        <f>'2026年'!D24</f>
        <v>2663.1466666666674</v>
      </c>
      <c r="F22" s="207">
        <f>+F13-F21</f>
        <v>11476.48000000001</v>
      </c>
      <c r="G22" s="139"/>
      <c r="AH22" s="204" t="s">
        <v>62</v>
      </c>
      <c r="AI22" s="204" t="s">
        <v>61</v>
      </c>
    </row>
    <row r="23" spans="1:36" ht="15.75" customHeight="1">
      <c r="A23" s="133">
        <v>18</v>
      </c>
      <c r="B23" s="204" t="s">
        <v>63</v>
      </c>
      <c r="C23" s="207">
        <f>'2024年'!D25</f>
        <v>298.72000000000008</v>
      </c>
      <c r="D23" s="207">
        <f>'2025年'!D25</f>
        <v>1023.2799999999992</v>
      </c>
      <c r="E23" s="207">
        <f>'2026年'!D25</f>
        <v>399.47200000000009</v>
      </c>
      <c r="F23" s="207">
        <f>IF(F22&lt;0,0,F22*0.15)</f>
        <v>1721.4720000000016</v>
      </c>
      <c r="G23" s="139"/>
      <c r="AH23" s="204" t="s">
        <v>64</v>
      </c>
      <c r="AI23" s="204" t="s">
        <v>63</v>
      </c>
    </row>
    <row r="24" spans="1:36" ht="15.75" customHeight="1">
      <c r="A24" s="133">
        <v>19</v>
      </c>
      <c r="B24" s="204" t="s">
        <v>65</v>
      </c>
      <c r="C24" s="207">
        <f>'2024年'!D26</f>
        <v>1692.7466666666671</v>
      </c>
      <c r="D24" s="207">
        <f>'2025年'!D26</f>
        <v>5798.5866666666625</v>
      </c>
      <c r="E24" s="207">
        <f>'2026年'!D26</f>
        <v>2263.6746666666672</v>
      </c>
      <c r="F24" s="207">
        <f>F22-F23</f>
        <v>9755.0080000000089</v>
      </c>
      <c r="G24" s="139"/>
      <c r="AH24" s="204" t="s">
        <v>66</v>
      </c>
      <c r="AI24" s="204" t="s">
        <v>65</v>
      </c>
    </row>
    <row r="25" spans="1:36" ht="15.75" customHeight="1">
      <c r="A25" s="133">
        <v>20</v>
      </c>
      <c r="B25" s="204" t="s">
        <v>67</v>
      </c>
      <c r="C25" s="208">
        <f t="shared" ref="C25:F25" si="1">C24/C7</f>
        <v>6.9374863387978158E-3</v>
      </c>
      <c r="D25" s="208">
        <f t="shared" si="1"/>
        <v>1.6503263509411038E-2</v>
      </c>
      <c r="E25" s="208">
        <f t="shared" si="1"/>
        <v>6.7110497621938898E-3</v>
      </c>
      <c r="F25" s="208">
        <f t="shared" si="1"/>
        <v>1.0459277151424915E-2</v>
      </c>
      <c r="G25" s="139"/>
      <c r="AH25" s="221" t="s">
        <v>68</v>
      </c>
      <c r="AI25" s="221" t="s">
        <v>69</v>
      </c>
    </row>
    <row r="26" spans="1:36" s="191" customFormat="1" ht="15.75" customHeight="1">
      <c r="C26" s="209"/>
      <c r="D26" s="209"/>
      <c r="E26" s="209"/>
      <c r="F26" s="209"/>
      <c r="G26" s="210"/>
    </row>
    <row r="27" spans="1:36" s="191" customFormat="1" ht="15.75" customHeight="1">
      <c r="A27" s="191" t="s">
        <v>70</v>
      </c>
      <c r="C27" s="211"/>
      <c r="D27" s="211"/>
      <c r="E27" s="211"/>
      <c r="F27" s="211"/>
      <c r="G27" s="210"/>
      <c r="AH27" s="191" t="s">
        <v>70</v>
      </c>
    </row>
    <row r="28" spans="1:36" ht="15.75" customHeight="1">
      <c r="A28" s="204" t="s">
        <v>20</v>
      </c>
      <c r="B28" s="212" t="s">
        <v>1</v>
      </c>
      <c r="C28" s="196" t="s">
        <v>21</v>
      </c>
      <c r="D28" s="196" t="s">
        <v>22</v>
      </c>
      <c r="E28" s="196" t="s">
        <v>23</v>
      </c>
      <c r="F28" s="197" t="s">
        <v>24</v>
      </c>
      <c r="AJ28" s="192" t="s">
        <v>25</v>
      </c>
    </row>
    <row r="29" spans="1:36" s="131" customFormat="1" ht="15.75" customHeight="1">
      <c r="A29" s="135" t="s">
        <v>71</v>
      </c>
      <c r="B29" s="140" t="s">
        <v>72</v>
      </c>
      <c r="C29" s="145"/>
      <c r="D29" s="145"/>
      <c r="E29" s="145"/>
      <c r="F29" s="145"/>
      <c r="G29" s="139"/>
      <c r="AH29" s="135" t="s">
        <v>73</v>
      </c>
      <c r="AI29" s="140" t="s">
        <v>72</v>
      </c>
    </row>
    <row r="30" spans="1:36" s="131" customFormat="1" ht="15.75" customHeight="1">
      <c r="A30" s="135" t="s">
        <v>28</v>
      </c>
      <c r="B30" s="135" t="s">
        <v>74</v>
      </c>
      <c r="C30" s="138">
        <f>+C7/C4</f>
        <v>1220</v>
      </c>
      <c r="D30" s="138">
        <f>+D7/D4</f>
        <v>1171.2</v>
      </c>
      <c r="E30" s="138">
        <f>+E7/E4</f>
        <v>1124.3520000000001</v>
      </c>
      <c r="F30" s="138">
        <f>+F7/F4</f>
        <v>1165.8320000000001</v>
      </c>
      <c r="G30" s="139"/>
      <c r="AH30" s="135" t="s">
        <v>28</v>
      </c>
      <c r="AI30" s="135" t="s">
        <v>74</v>
      </c>
    </row>
    <row r="31" spans="1:36" s="131" customFormat="1" ht="15.75" customHeight="1">
      <c r="A31" s="135" t="s">
        <v>30</v>
      </c>
      <c r="B31" s="135" t="s">
        <v>75</v>
      </c>
      <c r="C31" s="138">
        <f>+C8/C4</f>
        <v>859</v>
      </c>
      <c r="D31" s="138">
        <f>+D8/D4</f>
        <v>824.64</v>
      </c>
      <c r="E31" s="138">
        <f>+E8/E4</f>
        <v>791.65440000000001</v>
      </c>
      <c r="F31" s="138">
        <f>+F8/F4</f>
        <v>820.86040000000003</v>
      </c>
      <c r="G31" s="139"/>
      <c r="AH31" s="135" t="s">
        <v>30</v>
      </c>
      <c r="AI31" s="135" t="s">
        <v>75</v>
      </c>
    </row>
    <row r="32" spans="1:36" s="131" customFormat="1" ht="15.75" customHeight="1">
      <c r="A32" s="135" t="s">
        <v>76</v>
      </c>
      <c r="B32" s="135" t="s">
        <v>77</v>
      </c>
      <c r="C32" s="145">
        <f>C30-C31</f>
        <v>361</v>
      </c>
      <c r="D32" s="145">
        <f>D30-D31</f>
        <v>346.56</v>
      </c>
      <c r="E32" s="145">
        <f>E30-E31</f>
        <v>332.69760000000002</v>
      </c>
      <c r="F32" s="145">
        <f>F30-F31</f>
        <v>344.97160000000002</v>
      </c>
      <c r="G32" s="139"/>
      <c r="AH32" s="135" t="s">
        <v>76</v>
      </c>
      <c r="AI32" s="135" t="s">
        <v>77</v>
      </c>
    </row>
    <row r="33" spans="1:35" s="131" customFormat="1" ht="15.75" customHeight="1">
      <c r="A33" s="135">
        <v>3.1</v>
      </c>
      <c r="B33" s="135" t="s">
        <v>78</v>
      </c>
      <c r="C33" s="213">
        <f>C32/C30</f>
        <v>0.295901639344262</v>
      </c>
      <c r="D33" s="213">
        <f>D32/D30</f>
        <v>0.295901639344262</v>
      </c>
      <c r="E33" s="213">
        <f>E32/E30</f>
        <v>0.295901639344262</v>
      </c>
      <c r="F33" s="213">
        <f>F32/F30</f>
        <v>0.295901639344262</v>
      </c>
      <c r="G33" s="139"/>
      <c r="AH33" s="135"/>
      <c r="AI33" s="135"/>
    </row>
    <row r="34" spans="1:35" s="131" customFormat="1" ht="15.75" customHeight="1">
      <c r="A34" s="135" t="s">
        <v>73</v>
      </c>
      <c r="B34" s="140" t="s">
        <v>10</v>
      </c>
      <c r="C34" s="145"/>
      <c r="D34" s="145"/>
      <c r="E34" s="145"/>
      <c r="F34" s="145"/>
      <c r="G34" s="139"/>
      <c r="AH34" s="135" t="s">
        <v>79</v>
      </c>
      <c r="AI34" s="140" t="s">
        <v>10</v>
      </c>
    </row>
    <row r="35" spans="1:35" s="131" customFormat="1" ht="15.75" customHeight="1">
      <c r="A35" s="135" t="s">
        <v>28</v>
      </c>
      <c r="B35" s="146" t="s">
        <v>80</v>
      </c>
      <c r="C35" s="138">
        <f>+C9/C4</f>
        <v>52.582000000000001</v>
      </c>
      <c r="D35" s="138">
        <f>+D9/D4</f>
        <v>52.582000000000001</v>
      </c>
      <c r="E35" s="138">
        <f>+E9/E4</f>
        <v>52.582000000000001</v>
      </c>
      <c r="F35" s="138">
        <f>+F9/F4</f>
        <v>52.582000000000001</v>
      </c>
      <c r="G35" s="139"/>
      <c r="AH35" s="135" t="s">
        <v>76</v>
      </c>
      <c r="AI35" s="135" t="s">
        <v>80</v>
      </c>
    </row>
    <row r="36" spans="1:35" s="131" customFormat="1" ht="15.75" customHeight="1">
      <c r="A36" s="135" t="s">
        <v>30</v>
      </c>
      <c r="B36" s="146" t="s">
        <v>81</v>
      </c>
      <c r="C36" s="138">
        <f>+C10/C4</f>
        <v>26.474</v>
      </c>
      <c r="D36" s="138">
        <f>+D10/D4</f>
        <v>26.474</v>
      </c>
      <c r="E36" s="138">
        <f>+E10/E4</f>
        <v>26.474</v>
      </c>
      <c r="F36" s="138">
        <f>+F10/F4</f>
        <v>26.474</v>
      </c>
      <c r="G36" s="139"/>
      <c r="AH36" s="135" t="s">
        <v>33</v>
      </c>
      <c r="AI36" s="135" t="s">
        <v>81</v>
      </c>
    </row>
    <row r="37" spans="1:35" s="131" customFormat="1" ht="15.75" customHeight="1">
      <c r="A37" s="135" t="s">
        <v>76</v>
      </c>
      <c r="B37" s="146" t="s">
        <v>82</v>
      </c>
      <c r="C37" s="138">
        <f>+C11/C4</f>
        <v>53.68</v>
      </c>
      <c r="D37" s="138">
        <f>+D11/D4</f>
        <v>53.68</v>
      </c>
      <c r="E37" s="138">
        <f>+E11/E4</f>
        <v>53.68</v>
      </c>
      <c r="F37" s="138">
        <f>+F11/F4</f>
        <v>53.68</v>
      </c>
      <c r="G37" s="139"/>
      <c r="AH37" s="135" t="s">
        <v>39</v>
      </c>
      <c r="AI37" s="135" t="s">
        <v>82</v>
      </c>
    </row>
    <row r="38" spans="1:35" s="131" customFormat="1" ht="15.75" customHeight="1">
      <c r="A38" s="135" t="s">
        <v>83</v>
      </c>
      <c r="B38" s="203" t="s">
        <v>84</v>
      </c>
      <c r="C38" s="138"/>
      <c r="D38" s="138"/>
      <c r="E38" s="138"/>
      <c r="F38" s="138"/>
      <c r="G38" s="139"/>
      <c r="AH38" s="135" t="s">
        <v>83</v>
      </c>
      <c r="AI38" s="140" t="s">
        <v>84</v>
      </c>
    </row>
    <row r="39" spans="1:35" s="131" customFormat="1">
      <c r="A39" s="135" t="s">
        <v>28</v>
      </c>
      <c r="B39" s="146" t="s">
        <v>85</v>
      </c>
      <c r="C39" s="138">
        <f>+C13/C4</f>
        <v>228.26400000000001</v>
      </c>
      <c r="D39" s="138">
        <f>+D13/D4</f>
        <v>213.82400000000001</v>
      </c>
      <c r="E39" s="138">
        <f>+E13/E4</f>
        <v>199.9616</v>
      </c>
      <c r="F39" s="138">
        <f>+F13/F4</f>
        <v>212.23560000000001</v>
      </c>
      <c r="G39" s="139"/>
      <c r="AH39" s="135" t="s">
        <v>28</v>
      </c>
      <c r="AI39" s="135" t="s">
        <v>85</v>
      </c>
    </row>
    <row r="40" spans="1:35" s="131" customFormat="1" ht="15.75" customHeight="1">
      <c r="A40" s="135" t="s">
        <v>30</v>
      </c>
      <c r="B40" s="146" t="s">
        <v>86</v>
      </c>
      <c r="C40" s="198">
        <f>+C21/C39</f>
        <v>191.27559901400718</v>
      </c>
      <c r="D40" s="198">
        <f>+D21/D39</f>
        <v>268.0958794772024</v>
      </c>
      <c r="E40" s="198">
        <f>+E21/E39</f>
        <v>286.6817095549012</v>
      </c>
      <c r="F40" s="214">
        <f>+F21/F39</f>
        <v>745.92575420900164</v>
      </c>
      <c r="G40" s="139"/>
      <c r="AH40" s="135" t="s">
        <v>30</v>
      </c>
      <c r="AI40" s="135" t="s">
        <v>86</v>
      </c>
    </row>
    <row r="41" spans="1:35" s="131" customFormat="1" ht="15.75" customHeight="1">
      <c r="A41" s="135" t="s">
        <v>87</v>
      </c>
      <c r="B41" s="140" t="s">
        <v>88</v>
      </c>
      <c r="C41" s="145"/>
      <c r="D41" s="145"/>
      <c r="E41" s="145"/>
      <c r="F41" s="145"/>
      <c r="G41" s="139"/>
      <c r="AH41" s="135" t="s">
        <v>87</v>
      </c>
      <c r="AI41" s="140" t="s">
        <v>88</v>
      </c>
    </row>
    <row r="42" spans="1:35" s="131" customFormat="1" ht="15.75" customHeight="1">
      <c r="A42" s="135" t="s">
        <v>28</v>
      </c>
      <c r="B42" s="135" t="s">
        <v>89</v>
      </c>
      <c r="C42" s="145">
        <f>+C15/C4</f>
        <v>50.02</v>
      </c>
      <c r="D42" s="145">
        <f>+D15/D4</f>
        <v>50.02</v>
      </c>
      <c r="E42" s="145">
        <f>+E15/E4</f>
        <v>50.02</v>
      </c>
      <c r="F42" s="145">
        <f>+F15/F4</f>
        <v>50.02</v>
      </c>
      <c r="G42" s="139"/>
      <c r="AH42" s="135" t="s">
        <v>28</v>
      </c>
      <c r="AI42" s="135" t="s">
        <v>89</v>
      </c>
    </row>
    <row r="43" spans="1:35" s="131" customFormat="1" ht="15.75" customHeight="1">
      <c r="A43" s="135" t="s">
        <v>30</v>
      </c>
      <c r="B43" s="135" t="s">
        <v>90</v>
      </c>
      <c r="C43" s="145">
        <f>+C17/C4</f>
        <v>8.5399999999999991</v>
      </c>
      <c r="D43" s="145">
        <f>+D17/D4</f>
        <v>8.5399999999999991</v>
      </c>
      <c r="E43" s="145">
        <f>+E17/E4</f>
        <v>8.5399999999999991</v>
      </c>
      <c r="F43" s="145">
        <f>+F17/F4</f>
        <v>8.5399999999999991</v>
      </c>
      <c r="G43" s="139"/>
      <c r="AH43" s="135" t="s">
        <v>30</v>
      </c>
      <c r="AI43" s="135" t="s">
        <v>90</v>
      </c>
    </row>
    <row r="44" spans="1:35" s="131" customFormat="1" ht="15.75" customHeight="1">
      <c r="A44" s="135" t="s">
        <v>76</v>
      </c>
      <c r="B44" s="135" t="s">
        <v>91</v>
      </c>
      <c r="C44" s="145">
        <f>+C18/C4</f>
        <v>41.48</v>
      </c>
      <c r="D44" s="145">
        <f>+D18/D4</f>
        <v>41.48</v>
      </c>
      <c r="E44" s="145">
        <f>+E18/E4</f>
        <v>41.48</v>
      </c>
      <c r="F44" s="145">
        <f>+F18/F4</f>
        <v>41.48</v>
      </c>
      <c r="G44" s="139"/>
      <c r="AH44" s="135" t="s">
        <v>76</v>
      </c>
      <c r="AI44" s="135" t="s">
        <v>91</v>
      </c>
    </row>
    <row r="45" spans="1:35" s="131" customFormat="1" ht="15.75" customHeight="1">
      <c r="A45" s="135" t="s">
        <v>33</v>
      </c>
      <c r="B45" s="135" t="s">
        <v>92</v>
      </c>
      <c r="C45" s="145">
        <f>C19/C4</f>
        <v>81.666666666666671</v>
      </c>
      <c r="D45" s="145">
        <f>D19/D4</f>
        <v>54.44444444444445</v>
      </c>
      <c r="E45" s="145">
        <f>E19/E4</f>
        <v>54.44444444444445</v>
      </c>
      <c r="F45" s="145"/>
      <c r="G45" s="139"/>
      <c r="AH45" s="135" t="s">
        <v>33</v>
      </c>
      <c r="AI45" s="135" t="s">
        <v>93</v>
      </c>
    </row>
    <row r="46" spans="1:35" s="131" customFormat="1" ht="15.75" customHeight="1">
      <c r="A46" s="135" t="s">
        <v>36</v>
      </c>
      <c r="B46" s="135" t="s">
        <v>94</v>
      </c>
      <c r="C46" s="145">
        <f>C20/C4</f>
        <v>36.6</v>
      </c>
      <c r="D46" s="145">
        <f>D20/D4</f>
        <v>36.6</v>
      </c>
      <c r="E46" s="145">
        <f>E20/E4</f>
        <v>36.6</v>
      </c>
      <c r="F46" s="145"/>
      <c r="G46" s="139"/>
      <c r="AH46" s="135" t="s">
        <v>36</v>
      </c>
      <c r="AI46" s="135" t="s">
        <v>94</v>
      </c>
    </row>
    <row r="47" spans="1:35" s="131" customFormat="1" ht="15.75" customHeight="1">
      <c r="A47" s="135" t="s">
        <v>95</v>
      </c>
      <c r="B47" s="140" t="s">
        <v>96</v>
      </c>
      <c r="C47" s="145"/>
      <c r="D47" s="145"/>
      <c r="E47" s="145"/>
      <c r="F47" s="145"/>
      <c r="G47" s="139"/>
      <c r="AH47" s="135" t="s">
        <v>95</v>
      </c>
      <c r="AI47" s="140" t="s">
        <v>96</v>
      </c>
    </row>
    <row r="48" spans="1:35" s="131" customFormat="1" ht="15.75" customHeight="1">
      <c r="A48" s="135" t="s">
        <v>28</v>
      </c>
      <c r="B48" s="135" t="s">
        <v>97</v>
      </c>
      <c r="C48" s="148">
        <f>+(C11+C17)/C7</f>
        <v>5.0999999999999997E-2</v>
      </c>
      <c r="D48" s="148">
        <f>+(D11+D17)/D7</f>
        <v>5.3124999999999999E-2</v>
      </c>
      <c r="E48" s="148">
        <f>+(E11+E17)/E7</f>
        <v>5.5338541666666699E-2</v>
      </c>
      <c r="F48" s="148">
        <f>+(F11+F17)/F7</f>
        <v>5.3369610715780703E-2</v>
      </c>
      <c r="G48" s="139"/>
      <c r="AH48" s="135" t="s">
        <v>28</v>
      </c>
      <c r="AI48" s="135" t="s">
        <v>97</v>
      </c>
    </row>
    <row r="49" spans="1:35" s="131" customFormat="1" ht="15.75" customHeight="1">
      <c r="A49" s="135" t="s">
        <v>30</v>
      </c>
      <c r="B49" s="135" t="s">
        <v>98</v>
      </c>
      <c r="C49" s="148">
        <f>+(C9+C10+C15)/C7</f>
        <v>0.10580000000000001</v>
      </c>
      <c r="D49" s="148">
        <f>+(D9+D10+D15)/D7</f>
        <v>0.11020833333333301</v>
      </c>
      <c r="E49" s="148">
        <f>+(E9+E10+E15)/E7</f>
        <v>0.114800347222222</v>
      </c>
      <c r="F49" s="148">
        <f>+(F9+F10+F15)/F7</f>
        <v>0.110715780661365</v>
      </c>
      <c r="G49" s="139"/>
      <c r="AH49" s="135" t="s">
        <v>30</v>
      </c>
      <c r="AI49" s="135" t="s">
        <v>98</v>
      </c>
    </row>
    <row r="50" spans="1:35" s="131" customFormat="1" ht="15.75" customHeight="1">
      <c r="A50" s="135" t="s">
        <v>76</v>
      </c>
      <c r="B50" s="135" t="s">
        <v>99</v>
      </c>
      <c r="C50" s="148">
        <f>+C18/C7</f>
        <v>3.4000000000000002E-2</v>
      </c>
      <c r="D50" s="148">
        <f>+D18/D7</f>
        <v>3.54166666666667E-2</v>
      </c>
      <c r="E50" s="148">
        <f>+E18/E7</f>
        <v>3.6892361111111098E-2</v>
      </c>
      <c r="F50" s="148">
        <f>+F18/F7</f>
        <v>3.5579740477187101E-2</v>
      </c>
      <c r="G50" s="139"/>
      <c r="AH50" s="135" t="s">
        <v>76</v>
      </c>
      <c r="AI50" s="135" t="s">
        <v>99</v>
      </c>
    </row>
    <row r="51" spans="1:35" s="131" customFormat="1" ht="15.75" customHeight="1">
      <c r="A51" s="135" t="s">
        <v>33</v>
      </c>
      <c r="B51" s="135" t="s">
        <v>100</v>
      </c>
      <c r="C51" s="148">
        <f>+C19/C7</f>
        <v>6.6939890710382519E-2</v>
      </c>
      <c r="D51" s="148">
        <f>+D19/D7</f>
        <v>4.6486035215543411E-2</v>
      </c>
      <c r="E51" s="148">
        <f>+E19/E7</f>
        <v>4.8422953349524393E-2</v>
      </c>
      <c r="F51" s="148">
        <f>+F19/F7</f>
        <v>5.2537586890735545E-2</v>
      </c>
      <c r="G51" s="139"/>
      <c r="AH51" s="135" t="s">
        <v>33</v>
      </c>
      <c r="AI51" s="135" t="s">
        <v>100</v>
      </c>
    </row>
    <row r="52" spans="1:35" s="131" customFormat="1" ht="15.75" customHeight="1">
      <c r="A52" s="135" t="s">
        <v>36</v>
      </c>
      <c r="B52" s="135" t="s">
        <v>101</v>
      </c>
      <c r="C52" s="148">
        <f>+C20/C7</f>
        <v>0.03</v>
      </c>
      <c r="D52" s="148">
        <f>+D20/D7</f>
        <v>3.125E-2</v>
      </c>
      <c r="E52" s="148">
        <f>+E20/E7</f>
        <v>3.2552083333333301E-2</v>
      </c>
      <c r="F52" s="148">
        <f>+F20/F7</f>
        <v>3.1393888656341601E-2</v>
      </c>
      <c r="G52" s="139"/>
      <c r="AH52" s="135" t="s">
        <v>36</v>
      </c>
      <c r="AI52" s="135" t="s">
        <v>101</v>
      </c>
    </row>
    <row r="53" spans="1:35" s="131" customFormat="1" ht="15.75" customHeight="1">
      <c r="A53" s="135" t="s">
        <v>39</v>
      </c>
      <c r="B53" s="135" t="s">
        <v>102</v>
      </c>
      <c r="C53" s="148">
        <f>+C24/C7</f>
        <v>6.9374863387978158E-3</v>
      </c>
      <c r="D53" s="148">
        <f>+D24/D7</f>
        <v>1.6503263509411038E-2</v>
      </c>
      <c r="E53" s="148">
        <f>+E24/E7</f>
        <v>6.7110497621938898E-3</v>
      </c>
      <c r="F53" s="148">
        <f>+F24/F7</f>
        <v>1.0459277151424915E-2</v>
      </c>
      <c r="G53" s="139"/>
      <c r="AH53" s="135" t="s">
        <v>39</v>
      </c>
      <c r="AI53" s="135" t="s">
        <v>103</v>
      </c>
    </row>
    <row r="54" spans="1:35" s="131" customFormat="1" ht="15.75" customHeight="1">
      <c r="A54" s="135" t="s">
        <v>104</v>
      </c>
      <c r="B54" s="140" t="s">
        <v>105</v>
      </c>
      <c r="C54" s="145">
        <f>+C22/C4</f>
        <v>9.9573333333333363</v>
      </c>
      <c r="D54" s="145">
        <f>+D22/D4</f>
        <v>22.739555555555537</v>
      </c>
      <c r="E54" s="145">
        <f>+E22/E4</f>
        <v>8.877155555555559</v>
      </c>
      <c r="F54" s="145">
        <f>+F22/F4</f>
        <v>14.345600000000013</v>
      </c>
      <c r="G54" s="139"/>
      <c r="AH54" s="135" t="s">
        <v>104</v>
      </c>
      <c r="AI54" s="140" t="s">
        <v>105</v>
      </c>
    </row>
    <row r="55" spans="1:35" s="131" customFormat="1" ht="15.75" customHeight="1">
      <c r="A55" s="135" t="s">
        <v>106</v>
      </c>
      <c r="B55" s="215" t="s">
        <v>107</v>
      </c>
      <c r="C55" s="145"/>
      <c r="D55" s="145"/>
      <c r="E55" s="145"/>
      <c r="F55" s="145"/>
      <c r="G55" s="139"/>
      <c r="AH55" s="135"/>
      <c r="AI55" s="140"/>
    </row>
    <row r="56" spans="1:35" s="131" customFormat="1" ht="15.75" customHeight="1">
      <c r="A56" s="135" t="s">
        <v>28</v>
      </c>
      <c r="B56" s="135" t="s">
        <v>108</v>
      </c>
      <c r="C56" s="145">
        <f>C57+C58</f>
        <v>0</v>
      </c>
      <c r="D56" s="145">
        <f>D57+D58</f>
        <v>0</v>
      </c>
      <c r="E56" s="145"/>
      <c r="F56" s="145"/>
      <c r="G56" s="139"/>
    </row>
    <row r="57" spans="1:35" s="131" customFormat="1" ht="15.75" customHeight="1">
      <c r="A57" s="135">
        <v>1.1000000000000001</v>
      </c>
      <c r="B57" s="216" t="s">
        <v>109</v>
      </c>
      <c r="C57" s="145">
        <f>[1]项目投资!B28</f>
        <v>0</v>
      </c>
      <c r="D57" s="145"/>
      <c r="E57" s="145"/>
      <c r="F57" s="145"/>
      <c r="G57" s="139"/>
    </row>
    <row r="58" spans="1:35" s="131" customFormat="1" ht="15.75" customHeight="1">
      <c r="A58" s="135">
        <v>1.2</v>
      </c>
      <c r="B58" s="135" t="s">
        <v>110</v>
      </c>
      <c r="C58" s="145">
        <f>[1]项目投资!B27</f>
        <v>0</v>
      </c>
      <c r="D58" s="145"/>
      <c r="E58" s="145"/>
      <c r="F58" s="145"/>
      <c r="G58" s="139"/>
    </row>
    <row r="59" spans="1:35" ht="15.75" customHeight="1">
      <c r="A59" s="204" t="s">
        <v>30</v>
      </c>
      <c r="B59" s="204" t="s">
        <v>111</v>
      </c>
      <c r="C59" s="217">
        <f>C60+C61</f>
        <v>1692.7466666666671</v>
      </c>
      <c r="D59" s="217">
        <f>D60+D61</f>
        <v>5798.5866666666625</v>
      </c>
      <c r="E59" s="217">
        <f>E60+E61</f>
        <v>2263.6746666666672</v>
      </c>
      <c r="F59" s="217">
        <f t="shared" ref="F59" si="2">F60+F61</f>
        <v>9755.0080000000089</v>
      </c>
      <c r="G59" s="139"/>
    </row>
    <row r="60" spans="1:35" ht="15.75" customHeight="1">
      <c r="A60" s="204" t="s">
        <v>76</v>
      </c>
      <c r="B60" s="204" t="s">
        <v>112</v>
      </c>
      <c r="C60" s="217">
        <f>C24</f>
        <v>1692.7466666666671</v>
      </c>
      <c r="D60" s="217">
        <f>D24</f>
        <v>5798.5866666666625</v>
      </c>
      <c r="E60" s="217">
        <f>E24</f>
        <v>2263.6746666666672</v>
      </c>
      <c r="F60" s="217">
        <f t="shared" ref="F60" si="3">F24</f>
        <v>9755.0080000000089</v>
      </c>
      <c r="G60" s="139"/>
    </row>
    <row r="61" spans="1:35" ht="15.75" customHeight="1">
      <c r="A61" s="204" t="s">
        <v>33</v>
      </c>
      <c r="B61" s="204" t="s">
        <v>113</v>
      </c>
      <c r="C61" s="217"/>
      <c r="D61" s="217"/>
      <c r="E61" s="217"/>
      <c r="F61" s="217">
        <f>项目投资!I26</f>
        <v>0</v>
      </c>
      <c r="G61" s="139"/>
    </row>
    <row r="62" spans="1:35" ht="15.75" customHeight="1">
      <c r="A62" s="204" t="s">
        <v>36</v>
      </c>
      <c r="B62" s="204" t="s">
        <v>114</v>
      </c>
      <c r="C62" s="218"/>
      <c r="D62" s="218"/>
      <c r="E62" s="218"/>
      <c r="F62" s="217"/>
      <c r="G62" s="139"/>
    </row>
    <row r="64" spans="1:35">
      <c r="B64"/>
    </row>
  </sheetData>
  <mergeCells count="2">
    <mergeCell ref="A1:F1"/>
    <mergeCell ref="A3:A4"/>
  </mergeCells>
  <phoneticPr fontId="57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54" customWidth="1"/>
    <col min="2" max="2" width="28.44140625" style="154" customWidth="1"/>
    <col min="3" max="4" width="9.109375" style="154"/>
    <col min="5" max="5" width="13.88671875" style="154" customWidth="1"/>
    <col min="6" max="12" width="16.109375" style="154" customWidth="1"/>
    <col min="13" max="13" width="10.6640625" style="154" customWidth="1"/>
    <col min="14" max="254" width="9.109375" style="154"/>
    <col min="255" max="255" width="8" style="154" customWidth="1"/>
    <col min="256" max="256" width="28.44140625" style="154" customWidth="1"/>
    <col min="257" max="268" width="9.109375" style="154"/>
    <col min="269" max="269" width="10.6640625" style="154" customWidth="1"/>
    <col min="270" max="510" width="9.109375" style="154"/>
    <col min="511" max="511" width="8" style="154" customWidth="1"/>
    <col min="512" max="512" width="28.44140625" style="154" customWidth="1"/>
    <col min="513" max="524" width="9.109375" style="154"/>
    <col min="525" max="525" width="10.6640625" style="154" customWidth="1"/>
    <col min="526" max="766" width="9.109375" style="154"/>
    <col min="767" max="767" width="8" style="154" customWidth="1"/>
    <col min="768" max="768" width="28.44140625" style="154" customWidth="1"/>
    <col min="769" max="780" width="9.109375" style="154"/>
    <col min="781" max="781" width="10.6640625" style="154" customWidth="1"/>
    <col min="782" max="1022" width="9.109375" style="154"/>
    <col min="1023" max="1023" width="8" style="154" customWidth="1"/>
    <col min="1024" max="1024" width="28.44140625" style="154" customWidth="1"/>
    <col min="1025" max="1036" width="9.109375" style="154"/>
    <col min="1037" max="1037" width="10.6640625" style="154" customWidth="1"/>
    <col min="1038" max="1278" width="9.109375" style="154"/>
    <col min="1279" max="1279" width="8" style="154" customWidth="1"/>
    <col min="1280" max="1280" width="28.44140625" style="154" customWidth="1"/>
    <col min="1281" max="1292" width="9.109375" style="154"/>
    <col min="1293" max="1293" width="10.6640625" style="154" customWidth="1"/>
    <col min="1294" max="1534" width="9.109375" style="154"/>
    <col min="1535" max="1535" width="8" style="154" customWidth="1"/>
    <col min="1536" max="1536" width="28.44140625" style="154" customWidth="1"/>
    <col min="1537" max="1548" width="9.109375" style="154"/>
    <col min="1549" max="1549" width="10.6640625" style="154" customWidth="1"/>
    <col min="1550" max="1790" width="9.109375" style="154"/>
    <col min="1791" max="1791" width="8" style="154" customWidth="1"/>
    <col min="1792" max="1792" width="28.44140625" style="154" customWidth="1"/>
    <col min="1793" max="1804" width="9.109375" style="154"/>
    <col min="1805" max="1805" width="10.6640625" style="154" customWidth="1"/>
    <col min="1806" max="2046" width="9.109375" style="154"/>
    <col min="2047" max="2047" width="8" style="154" customWidth="1"/>
    <col min="2048" max="2048" width="28.44140625" style="154" customWidth="1"/>
    <col min="2049" max="2060" width="9.109375" style="154"/>
    <col min="2061" max="2061" width="10.6640625" style="154" customWidth="1"/>
    <col min="2062" max="2302" width="9.109375" style="154"/>
    <col min="2303" max="2303" width="8" style="154" customWidth="1"/>
    <col min="2304" max="2304" width="28.44140625" style="154" customWidth="1"/>
    <col min="2305" max="2316" width="9.109375" style="154"/>
    <col min="2317" max="2317" width="10.6640625" style="154" customWidth="1"/>
    <col min="2318" max="2558" width="9.109375" style="154"/>
    <col min="2559" max="2559" width="8" style="154" customWidth="1"/>
    <col min="2560" max="2560" width="28.44140625" style="154" customWidth="1"/>
    <col min="2561" max="2572" width="9.109375" style="154"/>
    <col min="2573" max="2573" width="10.6640625" style="154" customWidth="1"/>
    <col min="2574" max="2814" width="9.109375" style="154"/>
    <col min="2815" max="2815" width="8" style="154" customWidth="1"/>
    <col min="2816" max="2816" width="28.44140625" style="154" customWidth="1"/>
    <col min="2817" max="2828" width="9.109375" style="154"/>
    <col min="2829" max="2829" width="10.6640625" style="154" customWidth="1"/>
    <col min="2830" max="3070" width="9.109375" style="154"/>
    <col min="3071" max="3071" width="8" style="154" customWidth="1"/>
    <col min="3072" max="3072" width="28.44140625" style="154" customWidth="1"/>
    <col min="3073" max="3084" width="9.109375" style="154"/>
    <col min="3085" max="3085" width="10.6640625" style="154" customWidth="1"/>
    <col min="3086" max="3326" width="9.109375" style="154"/>
    <col min="3327" max="3327" width="8" style="154" customWidth="1"/>
    <col min="3328" max="3328" width="28.44140625" style="154" customWidth="1"/>
    <col min="3329" max="3340" width="9.109375" style="154"/>
    <col min="3341" max="3341" width="10.6640625" style="154" customWidth="1"/>
    <col min="3342" max="3582" width="9.109375" style="154"/>
    <col min="3583" max="3583" width="8" style="154" customWidth="1"/>
    <col min="3584" max="3584" width="28.44140625" style="154" customWidth="1"/>
    <col min="3585" max="3596" width="9.109375" style="154"/>
    <col min="3597" max="3597" width="10.6640625" style="154" customWidth="1"/>
    <col min="3598" max="3838" width="9.109375" style="154"/>
    <col min="3839" max="3839" width="8" style="154" customWidth="1"/>
    <col min="3840" max="3840" width="28.44140625" style="154" customWidth="1"/>
    <col min="3841" max="3852" width="9.109375" style="154"/>
    <col min="3853" max="3853" width="10.6640625" style="154" customWidth="1"/>
    <col min="3854" max="4094" width="9.109375" style="154"/>
    <col min="4095" max="4095" width="8" style="154" customWidth="1"/>
    <col min="4096" max="4096" width="28.44140625" style="154" customWidth="1"/>
    <col min="4097" max="4108" width="9.109375" style="154"/>
    <col min="4109" max="4109" width="10.6640625" style="154" customWidth="1"/>
    <col min="4110" max="4350" width="9.109375" style="154"/>
    <col min="4351" max="4351" width="8" style="154" customWidth="1"/>
    <col min="4352" max="4352" width="28.44140625" style="154" customWidth="1"/>
    <col min="4353" max="4364" width="9.109375" style="154"/>
    <col min="4365" max="4365" width="10.6640625" style="154" customWidth="1"/>
    <col min="4366" max="4606" width="9.109375" style="154"/>
    <col min="4607" max="4607" width="8" style="154" customWidth="1"/>
    <col min="4608" max="4608" width="28.44140625" style="154" customWidth="1"/>
    <col min="4609" max="4620" width="9.109375" style="154"/>
    <col min="4621" max="4621" width="10.6640625" style="154" customWidth="1"/>
    <col min="4622" max="4862" width="9.109375" style="154"/>
    <col min="4863" max="4863" width="8" style="154" customWidth="1"/>
    <col min="4864" max="4864" width="28.44140625" style="154" customWidth="1"/>
    <col min="4865" max="4876" width="9.109375" style="154"/>
    <col min="4877" max="4877" width="10.6640625" style="154" customWidth="1"/>
    <col min="4878" max="5118" width="9.109375" style="154"/>
    <col min="5119" max="5119" width="8" style="154" customWidth="1"/>
    <col min="5120" max="5120" width="28.44140625" style="154" customWidth="1"/>
    <col min="5121" max="5132" width="9.109375" style="154"/>
    <col min="5133" max="5133" width="10.6640625" style="154" customWidth="1"/>
    <col min="5134" max="5374" width="9.109375" style="154"/>
    <col min="5375" max="5375" width="8" style="154" customWidth="1"/>
    <col min="5376" max="5376" width="28.44140625" style="154" customWidth="1"/>
    <col min="5377" max="5388" width="9.109375" style="154"/>
    <col min="5389" max="5389" width="10.6640625" style="154" customWidth="1"/>
    <col min="5390" max="5630" width="9.109375" style="154"/>
    <col min="5631" max="5631" width="8" style="154" customWidth="1"/>
    <col min="5632" max="5632" width="28.44140625" style="154" customWidth="1"/>
    <col min="5633" max="5644" width="9.109375" style="154"/>
    <col min="5645" max="5645" width="10.6640625" style="154" customWidth="1"/>
    <col min="5646" max="5886" width="9.109375" style="154"/>
    <col min="5887" max="5887" width="8" style="154" customWidth="1"/>
    <col min="5888" max="5888" width="28.44140625" style="154" customWidth="1"/>
    <col min="5889" max="5900" width="9.109375" style="154"/>
    <col min="5901" max="5901" width="10.6640625" style="154" customWidth="1"/>
    <col min="5902" max="6142" width="9.109375" style="154"/>
    <col min="6143" max="6143" width="8" style="154" customWidth="1"/>
    <col min="6144" max="6144" width="28.44140625" style="154" customWidth="1"/>
    <col min="6145" max="6156" width="9.109375" style="154"/>
    <col min="6157" max="6157" width="10.6640625" style="154" customWidth="1"/>
    <col min="6158" max="6398" width="9.109375" style="154"/>
    <col min="6399" max="6399" width="8" style="154" customWidth="1"/>
    <col min="6400" max="6400" width="28.44140625" style="154" customWidth="1"/>
    <col min="6401" max="6412" width="9.109375" style="154"/>
    <col min="6413" max="6413" width="10.6640625" style="154" customWidth="1"/>
    <col min="6414" max="6654" width="9.109375" style="154"/>
    <col min="6655" max="6655" width="8" style="154" customWidth="1"/>
    <col min="6656" max="6656" width="28.44140625" style="154" customWidth="1"/>
    <col min="6657" max="6668" width="9.109375" style="154"/>
    <col min="6669" max="6669" width="10.6640625" style="154" customWidth="1"/>
    <col min="6670" max="6910" width="9.109375" style="154"/>
    <col min="6911" max="6911" width="8" style="154" customWidth="1"/>
    <col min="6912" max="6912" width="28.44140625" style="154" customWidth="1"/>
    <col min="6913" max="6924" width="9.109375" style="154"/>
    <col min="6925" max="6925" width="10.6640625" style="154" customWidth="1"/>
    <col min="6926" max="7166" width="9.109375" style="154"/>
    <col min="7167" max="7167" width="8" style="154" customWidth="1"/>
    <col min="7168" max="7168" width="28.44140625" style="154" customWidth="1"/>
    <col min="7169" max="7180" width="9.109375" style="154"/>
    <col min="7181" max="7181" width="10.6640625" style="154" customWidth="1"/>
    <col min="7182" max="7422" width="9.109375" style="154"/>
    <col min="7423" max="7423" width="8" style="154" customWidth="1"/>
    <col min="7424" max="7424" width="28.44140625" style="154" customWidth="1"/>
    <col min="7425" max="7436" width="9.109375" style="154"/>
    <col min="7437" max="7437" width="10.6640625" style="154" customWidth="1"/>
    <col min="7438" max="7678" width="9.109375" style="154"/>
    <col min="7679" max="7679" width="8" style="154" customWidth="1"/>
    <col min="7680" max="7680" width="28.44140625" style="154" customWidth="1"/>
    <col min="7681" max="7692" width="9.109375" style="154"/>
    <col min="7693" max="7693" width="10.6640625" style="154" customWidth="1"/>
    <col min="7694" max="7934" width="9.109375" style="154"/>
    <col min="7935" max="7935" width="8" style="154" customWidth="1"/>
    <col min="7936" max="7936" width="28.44140625" style="154" customWidth="1"/>
    <col min="7937" max="7948" width="9.109375" style="154"/>
    <col min="7949" max="7949" width="10.6640625" style="154" customWidth="1"/>
    <col min="7950" max="8190" width="9.109375" style="154"/>
    <col min="8191" max="8191" width="8" style="154" customWidth="1"/>
    <col min="8192" max="8192" width="28.44140625" style="154" customWidth="1"/>
    <col min="8193" max="8204" width="9.109375" style="154"/>
    <col min="8205" max="8205" width="10.6640625" style="154" customWidth="1"/>
    <col min="8206" max="8446" width="9.109375" style="154"/>
    <col min="8447" max="8447" width="8" style="154" customWidth="1"/>
    <col min="8448" max="8448" width="28.44140625" style="154" customWidth="1"/>
    <col min="8449" max="8460" width="9.109375" style="154"/>
    <col min="8461" max="8461" width="10.6640625" style="154" customWidth="1"/>
    <col min="8462" max="8702" width="9.109375" style="154"/>
    <col min="8703" max="8703" width="8" style="154" customWidth="1"/>
    <col min="8704" max="8704" width="28.44140625" style="154" customWidth="1"/>
    <col min="8705" max="8716" width="9.109375" style="154"/>
    <col min="8717" max="8717" width="10.6640625" style="154" customWidth="1"/>
    <col min="8718" max="8958" width="9.109375" style="154"/>
    <col min="8959" max="8959" width="8" style="154" customWidth="1"/>
    <col min="8960" max="8960" width="28.44140625" style="154" customWidth="1"/>
    <col min="8961" max="8972" width="9.109375" style="154"/>
    <col min="8973" max="8973" width="10.6640625" style="154" customWidth="1"/>
    <col min="8974" max="9214" width="9.109375" style="154"/>
    <col min="9215" max="9215" width="8" style="154" customWidth="1"/>
    <col min="9216" max="9216" width="28.44140625" style="154" customWidth="1"/>
    <col min="9217" max="9228" width="9.109375" style="154"/>
    <col min="9229" max="9229" width="10.6640625" style="154" customWidth="1"/>
    <col min="9230" max="9470" width="9.109375" style="154"/>
    <col min="9471" max="9471" width="8" style="154" customWidth="1"/>
    <col min="9472" max="9472" width="28.44140625" style="154" customWidth="1"/>
    <col min="9473" max="9484" width="9.109375" style="154"/>
    <col min="9485" max="9485" width="10.6640625" style="154" customWidth="1"/>
    <col min="9486" max="9726" width="9.109375" style="154"/>
    <col min="9727" max="9727" width="8" style="154" customWidth="1"/>
    <col min="9728" max="9728" width="28.44140625" style="154" customWidth="1"/>
    <col min="9729" max="9740" width="9.109375" style="154"/>
    <col min="9741" max="9741" width="10.6640625" style="154" customWidth="1"/>
    <col min="9742" max="9982" width="9.109375" style="154"/>
    <col min="9983" max="9983" width="8" style="154" customWidth="1"/>
    <col min="9984" max="9984" width="28.44140625" style="154" customWidth="1"/>
    <col min="9985" max="9996" width="9.109375" style="154"/>
    <col min="9997" max="9997" width="10.6640625" style="154" customWidth="1"/>
    <col min="9998" max="10238" width="9.109375" style="154"/>
    <col min="10239" max="10239" width="8" style="154" customWidth="1"/>
    <col min="10240" max="10240" width="28.44140625" style="154" customWidth="1"/>
    <col min="10241" max="10252" width="9.109375" style="154"/>
    <col min="10253" max="10253" width="10.6640625" style="154" customWidth="1"/>
    <col min="10254" max="10494" width="9.109375" style="154"/>
    <col min="10495" max="10495" width="8" style="154" customWidth="1"/>
    <col min="10496" max="10496" width="28.44140625" style="154" customWidth="1"/>
    <col min="10497" max="10508" width="9.109375" style="154"/>
    <col min="10509" max="10509" width="10.6640625" style="154" customWidth="1"/>
    <col min="10510" max="10750" width="9.109375" style="154"/>
    <col min="10751" max="10751" width="8" style="154" customWidth="1"/>
    <col min="10752" max="10752" width="28.44140625" style="154" customWidth="1"/>
    <col min="10753" max="10764" width="9.109375" style="154"/>
    <col min="10765" max="10765" width="10.6640625" style="154" customWidth="1"/>
    <col min="10766" max="11006" width="9.109375" style="154"/>
    <col min="11007" max="11007" width="8" style="154" customWidth="1"/>
    <col min="11008" max="11008" width="28.44140625" style="154" customWidth="1"/>
    <col min="11009" max="11020" width="9.109375" style="154"/>
    <col min="11021" max="11021" width="10.6640625" style="154" customWidth="1"/>
    <col min="11022" max="11262" width="9.109375" style="154"/>
    <col min="11263" max="11263" width="8" style="154" customWidth="1"/>
    <col min="11264" max="11264" width="28.44140625" style="154" customWidth="1"/>
    <col min="11265" max="11276" width="9.109375" style="154"/>
    <col min="11277" max="11277" width="10.6640625" style="154" customWidth="1"/>
    <col min="11278" max="11518" width="9.109375" style="154"/>
    <col min="11519" max="11519" width="8" style="154" customWidth="1"/>
    <col min="11520" max="11520" width="28.44140625" style="154" customWidth="1"/>
    <col min="11521" max="11532" width="9.109375" style="154"/>
    <col min="11533" max="11533" width="10.6640625" style="154" customWidth="1"/>
    <col min="11534" max="11774" width="9.109375" style="154"/>
    <col min="11775" max="11775" width="8" style="154" customWidth="1"/>
    <col min="11776" max="11776" width="28.44140625" style="154" customWidth="1"/>
    <col min="11777" max="11788" width="9.109375" style="154"/>
    <col min="11789" max="11789" width="10.6640625" style="154" customWidth="1"/>
    <col min="11790" max="12030" width="9.109375" style="154"/>
    <col min="12031" max="12031" width="8" style="154" customWidth="1"/>
    <col min="12032" max="12032" width="28.44140625" style="154" customWidth="1"/>
    <col min="12033" max="12044" width="9.109375" style="154"/>
    <col min="12045" max="12045" width="10.6640625" style="154" customWidth="1"/>
    <col min="12046" max="12286" width="9.109375" style="154"/>
    <col min="12287" max="12287" width="8" style="154" customWidth="1"/>
    <col min="12288" max="12288" width="28.44140625" style="154" customWidth="1"/>
    <col min="12289" max="12300" width="9.109375" style="154"/>
    <col min="12301" max="12301" width="10.6640625" style="154" customWidth="1"/>
    <col min="12302" max="12542" width="9.109375" style="154"/>
    <col min="12543" max="12543" width="8" style="154" customWidth="1"/>
    <col min="12544" max="12544" width="28.44140625" style="154" customWidth="1"/>
    <col min="12545" max="12556" width="9.109375" style="154"/>
    <col min="12557" max="12557" width="10.6640625" style="154" customWidth="1"/>
    <col min="12558" max="12798" width="9.109375" style="154"/>
    <col min="12799" max="12799" width="8" style="154" customWidth="1"/>
    <col min="12800" max="12800" width="28.44140625" style="154" customWidth="1"/>
    <col min="12801" max="12812" width="9.109375" style="154"/>
    <col min="12813" max="12813" width="10.6640625" style="154" customWidth="1"/>
    <col min="12814" max="13054" width="9.109375" style="154"/>
    <col min="13055" max="13055" width="8" style="154" customWidth="1"/>
    <col min="13056" max="13056" width="28.44140625" style="154" customWidth="1"/>
    <col min="13057" max="13068" width="9.109375" style="154"/>
    <col min="13069" max="13069" width="10.6640625" style="154" customWidth="1"/>
    <col min="13070" max="13310" width="9.109375" style="154"/>
    <col min="13311" max="13311" width="8" style="154" customWidth="1"/>
    <col min="13312" max="13312" width="28.44140625" style="154" customWidth="1"/>
    <col min="13313" max="13324" width="9.109375" style="154"/>
    <col min="13325" max="13325" width="10.6640625" style="154" customWidth="1"/>
    <col min="13326" max="13566" width="9.109375" style="154"/>
    <col min="13567" max="13567" width="8" style="154" customWidth="1"/>
    <col min="13568" max="13568" width="28.44140625" style="154" customWidth="1"/>
    <col min="13569" max="13580" width="9.109375" style="154"/>
    <col min="13581" max="13581" width="10.6640625" style="154" customWidth="1"/>
    <col min="13582" max="13822" width="9.109375" style="154"/>
    <col min="13823" max="13823" width="8" style="154" customWidth="1"/>
    <col min="13824" max="13824" width="28.44140625" style="154" customWidth="1"/>
    <col min="13825" max="13836" width="9.109375" style="154"/>
    <col min="13837" max="13837" width="10.6640625" style="154" customWidth="1"/>
    <col min="13838" max="14078" width="9.109375" style="154"/>
    <col min="14079" max="14079" width="8" style="154" customWidth="1"/>
    <col min="14080" max="14080" width="28.44140625" style="154" customWidth="1"/>
    <col min="14081" max="14092" width="9.109375" style="154"/>
    <col min="14093" max="14093" width="10.6640625" style="154" customWidth="1"/>
    <col min="14094" max="14334" width="9.109375" style="154"/>
    <col min="14335" max="14335" width="8" style="154" customWidth="1"/>
    <col min="14336" max="14336" width="28.44140625" style="154" customWidth="1"/>
    <col min="14337" max="14348" width="9.109375" style="154"/>
    <col min="14349" max="14349" width="10.6640625" style="154" customWidth="1"/>
    <col min="14350" max="14590" width="9.109375" style="154"/>
    <col min="14591" max="14591" width="8" style="154" customWidth="1"/>
    <col min="14592" max="14592" width="28.44140625" style="154" customWidth="1"/>
    <col min="14593" max="14604" width="9.109375" style="154"/>
    <col min="14605" max="14605" width="10.6640625" style="154" customWidth="1"/>
    <col min="14606" max="14846" width="9.109375" style="154"/>
    <col min="14847" max="14847" width="8" style="154" customWidth="1"/>
    <col min="14848" max="14848" width="28.44140625" style="154" customWidth="1"/>
    <col min="14849" max="14860" width="9.109375" style="154"/>
    <col min="14861" max="14861" width="10.6640625" style="154" customWidth="1"/>
    <col min="14862" max="15102" width="9.109375" style="154"/>
    <col min="15103" max="15103" width="8" style="154" customWidth="1"/>
    <col min="15104" max="15104" width="28.44140625" style="154" customWidth="1"/>
    <col min="15105" max="15116" width="9.109375" style="154"/>
    <col min="15117" max="15117" width="10.6640625" style="154" customWidth="1"/>
    <col min="15118" max="15358" width="9.109375" style="154"/>
    <col min="15359" max="15359" width="8" style="154" customWidth="1"/>
    <col min="15360" max="15360" width="28.44140625" style="154" customWidth="1"/>
    <col min="15361" max="15372" width="9.109375" style="154"/>
    <col min="15373" max="15373" width="10.6640625" style="154" customWidth="1"/>
    <col min="15374" max="15614" width="9.109375" style="154"/>
    <col min="15615" max="15615" width="8" style="154" customWidth="1"/>
    <col min="15616" max="15616" width="28.44140625" style="154" customWidth="1"/>
    <col min="15617" max="15628" width="9.109375" style="154"/>
    <col min="15629" max="15629" width="10.6640625" style="154" customWidth="1"/>
    <col min="15630" max="15870" width="9.109375" style="154"/>
    <col min="15871" max="15871" width="8" style="154" customWidth="1"/>
    <col min="15872" max="15872" width="28.44140625" style="154" customWidth="1"/>
    <col min="15873" max="15884" width="9.109375" style="154"/>
    <col min="15885" max="15885" width="10.6640625" style="154" customWidth="1"/>
    <col min="15886" max="16126" width="9.109375" style="154"/>
    <col min="16127" max="16127" width="8" style="154" customWidth="1"/>
    <col min="16128" max="16128" width="28.44140625" style="154" customWidth="1"/>
    <col min="16129" max="16140" width="9.109375" style="154"/>
    <col min="16141" max="16141" width="10.6640625" style="154" customWidth="1"/>
    <col min="16142" max="16384" width="9.109375" style="154"/>
  </cols>
  <sheetData>
    <row r="1" spans="1:13" ht="17.399999999999999">
      <c r="A1" s="155" t="s">
        <v>115</v>
      </c>
      <c r="B1" s="156"/>
      <c r="C1" s="157"/>
      <c r="D1" s="157"/>
      <c r="E1" s="156"/>
      <c r="F1" s="157"/>
      <c r="G1" s="157"/>
      <c r="H1" s="156"/>
      <c r="I1" s="157"/>
      <c r="J1" s="157"/>
      <c r="K1" s="157"/>
      <c r="L1" s="157"/>
      <c r="M1" s="157"/>
    </row>
    <row r="2" spans="1:13" ht="12">
      <c r="A2" s="154" t="s">
        <v>116</v>
      </c>
      <c r="B2" s="158"/>
    </row>
    <row r="3" spans="1:13" ht="16.95" customHeight="1">
      <c r="A3" s="159" t="s">
        <v>20</v>
      </c>
      <c r="B3" s="159" t="s">
        <v>117</v>
      </c>
      <c r="C3" s="239" t="s">
        <v>118</v>
      </c>
      <c r="D3" s="239"/>
      <c r="E3" s="239"/>
      <c r="F3" s="161"/>
      <c r="G3" s="162"/>
      <c r="H3" s="163"/>
      <c r="I3" s="163"/>
      <c r="J3" s="163" t="s">
        <v>119</v>
      </c>
      <c r="K3" s="163"/>
      <c r="L3" s="163"/>
      <c r="M3" s="184"/>
    </row>
    <row r="4" spans="1:13" ht="16.2" customHeight="1">
      <c r="A4" s="164"/>
      <c r="B4" s="164" t="s">
        <v>120</v>
      </c>
      <c r="C4" s="160">
        <v>2017</v>
      </c>
      <c r="D4" s="160">
        <f t="shared" ref="D4:L4" si="0">C4+1</f>
        <v>2018</v>
      </c>
      <c r="E4" s="160">
        <f t="shared" si="0"/>
        <v>2019</v>
      </c>
      <c r="F4" s="160">
        <f t="shared" si="0"/>
        <v>2020</v>
      </c>
      <c r="G4" s="160">
        <f t="shared" si="0"/>
        <v>2021</v>
      </c>
      <c r="H4" s="165">
        <f t="shared" si="0"/>
        <v>2022</v>
      </c>
      <c r="I4" s="165">
        <f t="shared" si="0"/>
        <v>2023</v>
      </c>
      <c r="J4" s="165">
        <f t="shared" si="0"/>
        <v>2024</v>
      </c>
      <c r="K4" s="165">
        <f t="shared" si="0"/>
        <v>2025</v>
      </c>
      <c r="L4" s="165">
        <f t="shared" si="0"/>
        <v>2026</v>
      </c>
      <c r="M4" s="185" t="s">
        <v>121</v>
      </c>
    </row>
    <row r="5" spans="1:13" ht="15.6" customHeight="1">
      <c r="A5" s="166">
        <v>1</v>
      </c>
      <c r="B5" s="167" t="s">
        <v>122</v>
      </c>
      <c r="C5" s="168">
        <f>SUM(C6:C9)</f>
        <v>0</v>
      </c>
      <c r="D5" s="168">
        <f t="shared" ref="D5:L5" si="1">SUM(D6:D9)</f>
        <v>0</v>
      </c>
      <c r="E5" s="168" t="e">
        <f t="shared" si="1"/>
        <v>#REF!</v>
      </c>
      <c r="F5" s="168" t="e">
        <f t="shared" si="1"/>
        <v>#REF!</v>
      </c>
      <c r="G5" s="168" t="e">
        <f t="shared" si="1"/>
        <v>#REF!</v>
      </c>
      <c r="H5" s="168">
        <f t="shared" si="1"/>
        <v>366000</v>
      </c>
      <c r="I5" s="168" t="e">
        <f t="shared" si="1"/>
        <v>#REF!</v>
      </c>
      <c r="J5" s="168" t="e">
        <f t="shared" si="1"/>
        <v>#REF!</v>
      </c>
      <c r="K5" s="168" t="e">
        <f t="shared" si="1"/>
        <v>#REF!</v>
      </c>
      <c r="L5" s="168">
        <f t="shared" si="1"/>
        <v>976000</v>
      </c>
      <c r="M5" s="172" t="e">
        <f t="shared" ref="M5:M17" si="2">SUM(C5:L5)</f>
        <v>#REF!</v>
      </c>
    </row>
    <row r="6" spans="1:13" ht="15.6" customHeight="1">
      <c r="A6" s="166">
        <v>1.1000000000000001</v>
      </c>
      <c r="B6" s="169" t="s">
        <v>123</v>
      </c>
      <c r="C6" s="170"/>
      <c r="D6" s="170"/>
      <c r="E6" s="170" t="e">
        <f>损益表!#REF!</f>
        <v>#REF!</v>
      </c>
      <c r="F6" s="170" t="e">
        <f>损益表!#REF!</f>
        <v>#REF!</v>
      </c>
      <c r="G6" s="170" t="e">
        <f>损益表!#REF!</f>
        <v>#REF!</v>
      </c>
      <c r="H6" s="170">
        <f>损益表!E5</f>
        <v>366000</v>
      </c>
      <c r="I6" s="170" t="e">
        <f>损益表!#REF!</f>
        <v>#REF!</v>
      </c>
      <c r="J6" s="170" t="e">
        <f>损益表!#REF!</f>
        <v>#REF!</v>
      </c>
      <c r="K6" s="170" t="e">
        <f>损益表!#REF!</f>
        <v>#REF!</v>
      </c>
      <c r="L6" s="170">
        <f>损益表!F5</f>
        <v>976000</v>
      </c>
      <c r="M6" s="172" t="e">
        <f t="shared" si="2"/>
        <v>#REF!</v>
      </c>
    </row>
    <row r="7" spans="1:13" ht="15.6" customHeight="1">
      <c r="A7" s="166">
        <v>1.2</v>
      </c>
      <c r="B7" s="169" t="s">
        <v>124</v>
      </c>
      <c r="C7" s="170"/>
      <c r="D7" s="170"/>
      <c r="E7" s="170">
        <f>[2]折、摊!G18</f>
        <v>0</v>
      </c>
      <c r="F7" s="170">
        <f>[2]折、摊!H18</f>
        <v>0</v>
      </c>
      <c r="G7" s="170">
        <f>[2]折、摊!I18</f>
        <v>0</v>
      </c>
      <c r="H7" s="170">
        <f>[2]折、摊!J18</f>
        <v>0</v>
      </c>
      <c r="I7" s="170">
        <f>[2]折、摊!K18</f>
        <v>0</v>
      </c>
      <c r="J7" s="170">
        <f>[2]折、摊!L18</f>
        <v>0</v>
      </c>
      <c r="K7" s="170">
        <f>[2]折、摊!M18</f>
        <v>0</v>
      </c>
      <c r="L7" s="170">
        <f>[2]折、摊!N18</f>
        <v>0</v>
      </c>
      <c r="M7" s="172">
        <f t="shared" si="2"/>
        <v>0</v>
      </c>
    </row>
    <row r="8" spans="1:13" ht="15.6" customHeight="1">
      <c r="A8" s="166">
        <v>1.3</v>
      </c>
      <c r="B8" s="169" t="s">
        <v>125</v>
      </c>
      <c r="C8" s="170" t="s">
        <v>126</v>
      </c>
      <c r="D8" s="170" t="s">
        <v>126</v>
      </c>
      <c r="E8" s="170" t="s">
        <v>126</v>
      </c>
      <c r="F8" s="170" t="s">
        <v>126</v>
      </c>
      <c r="G8" s="170" t="s">
        <v>126</v>
      </c>
      <c r="H8" s="170" t="s">
        <v>126</v>
      </c>
      <c r="I8" s="170" t="s">
        <v>126</v>
      </c>
      <c r="J8" s="170" t="s">
        <v>126</v>
      </c>
      <c r="K8" s="170" t="s">
        <v>126</v>
      </c>
      <c r="L8" s="170"/>
      <c r="M8" s="172">
        <f t="shared" si="2"/>
        <v>0</v>
      </c>
    </row>
    <row r="9" spans="1:13" s="153" customFormat="1" ht="15.6" customHeight="1">
      <c r="A9" s="171">
        <v>1.4</v>
      </c>
      <c r="B9" s="172" t="s">
        <v>127</v>
      </c>
      <c r="C9" s="170" t="s">
        <v>126</v>
      </c>
      <c r="D9" s="170" t="s">
        <v>126</v>
      </c>
      <c r="E9" s="170" t="s">
        <v>126</v>
      </c>
      <c r="F9" s="170" t="s">
        <v>126</v>
      </c>
      <c r="G9" s="170" t="s">
        <v>126</v>
      </c>
      <c r="H9" s="170" t="s">
        <v>126</v>
      </c>
      <c r="I9" s="170" t="s">
        <v>126</v>
      </c>
      <c r="J9" s="170" t="s">
        <v>126</v>
      </c>
      <c r="K9" s="170" t="s">
        <v>126</v>
      </c>
      <c r="L9" s="170" t="s">
        <v>126</v>
      </c>
      <c r="M9" s="172">
        <f t="shared" si="2"/>
        <v>0</v>
      </c>
    </row>
    <row r="10" spans="1:13" ht="15.6" customHeight="1">
      <c r="A10" s="171">
        <v>2</v>
      </c>
      <c r="B10" s="167" t="s">
        <v>128</v>
      </c>
      <c r="C10" s="168">
        <f t="shared" ref="C10:L10" si="3">SUM(C11:C16)</f>
        <v>0</v>
      </c>
      <c r="D10" s="168">
        <f t="shared" si="3"/>
        <v>0</v>
      </c>
      <c r="E10" s="168">
        <f t="shared" si="3"/>
        <v>0</v>
      </c>
      <c r="F10" s="168">
        <f t="shared" si="3"/>
        <v>0</v>
      </c>
      <c r="G10" s="168">
        <f t="shared" si="3"/>
        <v>0</v>
      </c>
      <c r="H10" s="168">
        <f t="shared" si="3"/>
        <v>0</v>
      </c>
      <c r="I10" s="168">
        <f t="shared" si="3"/>
        <v>0</v>
      </c>
      <c r="J10" s="168">
        <f t="shared" si="3"/>
        <v>0</v>
      </c>
      <c r="K10" s="168">
        <f t="shared" si="3"/>
        <v>0</v>
      </c>
      <c r="L10" s="168">
        <f t="shared" si="3"/>
        <v>0</v>
      </c>
      <c r="M10" s="172">
        <f t="shared" si="2"/>
        <v>0</v>
      </c>
    </row>
    <row r="11" spans="1:13" ht="15" customHeight="1">
      <c r="A11" s="166">
        <v>2.1</v>
      </c>
      <c r="B11" s="166" t="s">
        <v>129</v>
      </c>
      <c r="C11" s="170">
        <f>([2]计划!C6-[2]计划!C7)</f>
        <v>0</v>
      </c>
      <c r="D11" s="170">
        <f>([2]计划!D6-[2]计划!D7)</f>
        <v>0</v>
      </c>
      <c r="E11" s="170">
        <f>([2]计划!E6-[2]计划!E7)</f>
        <v>0</v>
      </c>
      <c r="F11" s="170">
        <f>([2]计划!F6-[2]计划!F7)</f>
        <v>0</v>
      </c>
      <c r="G11" s="170">
        <f>([2]计划!G6-[2]计划!G7)</f>
        <v>0</v>
      </c>
      <c r="H11" s="170">
        <f>([2]计划!H6-[2]计划!H7)</f>
        <v>0</v>
      </c>
      <c r="I11" s="170">
        <f>([2]计划!I6-[2]计划!I7)</f>
        <v>0</v>
      </c>
      <c r="J11" s="170">
        <f>([2]计划!J6-[2]计划!J7)</f>
        <v>0</v>
      </c>
      <c r="K11" s="170">
        <f>([2]计划!K6-[2]计划!K7)</f>
        <v>0</v>
      </c>
      <c r="L11" s="170">
        <f>([2]计划!L6-[2]计划!L7)</f>
        <v>0</v>
      </c>
      <c r="M11" s="172">
        <f t="shared" si="2"/>
        <v>0</v>
      </c>
    </row>
    <row r="12" spans="1:13" s="153" customFormat="1" ht="15" customHeight="1">
      <c r="A12" s="166">
        <v>2.2000000000000002</v>
      </c>
      <c r="B12" s="172" t="s">
        <v>130</v>
      </c>
      <c r="C12" s="170">
        <f>[2]计划!C8</f>
        <v>0</v>
      </c>
      <c r="D12" s="170">
        <f>[2]计划!D8</f>
        <v>0</v>
      </c>
      <c r="E12" s="170">
        <f>[2]计划!E8</f>
        <v>0</v>
      </c>
      <c r="F12" s="170">
        <f>[2]计划!F8</f>
        <v>0</v>
      </c>
      <c r="G12" s="170">
        <f>[2]计划!G8</f>
        <v>0</v>
      </c>
      <c r="H12" s="170">
        <f>[2]计划!H8</f>
        <v>0</v>
      </c>
      <c r="I12" s="170">
        <f>[2]计划!I8</f>
        <v>0</v>
      </c>
      <c r="J12" s="170">
        <f>[2]计划!J8</f>
        <v>0</v>
      </c>
      <c r="K12" s="170">
        <f>[2]计划!K8</f>
        <v>0</v>
      </c>
      <c r="L12" s="170">
        <f>[2]计划!L8</f>
        <v>0</v>
      </c>
      <c r="M12" s="172">
        <f t="shared" si="2"/>
        <v>0</v>
      </c>
    </row>
    <row r="13" spans="1:13" ht="15" customHeight="1">
      <c r="A13" s="166">
        <v>2.2999999999999998</v>
      </c>
      <c r="B13" s="169" t="s">
        <v>131</v>
      </c>
      <c r="C13" s="170">
        <f>[2]总成本!C22</f>
        <v>0</v>
      </c>
      <c r="D13" s="170">
        <f>[2]总成本!D22</f>
        <v>0</v>
      </c>
      <c r="E13" s="170">
        <f>[2]总成本!E22</f>
        <v>0</v>
      </c>
      <c r="F13" s="170">
        <f>[2]总成本!F22</f>
        <v>0</v>
      </c>
      <c r="G13" s="170">
        <f>[2]总成本!G22</f>
        <v>0</v>
      </c>
      <c r="H13" s="170">
        <f>[2]总成本!H22</f>
        <v>0</v>
      </c>
      <c r="I13" s="170">
        <f>[2]总成本!I22</f>
        <v>0</v>
      </c>
      <c r="J13" s="170">
        <f>[2]总成本!J22</f>
        <v>0</v>
      </c>
      <c r="K13" s="170">
        <f>[2]总成本!K22</f>
        <v>0</v>
      </c>
      <c r="L13" s="170">
        <f>[2]总成本!L22</f>
        <v>0</v>
      </c>
      <c r="M13" s="172">
        <f t="shared" si="2"/>
        <v>0</v>
      </c>
    </row>
    <row r="14" spans="1:13" ht="15" customHeight="1">
      <c r="A14" s="166">
        <v>2.4</v>
      </c>
      <c r="B14" s="169" t="s">
        <v>132</v>
      </c>
      <c r="C14" s="170">
        <f>[2]价格!D15</f>
        <v>0</v>
      </c>
      <c r="D14" s="170">
        <f>[2]价格!E15</f>
        <v>0</v>
      </c>
      <c r="E14" s="170">
        <f>[2]价格!F15</f>
        <v>0</v>
      </c>
      <c r="F14" s="170">
        <f>[2]价格!G15</f>
        <v>0</v>
      </c>
      <c r="G14" s="170">
        <f>[2]价格!H15</f>
        <v>0</v>
      </c>
      <c r="H14" s="170">
        <f>[2]价格!I15</f>
        <v>0</v>
      </c>
      <c r="I14" s="170">
        <f>[2]价格!J15</f>
        <v>0</v>
      </c>
      <c r="J14" s="170">
        <f>[2]价格!K15</f>
        <v>0</v>
      </c>
      <c r="K14" s="170">
        <f>[2]价格!L15</f>
        <v>0</v>
      </c>
      <c r="L14" s="170">
        <f>[2]价格!M15</f>
        <v>0</v>
      </c>
      <c r="M14" s="172">
        <f t="shared" si="2"/>
        <v>0</v>
      </c>
    </row>
    <row r="15" spans="1:13" ht="15" customHeight="1">
      <c r="A15" s="166">
        <v>2.5</v>
      </c>
      <c r="B15" s="169" t="s">
        <v>63</v>
      </c>
      <c r="C15" s="170">
        <f>[2]利润!C13</f>
        <v>0</v>
      </c>
      <c r="D15" s="170">
        <f>[2]利润!D13</f>
        <v>0</v>
      </c>
      <c r="E15" s="170">
        <f>[2]利润!E13</f>
        <v>0</v>
      </c>
      <c r="F15" s="170">
        <f>[2]利润!F13</f>
        <v>0</v>
      </c>
      <c r="G15" s="170">
        <f>[2]利润!G13</f>
        <v>0</v>
      </c>
      <c r="H15" s="170">
        <f>[2]利润!H13</f>
        <v>0</v>
      </c>
      <c r="I15" s="170">
        <f>[2]利润!I13</f>
        <v>0</v>
      </c>
      <c r="J15" s="170">
        <f>[2]利润!J13</f>
        <v>0</v>
      </c>
      <c r="K15" s="170">
        <f>[2]利润!K13</f>
        <v>0</v>
      </c>
      <c r="L15" s="170">
        <f>[2]利润!L13</f>
        <v>0</v>
      </c>
      <c r="M15" s="172">
        <f t="shared" si="2"/>
        <v>0</v>
      </c>
    </row>
    <row r="16" spans="1:13" ht="15" customHeight="1">
      <c r="A16" s="166">
        <v>2.6</v>
      </c>
      <c r="B16" s="169" t="s">
        <v>133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2">
        <f t="shared" si="2"/>
        <v>0</v>
      </c>
    </row>
    <row r="17" spans="1:18" ht="12">
      <c r="A17" s="166">
        <v>3</v>
      </c>
      <c r="B17" s="167" t="s">
        <v>134</v>
      </c>
      <c r="C17" s="168">
        <f t="shared" ref="C17:L17" si="4">C5-C10</f>
        <v>0</v>
      </c>
      <c r="D17" s="168">
        <f t="shared" si="4"/>
        <v>0</v>
      </c>
      <c r="E17" s="168" t="e">
        <f t="shared" si="4"/>
        <v>#REF!</v>
      </c>
      <c r="F17" s="168" t="e">
        <f t="shared" si="4"/>
        <v>#REF!</v>
      </c>
      <c r="G17" s="168" t="e">
        <f t="shared" si="4"/>
        <v>#REF!</v>
      </c>
      <c r="H17" s="168">
        <f t="shared" si="4"/>
        <v>366000</v>
      </c>
      <c r="I17" s="168" t="e">
        <f t="shared" si="4"/>
        <v>#REF!</v>
      </c>
      <c r="J17" s="168" t="e">
        <f t="shared" si="4"/>
        <v>#REF!</v>
      </c>
      <c r="K17" s="168" t="e">
        <f t="shared" si="4"/>
        <v>#REF!</v>
      </c>
      <c r="L17" s="168">
        <f t="shared" si="4"/>
        <v>976000</v>
      </c>
      <c r="M17" s="172" t="e">
        <f t="shared" si="2"/>
        <v>#REF!</v>
      </c>
    </row>
    <row r="18" spans="1:18" ht="12">
      <c r="A18" s="173">
        <v>4</v>
      </c>
      <c r="B18" s="169" t="s">
        <v>135</v>
      </c>
      <c r="C18" s="170">
        <f>C17</f>
        <v>0</v>
      </c>
      <c r="D18" s="170">
        <f t="shared" ref="D18:L18" si="5">C18+D17</f>
        <v>0</v>
      </c>
      <c r="E18" s="170" t="e">
        <f t="shared" si="5"/>
        <v>#REF!</v>
      </c>
      <c r="F18" s="170" t="e">
        <f t="shared" si="5"/>
        <v>#REF!</v>
      </c>
      <c r="G18" s="170" t="e">
        <f t="shared" si="5"/>
        <v>#REF!</v>
      </c>
      <c r="H18" s="170" t="e">
        <f t="shared" si="5"/>
        <v>#REF!</v>
      </c>
      <c r="I18" s="170" t="e">
        <f t="shared" si="5"/>
        <v>#REF!</v>
      </c>
      <c r="J18" s="170" t="e">
        <f t="shared" si="5"/>
        <v>#REF!</v>
      </c>
      <c r="K18" s="170" t="e">
        <f t="shared" si="5"/>
        <v>#REF!</v>
      </c>
      <c r="L18" s="170" t="e">
        <f t="shared" si="5"/>
        <v>#REF!</v>
      </c>
      <c r="M18" s="169" t="s">
        <v>126</v>
      </c>
    </row>
    <row r="19" spans="1:18" s="153" customFormat="1" ht="12">
      <c r="A19" s="173">
        <v>5</v>
      </c>
      <c r="B19" s="169" t="s">
        <v>136</v>
      </c>
      <c r="C19" s="170">
        <f t="shared" ref="C19:L19" si="6">C17+C15</f>
        <v>0</v>
      </c>
      <c r="D19" s="170">
        <f t="shared" si="6"/>
        <v>0</v>
      </c>
      <c r="E19" s="170" t="e">
        <f t="shared" si="6"/>
        <v>#REF!</v>
      </c>
      <c r="F19" s="170" t="e">
        <f t="shared" si="6"/>
        <v>#REF!</v>
      </c>
      <c r="G19" s="170" t="e">
        <f t="shared" si="6"/>
        <v>#REF!</v>
      </c>
      <c r="H19" s="170">
        <f t="shared" si="6"/>
        <v>366000</v>
      </c>
      <c r="I19" s="170" t="e">
        <f t="shared" si="6"/>
        <v>#REF!</v>
      </c>
      <c r="J19" s="170" t="e">
        <f t="shared" si="6"/>
        <v>#REF!</v>
      </c>
      <c r="K19" s="170" t="e">
        <f t="shared" si="6"/>
        <v>#REF!</v>
      </c>
      <c r="L19" s="170">
        <f t="shared" si="6"/>
        <v>976000</v>
      </c>
      <c r="M19" s="172" t="e">
        <f>SUM(C19:L19)</f>
        <v>#REF!</v>
      </c>
    </row>
    <row r="20" spans="1:18" s="153" customFormat="1" ht="12">
      <c r="A20" s="166">
        <v>6</v>
      </c>
      <c r="B20" s="169" t="s">
        <v>137</v>
      </c>
      <c r="C20" s="170">
        <f>C19</f>
        <v>0</v>
      </c>
      <c r="D20" s="170">
        <f t="shared" ref="D20:L20" si="7">C20+D19</f>
        <v>0</v>
      </c>
      <c r="E20" s="170" t="e">
        <f t="shared" si="7"/>
        <v>#REF!</v>
      </c>
      <c r="F20" s="170" t="e">
        <f t="shared" si="7"/>
        <v>#REF!</v>
      </c>
      <c r="G20" s="170" t="e">
        <f t="shared" si="7"/>
        <v>#REF!</v>
      </c>
      <c r="H20" s="170" t="e">
        <f t="shared" si="7"/>
        <v>#REF!</v>
      </c>
      <c r="I20" s="170" t="e">
        <f t="shared" si="7"/>
        <v>#REF!</v>
      </c>
      <c r="J20" s="170" t="e">
        <f t="shared" si="7"/>
        <v>#REF!</v>
      </c>
      <c r="K20" s="170" t="e">
        <f t="shared" si="7"/>
        <v>#REF!</v>
      </c>
      <c r="L20" s="170" t="e">
        <f t="shared" si="7"/>
        <v>#REF!</v>
      </c>
      <c r="M20" s="169" t="s">
        <v>126</v>
      </c>
    </row>
    <row r="21" spans="1:18" ht="12">
      <c r="A21" s="174"/>
      <c r="B21" s="175" t="s">
        <v>138</v>
      </c>
      <c r="C21" s="175"/>
      <c r="D21" s="175"/>
      <c r="E21" s="175" t="s">
        <v>139</v>
      </c>
      <c r="F21" s="175"/>
      <c r="G21" s="175"/>
      <c r="H21" s="175"/>
      <c r="I21" s="175" t="s">
        <v>140</v>
      </c>
      <c r="J21" s="175"/>
      <c r="K21" s="175"/>
      <c r="L21" s="175"/>
      <c r="M21" s="186"/>
    </row>
    <row r="22" spans="1:18" ht="12">
      <c r="A22" s="176"/>
      <c r="B22" s="177" t="s">
        <v>141</v>
      </c>
      <c r="C22" s="177"/>
      <c r="D22" s="178" t="s">
        <v>142</v>
      </c>
      <c r="E22" s="179" t="e">
        <f>IRR(C17:L17,0.15)</f>
        <v>#VALUE!</v>
      </c>
      <c r="F22" s="177"/>
      <c r="G22" s="177"/>
      <c r="H22" s="177"/>
      <c r="I22" s="179" t="e">
        <f>IRR(C19:L19,0.15)</f>
        <v>#VALUE!</v>
      </c>
      <c r="J22" s="177"/>
      <c r="K22" s="177"/>
      <c r="L22" s="177"/>
      <c r="M22" s="187"/>
    </row>
    <row r="23" spans="1:18" ht="12">
      <c r="A23" s="176"/>
      <c r="B23" s="177" t="s">
        <v>143</v>
      </c>
      <c r="C23" s="177"/>
      <c r="D23" s="177"/>
      <c r="E23" s="180" t="e">
        <f>NPV(0.12,C17:L17)</f>
        <v>#REF!</v>
      </c>
      <c r="F23" s="177"/>
      <c r="G23" s="177"/>
      <c r="H23" s="177"/>
      <c r="I23" s="180" t="e">
        <f>NPV(0.12,C19:L19)</f>
        <v>#REF!</v>
      </c>
      <c r="J23" s="177"/>
      <c r="K23" s="177"/>
      <c r="L23" s="177"/>
      <c r="M23" s="187"/>
      <c r="R23" s="154">
        <f>30.9-29.82</f>
        <v>1.08</v>
      </c>
    </row>
    <row r="24" spans="1:18" ht="12">
      <c r="A24" s="181"/>
      <c r="B24" s="182" t="s">
        <v>144</v>
      </c>
      <c r="C24" s="182"/>
      <c r="D24" s="182"/>
      <c r="E24" s="183" t="e">
        <f>6-H18/I17</f>
        <v>#REF!</v>
      </c>
      <c r="F24" s="182"/>
      <c r="G24" s="182"/>
      <c r="H24" s="182"/>
      <c r="I24" s="183" t="e">
        <f>6-H20/I19</f>
        <v>#REF!</v>
      </c>
      <c r="J24" s="182"/>
      <c r="K24" s="182"/>
      <c r="L24" s="182"/>
      <c r="M24" s="188"/>
    </row>
  </sheetData>
  <mergeCells count="1">
    <mergeCell ref="C3:E3"/>
  </mergeCells>
  <phoneticPr fontId="5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35" activePane="bottomRight" state="frozen"/>
      <selection pane="topRight"/>
      <selection pane="bottomLeft"/>
      <selection pane="bottomRight" activeCell="F6" sqref="F6"/>
    </sheetView>
  </sheetViews>
  <sheetFormatPr defaultColWidth="9" defaultRowHeight="15"/>
  <cols>
    <col min="1" max="1" width="5.109375" style="131" customWidth="1"/>
    <col min="2" max="2" width="17.44140625" style="131" customWidth="1"/>
    <col min="3" max="3" width="13.21875" style="132" customWidth="1"/>
    <col min="4" max="4" width="18.77734375" style="132" customWidth="1"/>
    <col min="5" max="5" width="12.33203125" style="131" customWidth="1"/>
    <col min="6" max="6" width="10.109375" style="131" customWidth="1"/>
    <col min="7" max="13" width="9" style="131" customWidth="1"/>
    <col min="14" max="30" width="9" style="131"/>
    <col min="31" max="31" width="4.33203125" style="131" customWidth="1"/>
    <col min="32" max="32" width="13.88671875" style="131" customWidth="1"/>
    <col min="33" max="16384" width="9" style="131"/>
  </cols>
  <sheetData>
    <row r="1" spans="1:33">
      <c r="A1" s="240" t="s">
        <v>145</v>
      </c>
      <c r="B1" s="240"/>
      <c r="C1" s="244" t="s">
        <v>146</v>
      </c>
      <c r="D1" s="245"/>
    </row>
    <row r="2" spans="1:33">
      <c r="A2" s="240" t="s">
        <v>147</v>
      </c>
      <c r="B2" s="240"/>
      <c r="C2" s="246" t="s">
        <v>274</v>
      </c>
      <c r="D2" s="246"/>
    </row>
    <row r="3" spans="1:33" ht="15.6">
      <c r="A3" s="240" t="s">
        <v>148</v>
      </c>
      <c r="B3" s="240"/>
      <c r="C3" s="64" t="s">
        <v>149</v>
      </c>
      <c r="D3" s="241" t="s">
        <v>24</v>
      </c>
    </row>
    <row r="4" spans="1:33" ht="31.2">
      <c r="A4" s="240" t="s">
        <v>150</v>
      </c>
      <c r="B4" s="240"/>
      <c r="C4" s="68" t="s">
        <v>151</v>
      </c>
      <c r="D4" s="242"/>
    </row>
    <row r="5" spans="1:33">
      <c r="A5" s="240" t="s">
        <v>152</v>
      </c>
      <c r="B5" s="240"/>
      <c r="C5" s="134" t="s">
        <v>153</v>
      </c>
      <c r="D5" s="243"/>
      <c r="AG5" s="131" t="s">
        <v>25</v>
      </c>
    </row>
    <row r="6" spans="1:33" ht="17.399999999999999">
      <c r="A6" s="135" t="s">
        <v>20</v>
      </c>
      <c r="B6" s="136" t="s">
        <v>154</v>
      </c>
      <c r="C6" s="137">
        <f>销量!C9</f>
        <v>200</v>
      </c>
      <c r="D6" s="138">
        <f t="shared" ref="D6:D15" si="0">SUM(C6:C6)</f>
        <v>200</v>
      </c>
      <c r="O6" s="136" t="s">
        <v>3</v>
      </c>
      <c r="AE6" s="135" t="s">
        <v>20</v>
      </c>
      <c r="AF6" s="136" t="s">
        <v>3</v>
      </c>
      <c r="AG6" s="131" t="s">
        <v>26</v>
      </c>
    </row>
    <row r="7" spans="1:33" ht="15.6">
      <c r="A7" s="133">
        <v>1</v>
      </c>
      <c r="B7" s="136" t="s">
        <v>27</v>
      </c>
      <c r="C7" s="138">
        <f>C6*销量!C8</f>
        <v>244000</v>
      </c>
      <c r="D7" s="138">
        <f t="shared" si="0"/>
        <v>244000</v>
      </c>
      <c r="E7" s="132"/>
      <c r="O7" s="136" t="s">
        <v>27</v>
      </c>
      <c r="AE7" s="135" t="s">
        <v>28</v>
      </c>
      <c r="AF7" s="136" t="s">
        <v>27</v>
      </c>
      <c r="AG7" s="131" t="s">
        <v>26</v>
      </c>
    </row>
    <row r="8" spans="1:33">
      <c r="A8" s="133">
        <v>2</v>
      </c>
      <c r="B8" s="133" t="s">
        <v>29</v>
      </c>
      <c r="C8" s="138"/>
      <c r="D8" s="138">
        <f t="shared" si="0"/>
        <v>0</v>
      </c>
      <c r="E8" s="139"/>
      <c r="O8" s="133" t="s">
        <v>31</v>
      </c>
      <c r="AE8" s="135" t="s">
        <v>30</v>
      </c>
      <c r="AF8" s="133" t="s">
        <v>31</v>
      </c>
      <c r="AG8" s="131" t="s">
        <v>26</v>
      </c>
    </row>
    <row r="9" spans="1:33" ht="15.6">
      <c r="A9" s="133">
        <v>3</v>
      </c>
      <c r="B9" s="136" t="s">
        <v>32</v>
      </c>
      <c r="C9" s="138">
        <f>+C7-C8</f>
        <v>244000</v>
      </c>
      <c r="D9" s="138">
        <f t="shared" si="0"/>
        <v>244000</v>
      </c>
      <c r="O9" s="136" t="s">
        <v>32</v>
      </c>
      <c r="AE9" s="135" t="s">
        <v>33</v>
      </c>
      <c r="AF9" s="136" t="s">
        <v>32</v>
      </c>
      <c r="AG9" s="131" t="s">
        <v>34</v>
      </c>
    </row>
    <row r="10" spans="1:33">
      <c r="A10" s="133">
        <v>4</v>
      </c>
      <c r="B10" s="135" t="s">
        <v>35</v>
      </c>
      <c r="C10" s="138">
        <f>C6*C33</f>
        <v>171800</v>
      </c>
      <c r="D10" s="138">
        <f t="shared" si="0"/>
        <v>171800</v>
      </c>
      <c r="O10" s="135" t="s">
        <v>35</v>
      </c>
      <c r="AE10" s="135" t="s">
        <v>36</v>
      </c>
      <c r="AF10" s="135" t="s">
        <v>35</v>
      </c>
      <c r="AG10" s="131" t="s">
        <v>37</v>
      </c>
    </row>
    <row r="11" spans="1:33">
      <c r="A11" s="133">
        <v>5</v>
      </c>
      <c r="B11" s="135" t="s">
        <v>38</v>
      </c>
      <c r="C11" s="138">
        <f>+C6*C36</f>
        <v>10516.4</v>
      </c>
      <c r="D11" s="138">
        <f t="shared" si="0"/>
        <v>10516.4</v>
      </c>
      <c r="O11" s="135" t="s">
        <v>38</v>
      </c>
      <c r="AE11" s="135" t="s">
        <v>39</v>
      </c>
      <c r="AF11" s="135" t="s">
        <v>38</v>
      </c>
    </row>
    <row r="12" spans="1:33">
      <c r="A12" s="133">
        <v>6</v>
      </c>
      <c r="B12" s="135" t="s">
        <v>40</v>
      </c>
      <c r="C12" s="138">
        <f>+C6*C37</f>
        <v>5294.8</v>
      </c>
      <c r="D12" s="138">
        <f t="shared" si="0"/>
        <v>5294.8</v>
      </c>
      <c r="O12" s="135" t="s">
        <v>40</v>
      </c>
      <c r="AE12" s="135" t="s">
        <v>41</v>
      </c>
      <c r="AF12" s="135" t="s">
        <v>40</v>
      </c>
    </row>
    <row r="13" spans="1:33">
      <c r="A13" s="133">
        <v>7</v>
      </c>
      <c r="B13" s="135" t="s">
        <v>42</v>
      </c>
      <c r="C13" s="138">
        <f>+C6*C38</f>
        <v>10736</v>
      </c>
      <c r="D13" s="138">
        <f t="shared" si="0"/>
        <v>10736</v>
      </c>
      <c r="O13" s="135" t="s">
        <v>42</v>
      </c>
      <c r="AE13" s="135" t="s">
        <v>43</v>
      </c>
      <c r="AF13" s="135" t="s">
        <v>42</v>
      </c>
      <c r="AG13" s="131" t="s">
        <v>26</v>
      </c>
    </row>
    <row r="14" spans="1:33" ht="15.6">
      <c r="A14" s="133">
        <v>8</v>
      </c>
      <c r="B14" s="140" t="s">
        <v>44</v>
      </c>
      <c r="C14" s="138">
        <f>SUM(C11:C13)</f>
        <v>26547.200000000001</v>
      </c>
      <c r="D14" s="138">
        <f t="shared" si="0"/>
        <v>26547.200000000001</v>
      </c>
      <c r="O14" s="140" t="s">
        <v>44</v>
      </c>
      <c r="AE14" s="135" t="s">
        <v>45</v>
      </c>
      <c r="AF14" s="140" t="s">
        <v>44</v>
      </c>
    </row>
    <row r="15" spans="1:33" ht="15.6">
      <c r="A15" s="133">
        <v>9</v>
      </c>
      <c r="B15" s="140" t="s">
        <v>46</v>
      </c>
      <c r="C15" s="138">
        <f>+C9-C10-C14</f>
        <v>45652.800000000003</v>
      </c>
      <c r="D15" s="138">
        <f t="shared" si="0"/>
        <v>45652.800000000003</v>
      </c>
      <c r="O15" s="140" t="s">
        <v>46</v>
      </c>
      <c r="AE15" s="135" t="s">
        <v>47</v>
      </c>
      <c r="AF15" s="140" t="s">
        <v>46</v>
      </c>
    </row>
    <row r="16" spans="1:33">
      <c r="A16" s="133">
        <v>10</v>
      </c>
      <c r="B16" s="135" t="s">
        <v>48</v>
      </c>
      <c r="C16" s="141">
        <f>+C15/C9</f>
        <v>0.18710163934426199</v>
      </c>
      <c r="D16" s="141">
        <f t="shared" ref="D16" si="1">+D15/D9</f>
        <v>0.18710163934426199</v>
      </c>
      <c r="O16" s="135" t="s">
        <v>48</v>
      </c>
      <c r="AE16" s="135" t="s">
        <v>49</v>
      </c>
      <c r="AF16" s="135" t="s">
        <v>48</v>
      </c>
    </row>
    <row r="17" spans="1:33">
      <c r="A17" s="133">
        <v>11</v>
      </c>
      <c r="B17" s="135" t="s">
        <v>50</v>
      </c>
      <c r="C17" s="138">
        <f>C6*C43+C18</f>
        <v>10004</v>
      </c>
      <c r="D17" s="138">
        <f>SUM(C17:C17)</f>
        <v>10004</v>
      </c>
      <c r="E17" s="139"/>
      <c r="O17" s="135" t="s">
        <v>50</v>
      </c>
      <c r="AE17" s="135" t="s">
        <v>51</v>
      </c>
      <c r="AF17" s="135" t="s">
        <v>50</v>
      </c>
    </row>
    <row r="18" spans="1:33" s="129" customFormat="1">
      <c r="A18" s="133">
        <v>12</v>
      </c>
      <c r="B18" s="142" t="s">
        <v>155</v>
      </c>
      <c r="C18" s="143">
        <f>$D$18/$D$6*C6</f>
        <v>0</v>
      </c>
      <c r="D18" s="143">
        <f>项目投资!D26</f>
        <v>0</v>
      </c>
      <c r="E18" s="144" t="s">
        <v>156</v>
      </c>
      <c r="F18" s="144"/>
      <c r="G18" s="144"/>
    </row>
    <row r="19" spans="1:33">
      <c r="A19" s="133">
        <v>13</v>
      </c>
      <c r="B19" s="135" t="s">
        <v>52</v>
      </c>
      <c r="C19" s="138">
        <f>C6*C44</f>
        <v>1708</v>
      </c>
      <c r="D19" s="138">
        <f>SUM(C19:C19)</f>
        <v>1708</v>
      </c>
      <c r="E19" s="129"/>
      <c r="O19" s="135" t="s">
        <v>52</v>
      </c>
      <c r="AE19" s="135" t="s">
        <v>53</v>
      </c>
      <c r="AF19" s="135" t="s">
        <v>52</v>
      </c>
      <c r="AG19" s="131" t="s">
        <v>26</v>
      </c>
    </row>
    <row r="20" spans="1:33">
      <c r="A20" s="133">
        <v>14</v>
      </c>
      <c r="B20" s="135" t="s">
        <v>54</v>
      </c>
      <c r="C20" s="138">
        <f>C6*C45</f>
        <v>8296</v>
      </c>
      <c r="D20" s="138">
        <f>SUM(C20:C20)</f>
        <v>8296</v>
      </c>
      <c r="O20" s="135" t="s">
        <v>54</v>
      </c>
      <c r="AE20" s="135" t="s">
        <v>55</v>
      </c>
      <c r="AF20" s="135" t="s">
        <v>54</v>
      </c>
    </row>
    <row r="21" spans="1:33">
      <c r="A21" s="133">
        <v>15</v>
      </c>
      <c r="B21" s="135" t="s">
        <v>56</v>
      </c>
      <c r="C21" s="145">
        <f>$D$21/$D$6*C6</f>
        <v>16333.333333333334</v>
      </c>
      <c r="D21" s="138">
        <f>项目投资!D27</f>
        <v>16333.333333333334</v>
      </c>
      <c r="O21" s="135" t="s">
        <v>56</v>
      </c>
      <c r="AE21" s="135"/>
      <c r="AF21" s="135"/>
    </row>
    <row r="22" spans="1:33">
      <c r="A22" s="133">
        <v>16</v>
      </c>
      <c r="B22" s="135" t="s">
        <v>57</v>
      </c>
      <c r="C22" s="138">
        <f>C6*C47</f>
        <v>7320</v>
      </c>
      <c r="D22" s="138">
        <f>SUM(C22:C22)</f>
        <v>7320</v>
      </c>
      <c r="O22" s="135" t="s">
        <v>57</v>
      </c>
      <c r="AE22" s="135" t="s">
        <v>58</v>
      </c>
      <c r="AF22" s="135" t="s">
        <v>57</v>
      </c>
    </row>
    <row r="23" spans="1:33" ht="15.6">
      <c r="A23" s="133">
        <v>17</v>
      </c>
      <c r="B23" s="140" t="s">
        <v>59</v>
      </c>
      <c r="C23" s="145">
        <f>+C22+C21+C20+C19+C17</f>
        <v>43661.333333333336</v>
      </c>
      <c r="D23" s="145">
        <f t="shared" ref="D23" si="2">+D22+D21+D20+D19+D17</f>
        <v>43661.333333333336</v>
      </c>
      <c r="O23" s="140" t="s">
        <v>59</v>
      </c>
      <c r="AE23" s="135" t="s">
        <v>60</v>
      </c>
      <c r="AF23" s="140" t="s">
        <v>59</v>
      </c>
    </row>
    <row r="24" spans="1:33">
      <c r="A24" s="133">
        <v>18</v>
      </c>
      <c r="B24" s="146" t="s">
        <v>61</v>
      </c>
      <c r="C24" s="145">
        <f>+C15-C23</f>
        <v>1991.4666666666672</v>
      </c>
      <c r="D24" s="145">
        <f t="shared" ref="D24" si="3">+D15-D23</f>
        <v>1991.4666666666672</v>
      </c>
      <c r="F24" s="147"/>
      <c r="O24" s="135" t="s">
        <v>61</v>
      </c>
      <c r="AE24" s="135" t="s">
        <v>62</v>
      </c>
      <c r="AF24" s="135" t="s">
        <v>61</v>
      </c>
    </row>
    <row r="25" spans="1:33">
      <c r="A25" s="133">
        <v>19</v>
      </c>
      <c r="B25" s="135" t="s">
        <v>157</v>
      </c>
      <c r="C25" s="145">
        <f>IF(C24&lt;0,0,C24*0.15)</f>
        <v>298.72000000000008</v>
      </c>
      <c r="D25" s="145">
        <f>IF(D24&lt;0,0,D24*0.15)</f>
        <v>298.72000000000008</v>
      </c>
      <c r="E25" s="2"/>
      <c r="F25" s="2"/>
      <c r="G25" s="2"/>
      <c r="O25" s="135" t="s">
        <v>63</v>
      </c>
      <c r="AE25" s="135" t="s">
        <v>64</v>
      </c>
      <c r="AF25" s="135" t="s">
        <v>63</v>
      </c>
    </row>
    <row r="26" spans="1:33">
      <c r="A26" s="133">
        <v>20</v>
      </c>
      <c r="B26" s="135" t="s">
        <v>65</v>
      </c>
      <c r="C26" s="145">
        <f t="shared" ref="C26" si="4">C24-C25</f>
        <v>1692.7466666666671</v>
      </c>
      <c r="D26" s="138">
        <f>D24-D25</f>
        <v>1692.7466666666671</v>
      </c>
      <c r="E26" s="2"/>
      <c r="F26" s="2"/>
      <c r="G26" s="2"/>
      <c r="O26" s="135" t="s">
        <v>65</v>
      </c>
      <c r="AE26" s="135" t="s">
        <v>66</v>
      </c>
      <c r="AF26" s="135" t="s">
        <v>65</v>
      </c>
    </row>
    <row r="27" spans="1:33">
      <c r="A27" s="133">
        <v>21</v>
      </c>
      <c r="B27" s="135" t="s">
        <v>69</v>
      </c>
      <c r="C27" s="148">
        <f>C26/C9</f>
        <v>6.9374863387978158E-3</v>
      </c>
      <c r="D27" s="148">
        <f>D26/D9</f>
        <v>6.9374863387978158E-3</v>
      </c>
      <c r="E27" s="2"/>
      <c r="F27" s="2"/>
      <c r="G27" s="2"/>
      <c r="O27" s="135" t="s">
        <v>69</v>
      </c>
      <c r="AE27" s="135" t="s">
        <v>68</v>
      </c>
      <c r="AF27" s="135" t="s">
        <v>69</v>
      </c>
    </row>
    <row r="28" spans="1:33">
      <c r="E28" s="2"/>
      <c r="F28" s="2"/>
      <c r="G28" s="2"/>
      <c r="O28" s="135"/>
    </row>
    <row r="29" spans="1:33">
      <c r="A29" s="131" t="s">
        <v>70</v>
      </c>
      <c r="D29" s="132" t="s">
        <v>19</v>
      </c>
      <c r="E29" s="2"/>
      <c r="F29" s="2"/>
      <c r="G29" s="2"/>
      <c r="O29" s="135"/>
      <c r="AE29" s="131" t="s">
        <v>70</v>
      </c>
    </row>
    <row r="30" spans="1:33" ht="15.6">
      <c r="A30" s="135" t="s">
        <v>71</v>
      </c>
      <c r="B30" s="140" t="s">
        <v>72</v>
      </c>
      <c r="C30" s="145"/>
      <c r="D30" s="145"/>
      <c r="E30" s="2"/>
      <c r="F30" s="2"/>
      <c r="G30" s="2"/>
      <c r="I30" s="2"/>
      <c r="O30" s="140" t="s">
        <v>72</v>
      </c>
      <c r="AE30" s="135" t="s">
        <v>73</v>
      </c>
      <c r="AF30" s="140" t="s">
        <v>72</v>
      </c>
    </row>
    <row r="31" spans="1:33">
      <c r="A31" s="133">
        <v>1</v>
      </c>
      <c r="B31" s="142" t="s">
        <v>74</v>
      </c>
      <c r="C31" s="149">
        <f>销量!C8</f>
        <v>1220</v>
      </c>
      <c r="D31" s="145"/>
      <c r="E31" s="2"/>
      <c r="F31" s="2"/>
      <c r="G31" s="2"/>
      <c r="I31" s="2"/>
      <c r="O31" s="135" t="s">
        <v>74</v>
      </c>
      <c r="AE31" s="135" t="s">
        <v>28</v>
      </c>
      <c r="AF31" s="135" t="s">
        <v>74</v>
      </c>
    </row>
    <row r="32" spans="1:33">
      <c r="A32" s="133">
        <v>2</v>
      </c>
      <c r="B32" s="135" t="s">
        <v>158</v>
      </c>
      <c r="C32" s="138">
        <f>C9/C6</f>
        <v>1220</v>
      </c>
      <c r="D32" s="145"/>
      <c r="E32" s="2"/>
      <c r="F32" s="2"/>
      <c r="G32" s="2"/>
      <c r="H32" s="2"/>
      <c r="I32" s="2"/>
      <c r="J32" s="2"/>
      <c r="K32" s="2"/>
      <c r="AE32" s="135"/>
      <c r="AF32" s="135"/>
    </row>
    <row r="33" spans="1:32" ht="15.6">
      <c r="A33" s="133">
        <v>3</v>
      </c>
      <c r="B33" s="142" t="s">
        <v>75</v>
      </c>
      <c r="C33" s="49">
        <f>材料成本!E20</f>
        <v>859</v>
      </c>
      <c r="D33" s="145"/>
      <c r="F33" s="2"/>
      <c r="G33" s="2"/>
      <c r="H33" s="2"/>
      <c r="I33" s="2"/>
      <c r="J33" s="2"/>
      <c r="K33" s="2"/>
      <c r="O33" s="135" t="s">
        <v>75</v>
      </c>
      <c r="AE33" s="135" t="s">
        <v>30</v>
      </c>
      <c r="AF33" s="135" t="s">
        <v>75</v>
      </c>
    </row>
    <row r="34" spans="1:32" ht="17.25" customHeight="1">
      <c r="A34" s="133">
        <v>4</v>
      </c>
      <c r="B34" s="135" t="s">
        <v>77</v>
      </c>
      <c r="C34" s="150">
        <f>C32-C33</f>
        <v>361</v>
      </c>
      <c r="D34" s="145"/>
      <c r="F34" s="2"/>
      <c r="G34" s="2"/>
      <c r="H34" s="2"/>
      <c r="I34" s="2"/>
      <c r="J34" s="2"/>
      <c r="K34" s="2"/>
      <c r="O34" s="135" t="s">
        <v>77</v>
      </c>
      <c r="AE34" s="135" t="s">
        <v>76</v>
      </c>
      <c r="AF34" s="135" t="s">
        <v>77</v>
      </c>
    </row>
    <row r="35" spans="1:32" ht="15.6">
      <c r="A35" s="135" t="s">
        <v>73</v>
      </c>
      <c r="B35" s="140" t="s">
        <v>10</v>
      </c>
      <c r="C35" s="145"/>
      <c r="D35" s="145"/>
      <c r="E35" s="2"/>
      <c r="F35" s="2"/>
      <c r="G35" s="2"/>
      <c r="H35" s="2"/>
      <c r="I35" s="2"/>
      <c r="J35" s="2"/>
      <c r="K35" s="2"/>
      <c r="L35" s="2"/>
      <c r="M35" s="2"/>
      <c r="N35" s="2"/>
      <c r="O35" s="140" t="s">
        <v>10</v>
      </c>
      <c r="AE35" s="135" t="s">
        <v>79</v>
      </c>
      <c r="AF35" s="140" t="s">
        <v>10</v>
      </c>
    </row>
    <row r="36" spans="1:32">
      <c r="A36" s="133">
        <v>1</v>
      </c>
      <c r="B36" s="135" t="s">
        <v>80</v>
      </c>
      <c r="C36" s="143">
        <f>标准成本!D4</f>
        <v>52.582000000000001</v>
      </c>
      <c r="D36" s="149"/>
      <c r="E36" s="2"/>
      <c r="F36" s="2"/>
      <c r="G36" s="2"/>
      <c r="H36" s="2"/>
      <c r="I36" s="2"/>
      <c r="J36" s="2"/>
      <c r="K36" s="2"/>
      <c r="L36" s="2"/>
      <c r="M36" s="2"/>
      <c r="N36" s="2"/>
      <c r="O36" s="135" t="s">
        <v>80</v>
      </c>
      <c r="AE36" s="135" t="s">
        <v>76</v>
      </c>
      <c r="AF36" s="135" t="s">
        <v>80</v>
      </c>
    </row>
    <row r="37" spans="1:32">
      <c r="A37" s="133">
        <v>2</v>
      </c>
      <c r="B37" s="135" t="s">
        <v>81</v>
      </c>
      <c r="C37" s="143">
        <f>标准成本!D6</f>
        <v>26.474</v>
      </c>
      <c r="D37" s="149"/>
      <c r="E37" s="2"/>
      <c r="F37" s="2"/>
      <c r="G37" s="2"/>
      <c r="H37" s="2"/>
      <c r="I37" s="2"/>
      <c r="J37" s="2"/>
      <c r="K37" s="2"/>
      <c r="L37" s="2"/>
      <c r="M37" s="2"/>
      <c r="N37" s="2"/>
      <c r="O37" s="135" t="s">
        <v>81</v>
      </c>
      <c r="AE37" s="135" t="s">
        <v>33</v>
      </c>
      <c r="AF37" s="135" t="s">
        <v>81</v>
      </c>
    </row>
    <row r="38" spans="1:32">
      <c r="A38" s="133">
        <v>3</v>
      </c>
      <c r="B38" s="135" t="s">
        <v>82</v>
      </c>
      <c r="C38" s="143">
        <f>标准成本!D10</f>
        <v>53.68</v>
      </c>
      <c r="D38" s="149"/>
      <c r="E38" s="2"/>
      <c r="F38" s="2"/>
      <c r="G38" s="2"/>
      <c r="H38" s="2"/>
      <c r="I38" s="2"/>
      <c r="J38" s="2"/>
      <c r="K38" s="2"/>
      <c r="L38" s="2"/>
      <c r="M38" s="2"/>
      <c r="N38" s="2"/>
      <c r="O38" s="135" t="s">
        <v>82</v>
      </c>
      <c r="AE38" s="135" t="s">
        <v>39</v>
      </c>
      <c r="AF38" s="135" t="s">
        <v>82</v>
      </c>
    </row>
    <row r="39" spans="1:32" ht="15.6">
      <c r="A39" s="135" t="s">
        <v>79</v>
      </c>
      <c r="B39" s="140" t="s">
        <v>84</v>
      </c>
      <c r="C39" s="145"/>
      <c r="D39" s="145"/>
      <c r="O39" s="140" t="s">
        <v>84</v>
      </c>
      <c r="AE39" s="135" t="s">
        <v>83</v>
      </c>
      <c r="AF39" s="140" t="s">
        <v>84</v>
      </c>
    </row>
    <row r="40" spans="1:32">
      <c r="A40" s="133">
        <v>1</v>
      </c>
      <c r="B40" s="135" t="s">
        <v>85</v>
      </c>
      <c r="C40" s="145">
        <f>C34-C36-C37-C38</f>
        <v>228.26400000000001</v>
      </c>
      <c r="D40" s="145"/>
      <c r="O40" s="135" t="s">
        <v>85</v>
      </c>
      <c r="AE40" s="135" t="s">
        <v>28</v>
      </c>
      <c r="AF40" s="135" t="s">
        <v>85</v>
      </c>
    </row>
    <row r="41" spans="1:32">
      <c r="A41" s="133">
        <v>2</v>
      </c>
      <c r="B41" s="135" t="s">
        <v>86</v>
      </c>
      <c r="C41" s="145"/>
      <c r="D41" s="145"/>
      <c r="O41" s="135" t="s">
        <v>86</v>
      </c>
      <c r="AE41" s="135" t="s">
        <v>30</v>
      </c>
      <c r="AF41" s="135" t="s">
        <v>86</v>
      </c>
    </row>
    <row r="42" spans="1:32" ht="15.6">
      <c r="A42" s="135" t="s">
        <v>83</v>
      </c>
      <c r="B42" s="140" t="s">
        <v>88</v>
      </c>
      <c r="C42" s="145"/>
      <c r="D42" s="145"/>
      <c r="O42" s="140" t="s">
        <v>88</v>
      </c>
      <c r="AE42" s="135" t="s">
        <v>87</v>
      </c>
      <c r="AF42" s="140" t="s">
        <v>88</v>
      </c>
    </row>
    <row r="43" spans="1:32">
      <c r="A43" s="133">
        <v>1</v>
      </c>
      <c r="B43" s="146" t="s">
        <v>89</v>
      </c>
      <c r="C43" s="143">
        <f>标准成本!D5</f>
        <v>50.02</v>
      </c>
      <c r="D43" s="145"/>
      <c r="O43" s="135" t="s">
        <v>89</v>
      </c>
      <c r="AE43" s="135" t="s">
        <v>28</v>
      </c>
      <c r="AF43" s="135" t="s">
        <v>89</v>
      </c>
    </row>
    <row r="44" spans="1:32">
      <c r="A44" s="133">
        <v>2</v>
      </c>
      <c r="B44" s="146" t="s">
        <v>90</v>
      </c>
      <c r="C44" s="143">
        <f>标准成本!D9</f>
        <v>8.5399999999999991</v>
      </c>
      <c r="D44" s="145"/>
      <c r="O44" s="135" t="s">
        <v>90</v>
      </c>
      <c r="AE44" s="135" t="s">
        <v>30</v>
      </c>
      <c r="AF44" s="135" t="s">
        <v>90</v>
      </c>
    </row>
    <row r="45" spans="1:32">
      <c r="A45" s="133">
        <v>3</v>
      </c>
      <c r="B45" s="146" t="s">
        <v>91</v>
      </c>
      <c r="C45" s="143">
        <f>标准成本!D8</f>
        <v>41.48</v>
      </c>
      <c r="D45" s="145"/>
      <c r="O45" s="135" t="s">
        <v>91</v>
      </c>
      <c r="AE45" s="135" t="s">
        <v>76</v>
      </c>
      <c r="AF45" s="135" t="s">
        <v>91</v>
      </c>
    </row>
    <row r="46" spans="1:32" s="130" customFormat="1">
      <c r="A46" s="133">
        <v>4</v>
      </c>
      <c r="B46" s="146" t="s">
        <v>92</v>
      </c>
      <c r="C46" s="151">
        <f>C21/C6</f>
        <v>81.666666666666671</v>
      </c>
      <c r="D46" s="151"/>
      <c r="O46" s="146" t="s">
        <v>94</v>
      </c>
      <c r="AE46" s="146" t="s">
        <v>36</v>
      </c>
      <c r="AF46" s="146" t="s">
        <v>94</v>
      </c>
    </row>
    <row r="47" spans="1:32" s="130" customFormat="1">
      <c r="A47" s="133">
        <v>5</v>
      </c>
      <c r="B47" s="146" t="s">
        <v>94</v>
      </c>
      <c r="C47" s="151">
        <f>标准成本!D11</f>
        <v>36.6</v>
      </c>
      <c r="D47" s="151"/>
      <c r="O47" s="146" t="s">
        <v>94</v>
      </c>
      <c r="AE47" s="146" t="s">
        <v>36</v>
      </c>
      <c r="AF47" s="146" t="s">
        <v>94</v>
      </c>
    </row>
    <row r="48" spans="1:32" ht="15.6">
      <c r="A48" s="135" t="s">
        <v>87</v>
      </c>
      <c r="B48" s="140" t="s">
        <v>105</v>
      </c>
      <c r="C48" s="145">
        <f>C40-C43-C44-C45-C47-C46</f>
        <v>9.9573333333333522</v>
      </c>
      <c r="D48" s="145"/>
      <c r="O48" s="140" t="s">
        <v>105</v>
      </c>
      <c r="AE48" s="135" t="s">
        <v>104</v>
      </c>
      <c r="AF48" s="140" t="s">
        <v>105</v>
      </c>
    </row>
    <row r="51" spans="2:9">
      <c r="C51" s="152"/>
    </row>
    <row r="54" spans="2:9">
      <c r="B54" s="2"/>
      <c r="C54" s="20"/>
      <c r="D54" s="20"/>
      <c r="E54" s="2"/>
      <c r="F54" s="2"/>
      <c r="G54" s="2"/>
      <c r="H54" s="2"/>
      <c r="I54" s="2"/>
    </row>
    <row r="55" spans="2:9">
      <c r="B55" s="2"/>
      <c r="C55" s="20"/>
      <c r="D55" s="20"/>
      <c r="E55" s="2"/>
      <c r="F55" s="2"/>
      <c r="G55" s="2"/>
      <c r="H55" s="2"/>
      <c r="I55" s="2"/>
    </row>
    <row r="56" spans="2:9">
      <c r="B56" s="2"/>
      <c r="C56" s="20"/>
      <c r="D56" s="20"/>
      <c r="E56" s="2"/>
      <c r="F56" s="2"/>
      <c r="G56" s="2"/>
      <c r="H56" s="2"/>
      <c r="I56" s="2"/>
    </row>
    <row r="57" spans="2:9">
      <c r="B57" s="2"/>
      <c r="C57" s="20"/>
      <c r="D57" s="20"/>
      <c r="E57" s="2"/>
      <c r="F57" s="2"/>
      <c r="G57" s="2"/>
      <c r="H57" s="2"/>
      <c r="I57" s="2"/>
    </row>
    <row r="58" spans="2:9">
      <c r="B58" s="2"/>
      <c r="C58" s="20"/>
      <c r="D58" s="20"/>
      <c r="E58" s="2"/>
      <c r="F58" s="2"/>
      <c r="G58" s="2"/>
      <c r="H58" s="2"/>
      <c r="I58" s="2"/>
    </row>
    <row r="59" spans="2:9">
      <c r="B59" s="2"/>
      <c r="C59" s="20"/>
      <c r="D59" s="20"/>
      <c r="E59" s="2"/>
      <c r="F59" s="2"/>
      <c r="G59" s="2"/>
      <c r="H59" s="2"/>
      <c r="I59" s="2"/>
    </row>
    <row r="60" spans="2:9">
      <c r="B60" s="2"/>
      <c r="C60" s="20"/>
      <c r="D60" s="20"/>
      <c r="E60" s="2"/>
      <c r="F60" s="2"/>
      <c r="G60" s="2"/>
      <c r="H60" s="2"/>
      <c r="I60" s="2"/>
    </row>
    <row r="61" spans="2:9">
      <c r="B61" s="2"/>
      <c r="C61" s="20"/>
      <c r="D61" s="20"/>
      <c r="E61" s="2"/>
      <c r="F61" s="2"/>
      <c r="G61" s="2"/>
      <c r="H61" s="2"/>
      <c r="I61" s="2"/>
    </row>
    <row r="62" spans="2:9">
      <c r="B62" s="2"/>
      <c r="C62" s="20"/>
      <c r="D62" s="20"/>
      <c r="E62" s="2"/>
      <c r="F62" s="2"/>
      <c r="G62" s="2"/>
      <c r="H62" s="2"/>
      <c r="I62" s="2"/>
    </row>
    <row r="63" spans="2:9">
      <c r="B63" s="2"/>
      <c r="C63" s="20"/>
      <c r="D63" s="20"/>
      <c r="E63" s="2"/>
      <c r="F63" s="2"/>
      <c r="G63" s="2"/>
      <c r="H63" s="2"/>
      <c r="I63" s="2"/>
    </row>
    <row r="64" spans="2:9">
      <c r="B64" s="2"/>
      <c r="C64" s="20"/>
      <c r="D64" s="20"/>
      <c r="E64" s="2"/>
      <c r="F64" s="2"/>
      <c r="G64" s="2"/>
      <c r="H64" s="2"/>
      <c r="I64" s="2"/>
    </row>
    <row r="65" spans="2:9">
      <c r="B65" s="2"/>
      <c r="C65" s="20"/>
      <c r="D65" s="20"/>
      <c r="E65" s="2"/>
      <c r="F65" s="2"/>
      <c r="G65" s="2"/>
      <c r="H65" s="2"/>
      <c r="I65" s="2"/>
    </row>
    <row r="66" spans="2:9">
      <c r="B66" s="2"/>
      <c r="C66" s="20"/>
      <c r="D66" s="20"/>
      <c r="E66" s="2"/>
      <c r="F66" s="2"/>
      <c r="G66" s="2"/>
      <c r="H66" s="2"/>
      <c r="I66" s="2"/>
    </row>
    <row r="67" spans="2:9">
      <c r="B67" s="2"/>
      <c r="C67" s="20"/>
      <c r="D67" s="20"/>
      <c r="E67" s="2"/>
    </row>
    <row r="68" spans="2:9">
      <c r="B68" s="2"/>
      <c r="C68" s="20"/>
      <c r="D68" s="20"/>
      <c r="E68" s="2"/>
    </row>
    <row r="69" spans="2:9">
      <c r="B69" s="2"/>
      <c r="C69" s="20"/>
      <c r="D69" s="20"/>
      <c r="E69" s="2"/>
    </row>
    <row r="70" spans="2:9">
      <c r="B70" s="2"/>
      <c r="C70" s="20"/>
      <c r="D70" s="20"/>
      <c r="E70" s="2"/>
    </row>
    <row r="71" spans="2:9">
      <c r="B71" s="2"/>
      <c r="C71" s="20"/>
      <c r="D71" s="20"/>
      <c r="E71" s="2"/>
    </row>
    <row r="72" spans="2:9">
      <c r="B72" s="2"/>
      <c r="C72" s="20"/>
      <c r="D72" s="20"/>
      <c r="E72" s="2"/>
    </row>
    <row r="73" spans="2:9">
      <c r="B73" s="2"/>
      <c r="C73" s="20"/>
      <c r="D73" s="20"/>
      <c r="E73" s="2"/>
    </row>
    <row r="74" spans="2:9">
      <c r="B74" s="2"/>
      <c r="C74" s="20"/>
      <c r="D74" s="20"/>
      <c r="E74" s="2"/>
    </row>
  </sheetData>
  <mergeCells count="8">
    <mergeCell ref="A4:B4"/>
    <mergeCell ref="A5:B5"/>
    <mergeCell ref="D3:D5"/>
    <mergeCell ref="A1:B1"/>
    <mergeCell ref="C1:D1"/>
    <mergeCell ref="A2:B2"/>
    <mergeCell ref="C2:D2"/>
    <mergeCell ref="A3:B3"/>
  </mergeCells>
  <phoneticPr fontId="5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workbookViewId="0">
      <pane xSplit="2" ySplit="7" topLeftCell="C35" activePane="bottomRight" state="frozen"/>
      <selection pane="topRight"/>
      <selection pane="bottomLeft"/>
      <selection pane="bottomRight" activeCell="C3" sqref="C3"/>
    </sheetView>
  </sheetViews>
  <sheetFormatPr defaultColWidth="9" defaultRowHeight="15"/>
  <cols>
    <col min="1" max="1" width="5.109375" style="131" customWidth="1"/>
    <col min="2" max="2" width="17.44140625" style="131" customWidth="1"/>
    <col min="3" max="3" width="17.6640625" style="132" customWidth="1"/>
    <col min="4" max="4" width="18.77734375" style="132" customWidth="1"/>
    <col min="5" max="5" width="12.33203125" style="131" customWidth="1"/>
    <col min="6" max="6" width="10.109375" style="131" customWidth="1"/>
    <col min="7" max="12" width="9" style="131" customWidth="1"/>
    <col min="13" max="25" width="9" style="131"/>
    <col min="26" max="26" width="4.33203125" style="131" customWidth="1"/>
    <col min="27" max="27" width="13.88671875" style="131" customWidth="1"/>
    <col min="28" max="16384" width="9" style="131"/>
  </cols>
  <sheetData>
    <row r="1" spans="1:28">
      <c r="A1" s="240" t="s">
        <v>145</v>
      </c>
      <c r="B1" s="240"/>
      <c r="C1" s="244" t="s">
        <v>159</v>
      </c>
      <c r="D1" s="245"/>
    </row>
    <row r="2" spans="1:28">
      <c r="A2" s="240" t="s">
        <v>147</v>
      </c>
      <c r="B2" s="240"/>
      <c r="C2" s="247" t="str">
        <f>'2024年'!C2:D2</f>
        <v>中国重汽济宁商用车有限公司</v>
      </c>
      <c r="D2" s="248"/>
    </row>
    <row r="3" spans="1:28" ht="15.6">
      <c r="A3" s="240" t="s">
        <v>148</v>
      </c>
      <c r="B3" s="240"/>
      <c r="C3" s="64" t="s">
        <v>149</v>
      </c>
      <c r="D3" s="241" t="s">
        <v>24</v>
      </c>
    </row>
    <row r="4" spans="1:28" ht="16.5" customHeight="1">
      <c r="A4" s="240" t="s">
        <v>150</v>
      </c>
      <c r="B4" s="240"/>
      <c r="C4" s="68" t="s">
        <v>151</v>
      </c>
      <c r="D4" s="242"/>
    </row>
    <row r="5" spans="1:28">
      <c r="A5" s="240" t="s">
        <v>152</v>
      </c>
      <c r="B5" s="240"/>
      <c r="C5" s="134" t="s">
        <v>153</v>
      </c>
      <c r="D5" s="243"/>
      <c r="AB5" s="131" t="s">
        <v>25</v>
      </c>
    </row>
    <row r="6" spans="1:28" ht="17.399999999999999">
      <c r="A6" s="135" t="s">
        <v>20</v>
      </c>
      <c r="B6" s="136" t="s">
        <v>154</v>
      </c>
      <c r="C6" s="137">
        <f>销量!C10</f>
        <v>300</v>
      </c>
      <c r="D6" s="138">
        <f>SUM(C6:C6)</f>
        <v>300</v>
      </c>
      <c r="Z6" s="135" t="s">
        <v>20</v>
      </c>
      <c r="AA6" s="136" t="s">
        <v>3</v>
      </c>
      <c r="AB6" s="131" t="s">
        <v>26</v>
      </c>
    </row>
    <row r="7" spans="1:28" ht="15.6">
      <c r="A7" s="133">
        <v>1</v>
      </c>
      <c r="B7" s="136" t="s">
        <v>27</v>
      </c>
      <c r="C7" s="138">
        <f>C6*销量!C8</f>
        <v>366000</v>
      </c>
      <c r="D7" s="138">
        <f t="shared" ref="D7:D17" si="0">SUM(C7:C7)</f>
        <v>366000</v>
      </c>
      <c r="E7" s="132"/>
      <c r="Z7" s="135" t="s">
        <v>28</v>
      </c>
      <c r="AA7" s="136" t="s">
        <v>27</v>
      </c>
      <c r="AB7" s="131" t="s">
        <v>26</v>
      </c>
    </row>
    <row r="8" spans="1:28">
      <c r="A8" s="133">
        <v>2</v>
      </c>
      <c r="B8" s="133" t="s">
        <v>29</v>
      </c>
      <c r="C8" s="138">
        <f>C7*(1-销量!$O$8)</f>
        <v>14640</v>
      </c>
      <c r="D8" s="138">
        <f t="shared" si="0"/>
        <v>14640</v>
      </c>
      <c r="E8" s="139"/>
      <c r="Z8" s="135" t="s">
        <v>30</v>
      </c>
      <c r="AA8" s="133" t="s">
        <v>31</v>
      </c>
      <c r="AB8" s="131" t="s">
        <v>26</v>
      </c>
    </row>
    <row r="9" spans="1:28" ht="15.6">
      <c r="A9" s="133">
        <v>3</v>
      </c>
      <c r="B9" s="136" t="s">
        <v>32</v>
      </c>
      <c r="C9" s="138">
        <f>+C7-C8</f>
        <v>351360</v>
      </c>
      <c r="D9" s="138">
        <f t="shared" si="0"/>
        <v>351360</v>
      </c>
      <c r="Z9" s="135" t="s">
        <v>33</v>
      </c>
      <c r="AA9" s="136" t="s">
        <v>32</v>
      </c>
      <c r="AB9" s="131" t="s">
        <v>34</v>
      </c>
    </row>
    <row r="10" spans="1:28">
      <c r="A10" s="133">
        <v>4</v>
      </c>
      <c r="B10" s="135" t="s">
        <v>35</v>
      </c>
      <c r="C10" s="138">
        <f>C6*C33</f>
        <v>247392</v>
      </c>
      <c r="D10" s="138">
        <f t="shared" si="0"/>
        <v>247392</v>
      </c>
      <c r="Z10" s="135" t="s">
        <v>36</v>
      </c>
      <c r="AA10" s="135" t="s">
        <v>35</v>
      </c>
      <c r="AB10" s="131" t="s">
        <v>37</v>
      </c>
    </row>
    <row r="11" spans="1:28">
      <c r="A11" s="133">
        <v>5</v>
      </c>
      <c r="B11" s="135" t="s">
        <v>38</v>
      </c>
      <c r="C11" s="138">
        <f>+C6*C36</f>
        <v>15774.6</v>
      </c>
      <c r="D11" s="138">
        <f t="shared" si="0"/>
        <v>15774.6</v>
      </c>
      <c r="Z11" s="135" t="s">
        <v>39</v>
      </c>
      <c r="AA11" s="135" t="s">
        <v>38</v>
      </c>
    </row>
    <row r="12" spans="1:28">
      <c r="A12" s="133">
        <v>6</v>
      </c>
      <c r="B12" s="135" t="s">
        <v>40</v>
      </c>
      <c r="C12" s="138">
        <f>+C6*C37</f>
        <v>7942.2</v>
      </c>
      <c r="D12" s="138">
        <f t="shared" si="0"/>
        <v>7942.2</v>
      </c>
      <c r="Z12" s="135" t="s">
        <v>41</v>
      </c>
      <c r="AA12" s="135" t="s">
        <v>40</v>
      </c>
    </row>
    <row r="13" spans="1:28">
      <c r="A13" s="133">
        <v>7</v>
      </c>
      <c r="B13" s="135" t="s">
        <v>42</v>
      </c>
      <c r="C13" s="138">
        <f>+C6*C38</f>
        <v>16104</v>
      </c>
      <c r="D13" s="138">
        <f t="shared" si="0"/>
        <v>16104</v>
      </c>
      <c r="Z13" s="135" t="s">
        <v>43</v>
      </c>
      <c r="AA13" s="135" t="s">
        <v>42</v>
      </c>
      <c r="AB13" s="131" t="s">
        <v>26</v>
      </c>
    </row>
    <row r="14" spans="1:28" ht="15.6">
      <c r="A14" s="133">
        <v>8</v>
      </c>
      <c r="B14" s="140" t="s">
        <v>44</v>
      </c>
      <c r="C14" s="138">
        <f>SUM(C11:C13)</f>
        <v>39820.800000000003</v>
      </c>
      <c r="D14" s="138">
        <f t="shared" si="0"/>
        <v>39820.800000000003</v>
      </c>
      <c r="Z14" s="135" t="s">
        <v>45</v>
      </c>
      <c r="AA14" s="140" t="s">
        <v>44</v>
      </c>
    </row>
    <row r="15" spans="1:28" ht="15.6">
      <c r="A15" s="133">
        <v>9</v>
      </c>
      <c r="B15" s="140" t="s">
        <v>46</v>
      </c>
      <c r="C15" s="138">
        <f>+C9-C10-C14</f>
        <v>64147.199999999997</v>
      </c>
      <c r="D15" s="138">
        <f t="shared" si="0"/>
        <v>64147.199999999997</v>
      </c>
      <c r="Z15" s="135" t="s">
        <v>47</v>
      </c>
      <c r="AA15" s="140" t="s">
        <v>46</v>
      </c>
    </row>
    <row r="16" spans="1:28">
      <c r="A16" s="133">
        <v>10</v>
      </c>
      <c r="B16" s="135" t="s">
        <v>48</v>
      </c>
      <c r="C16" s="141">
        <f>+C15/C9</f>
        <v>0.18256830601092899</v>
      </c>
      <c r="D16" s="141">
        <f t="shared" ref="D16" si="1">+D15/D9</f>
        <v>0.18256830601092899</v>
      </c>
      <c r="Z16" s="135" t="s">
        <v>49</v>
      </c>
      <c r="AA16" s="135" t="s">
        <v>48</v>
      </c>
    </row>
    <row r="17" spans="1:28">
      <c r="A17" s="133">
        <v>11</v>
      </c>
      <c r="B17" s="135" t="s">
        <v>50</v>
      </c>
      <c r="C17" s="138">
        <f>C6*C43+C18</f>
        <v>15006</v>
      </c>
      <c r="D17" s="138">
        <f t="shared" si="0"/>
        <v>15006</v>
      </c>
      <c r="E17" s="139"/>
      <c r="Z17" s="135" t="s">
        <v>51</v>
      </c>
      <c r="AA17" s="135" t="s">
        <v>50</v>
      </c>
    </row>
    <row r="18" spans="1:28" s="129" customFormat="1">
      <c r="A18" s="133">
        <v>12</v>
      </c>
      <c r="B18" s="142" t="s">
        <v>155</v>
      </c>
      <c r="C18" s="143">
        <f>$D$18/$D$6*C6</f>
        <v>0</v>
      </c>
      <c r="D18" s="143">
        <f>项目投资!D26</f>
        <v>0</v>
      </c>
      <c r="E18" s="144" t="s">
        <v>156</v>
      </c>
      <c r="F18" s="144"/>
      <c r="G18" s="144"/>
    </row>
    <row r="19" spans="1:28">
      <c r="A19" s="133">
        <v>13</v>
      </c>
      <c r="B19" s="135" t="s">
        <v>52</v>
      </c>
      <c r="C19" s="138">
        <f>C6*C44</f>
        <v>2562</v>
      </c>
      <c r="D19" s="138">
        <f>SUM(C19:C19)</f>
        <v>2562</v>
      </c>
      <c r="E19" s="129"/>
      <c r="Z19" s="135" t="s">
        <v>53</v>
      </c>
      <c r="AA19" s="135" t="s">
        <v>52</v>
      </c>
      <c r="AB19" s="131" t="s">
        <v>26</v>
      </c>
    </row>
    <row r="20" spans="1:28">
      <c r="A20" s="133">
        <v>14</v>
      </c>
      <c r="B20" s="135" t="s">
        <v>54</v>
      </c>
      <c r="C20" s="138">
        <f>C6*C45</f>
        <v>12444</v>
      </c>
      <c r="D20" s="138">
        <f>SUM(C20:C20)</f>
        <v>12444</v>
      </c>
      <c r="Z20" s="135" t="s">
        <v>55</v>
      </c>
      <c r="AA20" s="135" t="s">
        <v>54</v>
      </c>
    </row>
    <row r="21" spans="1:28">
      <c r="A21" s="133">
        <v>15</v>
      </c>
      <c r="B21" s="135" t="s">
        <v>56</v>
      </c>
      <c r="C21" s="145">
        <f>$D$21/$D$6*C6</f>
        <v>16333.333333333336</v>
      </c>
      <c r="D21" s="138">
        <f>项目投资!E27</f>
        <v>16333.333333333334</v>
      </c>
      <c r="Z21" s="135"/>
      <c r="AA21" s="135"/>
    </row>
    <row r="22" spans="1:28">
      <c r="A22" s="133">
        <v>16</v>
      </c>
      <c r="B22" s="135" t="s">
        <v>57</v>
      </c>
      <c r="C22" s="138">
        <f>C6*C47</f>
        <v>10980</v>
      </c>
      <c r="D22" s="138">
        <f>SUM(C22:C22)</f>
        <v>10980</v>
      </c>
      <c r="Z22" s="135" t="s">
        <v>58</v>
      </c>
      <c r="AA22" s="135" t="s">
        <v>57</v>
      </c>
    </row>
    <row r="23" spans="1:28" ht="15.6">
      <c r="A23" s="133">
        <v>17</v>
      </c>
      <c r="B23" s="140" t="s">
        <v>59</v>
      </c>
      <c r="C23" s="145">
        <f>+C22+C21+C20+C19+C17</f>
        <v>57325.333333333336</v>
      </c>
      <c r="D23" s="145">
        <f t="shared" ref="D23" si="2">+D22+D21+D20+D19+D17</f>
        <v>57325.333333333336</v>
      </c>
      <c r="Z23" s="135" t="s">
        <v>60</v>
      </c>
      <c r="AA23" s="140" t="s">
        <v>59</v>
      </c>
    </row>
    <row r="24" spans="1:28">
      <c r="A24" s="133">
        <v>18</v>
      </c>
      <c r="B24" s="146" t="s">
        <v>61</v>
      </c>
      <c r="C24" s="145">
        <f>+C15-C23</f>
        <v>6821.8666666666613</v>
      </c>
      <c r="D24" s="145">
        <f t="shared" ref="D24" si="3">+D15-D23</f>
        <v>6821.8666666666613</v>
      </c>
      <c r="F24" s="147"/>
      <c r="Z24" s="135" t="s">
        <v>62</v>
      </c>
      <c r="AA24" s="135" t="s">
        <v>61</v>
      </c>
    </row>
    <row r="25" spans="1:28">
      <c r="A25" s="133">
        <v>19</v>
      </c>
      <c r="B25" s="135" t="s">
        <v>160</v>
      </c>
      <c r="C25" s="145">
        <f>IF(C24&lt;0,0,C24*0.15)</f>
        <v>1023.2799999999992</v>
      </c>
      <c r="D25" s="145">
        <f>IF(D24&lt;0,0,D24*0.15)</f>
        <v>1023.2799999999992</v>
      </c>
      <c r="E25" s="2"/>
      <c r="F25" s="2"/>
      <c r="G25" s="2"/>
      <c r="Z25" s="135" t="s">
        <v>64</v>
      </c>
      <c r="AA25" s="135" t="s">
        <v>63</v>
      </c>
    </row>
    <row r="26" spans="1:28">
      <c r="A26" s="133">
        <v>20</v>
      </c>
      <c r="B26" s="135" t="s">
        <v>65</v>
      </c>
      <c r="C26" s="145">
        <f t="shared" ref="C26" si="4">C24-C25</f>
        <v>5798.5866666666625</v>
      </c>
      <c r="D26" s="138">
        <f>+SUM(C26:C26)</f>
        <v>5798.5866666666625</v>
      </c>
      <c r="E26" s="2"/>
      <c r="F26" s="2"/>
      <c r="G26" s="2"/>
      <c r="Z26" s="135" t="s">
        <v>66</v>
      </c>
      <c r="AA26" s="135" t="s">
        <v>65</v>
      </c>
    </row>
    <row r="27" spans="1:28">
      <c r="A27" s="133">
        <v>21</v>
      </c>
      <c r="B27" s="135" t="s">
        <v>69</v>
      </c>
      <c r="C27" s="148">
        <f>C26/C9</f>
        <v>1.6503263509411038E-2</v>
      </c>
      <c r="D27" s="148">
        <f>D26/D9</f>
        <v>1.6503263509411038E-2</v>
      </c>
      <c r="E27" s="2"/>
      <c r="F27" s="2"/>
      <c r="G27" s="2"/>
      <c r="Z27" s="135" t="s">
        <v>68</v>
      </c>
      <c r="AA27" s="135" t="s">
        <v>69</v>
      </c>
    </row>
    <row r="28" spans="1:28">
      <c r="E28" s="2"/>
      <c r="F28" s="2"/>
      <c r="G28" s="2"/>
    </row>
    <row r="29" spans="1:28">
      <c r="A29" s="131" t="s">
        <v>70</v>
      </c>
      <c r="D29" s="132" t="s">
        <v>19</v>
      </c>
      <c r="E29" s="2"/>
      <c r="F29" s="2"/>
      <c r="G29" s="2"/>
      <c r="Z29" s="131" t="s">
        <v>70</v>
      </c>
    </row>
    <row r="30" spans="1:28" ht="15.6">
      <c r="A30" s="135" t="s">
        <v>71</v>
      </c>
      <c r="B30" s="140" t="s">
        <v>72</v>
      </c>
      <c r="C30" s="145"/>
      <c r="D30" s="145"/>
      <c r="E30" s="2"/>
      <c r="F30" s="2"/>
      <c r="G30" s="2"/>
      <c r="I30" s="2"/>
      <c r="Z30" s="135" t="s">
        <v>73</v>
      </c>
      <c r="AA30" s="140" t="s">
        <v>72</v>
      </c>
    </row>
    <row r="31" spans="1:28">
      <c r="A31" s="133">
        <v>1</v>
      </c>
      <c r="B31" s="142" t="s">
        <v>74</v>
      </c>
      <c r="C31" s="149">
        <f>销量!P8</f>
        <v>1171.2</v>
      </c>
      <c r="D31" s="145"/>
      <c r="E31" s="2"/>
      <c r="F31" s="2"/>
      <c r="G31" s="2"/>
      <c r="I31" s="2"/>
      <c r="Z31" s="135" t="s">
        <v>28</v>
      </c>
      <c r="AA31" s="135" t="s">
        <v>74</v>
      </c>
    </row>
    <row r="32" spans="1:28">
      <c r="A32" s="133">
        <v>2</v>
      </c>
      <c r="B32" s="135" t="s">
        <v>158</v>
      </c>
      <c r="C32" s="138">
        <f>C9/C6</f>
        <v>1171.2</v>
      </c>
      <c r="D32" s="145"/>
      <c r="E32" s="2"/>
      <c r="F32" s="2"/>
      <c r="G32" s="2"/>
      <c r="H32" s="2"/>
      <c r="I32" s="2"/>
      <c r="J32" s="2"/>
      <c r="K32" s="2"/>
      <c r="Z32" s="135"/>
      <c r="AA32" s="135"/>
    </row>
    <row r="33" spans="1:27">
      <c r="A33" s="133">
        <v>3</v>
      </c>
      <c r="B33" s="142" t="s">
        <v>75</v>
      </c>
      <c r="C33" s="138">
        <f>材料成本!F20</f>
        <v>824.64</v>
      </c>
      <c r="D33" s="145"/>
      <c r="F33" s="2"/>
      <c r="G33" s="2"/>
      <c r="H33" s="2"/>
      <c r="I33" s="2"/>
      <c r="J33" s="2"/>
      <c r="K33" s="2"/>
      <c r="Z33" s="135" t="s">
        <v>30</v>
      </c>
      <c r="AA33" s="135" t="s">
        <v>75</v>
      </c>
    </row>
    <row r="34" spans="1:27" ht="17.25" customHeight="1">
      <c r="A34" s="133">
        <v>4</v>
      </c>
      <c r="B34" s="135" t="s">
        <v>77</v>
      </c>
      <c r="C34" s="150">
        <f>C32-C33</f>
        <v>346.56</v>
      </c>
      <c r="D34" s="145"/>
      <c r="F34" s="2"/>
      <c r="G34" s="2"/>
      <c r="H34" s="2"/>
      <c r="I34" s="2"/>
      <c r="J34" s="2"/>
      <c r="K34" s="2"/>
      <c r="Z34" s="135" t="s">
        <v>76</v>
      </c>
      <c r="AA34" s="135" t="s">
        <v>77</v>
      </c>
    </row>
    <row r="35" spans="1:27" ht="15.6">
      <c r="A35" s="135" t="s">
        <v>73</v>
      </c>
      <c r="B35" s="140" t="s">
        <v>10</v>
      </c>
      <c r="C35" s="145"/>
      <c r="D35" s="145"/>
      <c r="E35" s="2"/>
      <c r="F35" s="2"/>
      <c r="G35" s="2"/>
      <c r="H35" s="2"/>
      <c r="I35" s="2"/>
      <c r="J35" s="2"/>
      <c r="K35" s="2"/>
      <c r="L35" s="2"/>
      <c r="Z35" s="135" t="s">
        <v>79</v>
      </c>
      <c r="AA35" s="140" t="s">
        <v>10</v>
      </c>
    </row>
    <row r="36" spans="1:27">
      <c r="A36" s="133">
        <v>1</v>
      </c>
      <c r="B36" s="135" t="s">
        <v>80</v>
      </c>
      <c r="C36" s="143">
        <f>标准成本!D4</f>
        <v>52.582000000000001</v>
      </c>
      <c r="D36" s="149"/>
      <c r="E36" s="2"/>
      <c r="F36" s="2"/>
      <c r="G36" s="2"/>
      <c r="H36" s="2"/>
      <c r="I36" s="2"/>
      <c r="J36" s="2"/>
      <c r="K36" s="2"/>
      <c r="L36" s="2"/>
      <c r="Z36" s="135" t="s">
        <v>76</v>
      </c>
      <c r="AA36" s="135" t="s">
        <v>80</v>
      </c>
    </row>
    <row r="37" spans="1:27">
      <c r="A37" s="133">
        <v>2</v>
      </c>
      <c r="B37" s="135" t="s">
        <v>81</v>
      </c>
      <c r="C37" s="143">
        <f>标准成本!D6</f>
        <v>26.474</v>
      </c>
      <c r="D37" s="149"/>
      <c r="E37" s="2"/>
      <c r="F37" s="2"/>
      <c r="G37" s="2"/>
      <c r="H37" s="2"/>
      <c r="I37" s="2"/>
      <c r="J37" s="2"/>
      <c r="K37" s="2"/>
      <c r="L37" s="2"/>
      <c r="Z37" s="135" t="s">
        <v>33</v>
      </c>
      <c r="AA37" s="135" t="s">
        <v>81</v>
      </c>
    </row>
    <row r="38" spans="1:27">
      <c r="A38" s="133">
        <v>3</v>
      </c>
      <c r="B38" s="135" t="s">
        <v>82</v>
      </c>
      <c r="C38" s="143">
        <f>标准成本!D10</f>
        <v>53.68</v>
      </c>
      <c r="D38" s="149"/>
      <c r="E38" s="2"/>
      <c r="F38" s="2"/>
      <c r="G38" s="2"/>
      <c r="H38" s="2"/>
      <c r="I38" s="2"/>
      <c r="J38" s="2"/>
      <c r="K38" s="2"/>
      <c r="L38" s="2"/>
      <c r="Z38" s="135" t="s">
        <v>39</v>
      </c>
      <c r="AA38" s="135" t="s">
        <v>82</v>
      </c>
    </row>
    <row r="39" spans="1:27" ht="15.6">
      <c r="A39" s="135" t="s">
        <v>79</v>
      </c>
      <c r="B39" s="140" t="s">
        <v>84</v>
      </c>
      <c r="C39" s="145"/>
      <c r="D39" s="145"/>
      <c r="Z39" s="135" t="s">
        <v>83</v>
      </c>
      <c r="AA39" s="140" t="s">
        <v>84</v>
      </c>
    </row>
    <row r="40" spans="1:27">
      <c r="A40" s="133">
        <v>1</v>
      </c>
      <c r="B40" s="135" t="s">
        <v>85</v>
      </c>
      <c r="C40" s="145">
        <f>C34-C36-C37-C38</f>
        <v>213.82400000000001</v>
      </c>
      <c r="D40" s="145"/>
      <c r="Z40" s="135" t="s">
        <v>28</v>
      </c>
      <c r="AA40" s="135" t="s">
        <v>85</v>
      </c>
    </row>
    <row r="41" spans="1:27">
      <c r="A41" s="133">
        <v>2</v>
      </c>
      <c r="B41" s="135" t="s">
        <v>86</v>
      </c>
      <c r="C41" s="145"/>
      <c r="D41" s="145"/>
      <c r="Z41" s="135" t="s">
        <v>30</v>
      </c>
      <c r="AA41" s="135" t="s">
        <v>86</v>
      </c>
    </row>
    <row r="42" spans="1:27" ht="15.6">
      <c r="A42" s="135" t="s">
        <v>83</v>
      </c>
      <c r="B42" s="140" t="s">
        <v>88</v>
      </c>
      <c r="C42" s="145"/>
      <c r="D42" s="145"/>
      <c r="Z42" s="135" t="s">
        <v>87</v>
      </c>
      <c r="AA42" s="140" t="s">
        <v>88</v>
      </c>
    </row>
    <row r="43" spans="1:27">
      <c r="A43" s="133">
        <v>1</v>
      </c>
      <c r="B43" s="146" t="s">
        <v>89</v>
      </c>
      <c r="C43" s="143">
        <f>标准成本!D5</f>
        <v>50.02</v>
      </c>
      <c r="D43" s="145"/>
      <c r="Z43" s="135" t="s">
        <v>28</v>
      </c>
      <c r="AA43" s="135" t="s">
        <v>89</v>
      </c>
    </row>
    <row r="44" spans="1:27">
      <c r="A44" s="133">
        <v>2</v>
      </c>
      <c r="B44" s="146" t="s">
        <v>90</v>
      </c>
      <c r="C44" s="143">
        <f>标准成本!D9</f>
        <v>8.5399999999999991</v>
      </c>
      <c r="D44" s="145"/>
      <c r="Z44" s="135" t="s">
        <v>30</v>
      </c>
      <c r="AA44" s="135" t="s">
        <v>90</v>
      </c>
    </row>
    <row r="45" spans="1:27">
      <c r="A45" s="133">
        <v>3</v>
      </c>
      <c r="B45" s="146" t="s">
        <v>91</v>
      </c>
      <c r="C45" s="143">
        <f>标准成本!D8</f>
        <v>41.48</v>
      </c>
      <c r="D45" s="145"/>
      <c r="Z45" s="135" t="s">
        <v>76</v>
      </c>
      <c r="AA45" s="135" t="s">
        <v>91</v>
      </c>
    </row>
    <row r="46" spans="1:27" s="130" customFormat="1">
      <c r="A46" s="133">
        <v>4</v>
      </c>
      <c r="B46" s="146" t="s">
        <v>92</v>
      </c>
      <c r="C46" s="151">
        <f>C21/C6</f>
        <v>54.44444444444445</v>
      </c>
      <c r="D46" s="151"/>
      <c r="Z46" s="146" t="s">
        <v>36</v>
      </c>
      <c r="AA46" s="146" t="s">
        <v>94</v>
      </c>
    </row>
    <row r="47" spans="1:27" s="130" customFormat="1">
      <c r="A47" s="133">
        <v>5</v>
      </c>
      <c r="B47" s="146" t="s">
        <v>94</v>
      </c>
      <c r="C47" s="151">
        <f>标准成本!D11</f>
        <v>36.6</v>
      </c>
      <c r="D47" s="151"/>
      <c r="Z47" s="146" t="s">
        <v>36</v>
      </c>
      <c r="AA47" s="146" t="s">
        <v>94</v>
      </c>
    </row>
    <row r="48" spans="1:27" ht="15.6">
      <c r="A48" s="135" t="s">
        <v>87</v>
      </c>
      <c r="B48" s="140" t="s">
        <v>105</v>
      </c>
      <c r="C48" s="145">
        <f>C40-C43-C44-C45-C47-C46</f>
        <v>22.739555555555576</v>
      </c>
      <c r="D48" s="145"/>
      <c r="Z48" s="135" t="s">
        <v>104</v>
      </c>
      <c r="AA48" s="140" t="s">
        <v>105</v>
      </c>
    </row>
    <row r="51" spans="2:9">
      <c r="C51" s="152"/>
    </row>
    <row r="54" spans="2:9">
      <c r="B54" s="2"/>
      <c r="C54" s="20"/>
      <c r="D54" s="20"/>
      <c r="E54" s="2"/>
      <c r="F54" s="2"/>
      <c r="G54" s="2"/>
      <c r="H54" s="2"/>
      <c r="I54" s="2"/>
    </row>
    <row r="55" spans="2:9">
      <c r="B55" s="2"/>
      <c r="C55" s="20"/>
      <c r="D55" s="20"/>
      <c r="E55" s="2"/>
      <c r="F55" s="2"/>
      <c r="G55" s="2"/>
      <c r="H55" s="2"/>
      <c r="I55" s="2"/>
    </row>
    <row r="56" spans="2:9">
      <c r="B56" s="2"/>
      <c r="C56" s="20"/>
      <c r="D56" s="20"/>
      <c r="E56" s="2"/>
      <c r="F56" s="2"/>
      <c r="G56" s="2"/>
      <c r="H56" s="2"/>
      <c r="I56" s="2"/>
    </row>
    <row r="57" spans="2:9">
      <c r="B57" s="2"/>
      <c r="C57" s="20"/>
      <c r="D57" s="20"/>
      <c r="E57" s="2"/>
      <c r="F57" s="2"/>
      <c r="G57" s="2"/>
      <c r="H57" s="2"/>
      <c r="I57" s="2"/>
    </row>
    <row r="58" spans="2:9">
      <c r="B58" s="2"/>
      <c r="C58" s="20"/>
      <c r="D58" s="20"/>
      <c r="E58" s="2"/>
      <c r="F58" s="2"/>
      <c r="G58" s="2"/>
      <c r="H58" s="2"/>
      <c r="I58" s="2"/>
    </row>
    <row r="59" spans="2:9">
      <c r="B59" s="2"/>
      <c r="C59" s="20"/>
      <c r="D59" s="20"/>
      <c r="E59" s="2"/>
      <c r="F59" s="2"/>
      <c r="G59" s="2"/>
      <c r="H59" s="2"/>
      <c r="I59" s="2"/>
    </row>
    <row r="60" spans="2:9">
      <c r="B60" s="2"/>
      <c r="C60" s="20"/>
      <c r="D60" s="20"/>
      <c r="E60" s="2"/>
      <c r="F60" s="2"/>
      <c r="G60" s="2"/>
      <c r="H60" s="2"/>
      <c r="I60" s="2"/>
    </row>
    <row r="61" spans="2:9">
      <c r="B61" s="2"/>
      <c r="C61" s="20"/>
      <c r="D61" s="20"/>
      <c r="E61" s="2"/>
      <c r="F61" s="2"/>
      <c r="G61" s="2"/>
      <c r="H61" s="2"/>
      <c r="I61" s="2"/>
    </row>
    <row r="62" spans="2:9">
      <c r="B62" s="2"/>
      <c r="C62" s="20"/>
      <c r="D62" s="20"/>
      <c r="E62" s="2"/>
      <c r="F62" s="2"/>
      <c r="G62" s="2"/>
      <c r="H62" s="2"/>
      <c r="I62" s="2"/>
    </row>
    <row r="63" spans="2:9">
      <c r="B63" s="2"/>
      <c r="C63" s="20"/>
      <c r="D63" s="20"/>
      <c r="E63" s="2"/>
      <c r="F63" s="2"/>
      <c r="G63" s="2"/>
      <c r="H63" s="2"/>
      <c r="I63" s="2"/>
    </row>
    <row r="64" spans="2:9">
      <c r="B64" s="2"/>
      <c r="C64" s="20"/>
      <c r="D64" s="20"/>
      <c r="E64" s="2"/>
      <c r="F64" s="2"/>
      <c r="G64" s="2"/>
      <c r="H64" s="2"/>
      <c r="I64" s="2"/>
    </row>
    <row r="65" spans="2:9">
      <c r="B65" s="2"/>
      <c r="C65" s="20"/>
      <c r="D65" s="20"/>
      <c r="E65" s="2"/>
      <c r="F65" s="2"/>
      <c r="G65" s="2"/>
      <c r="H65" s="2"/>
      <c r="I65" s="2"/>
    </row>
    <row r="66" spans="2:9">
      <c r="B66" s="2"/>
      <c r="C66" s="20"/>
      <c r="D66" s="20"/>
      <c r="E66" s="2"/>
      <c r="F66" s="2"/>
      <c r="G66" s="2"/>
      <c r="H66" s="2"/>
      <c r="I66" s="2"/>
    </row>
    <row r="67" spans="2:9">
      <c r="B67" s="2"/>
      <c r="C67" s="20"/>
      <c r="D67" s="20"/>
      <c r="E67" s="2"/>
    </row>
    <row r="68" spans="2:9">
      <c r="B68" s="2"/>
      <c r="C68" s="20"/>
      <c r="D68" s="20"/>
      <c r="E68" s="2"/>
    </row>
    <row r="69" spans="2:9">
      <c r="B69" s="2"/>
      <c r="C69" s="20"/>
      <c r="D69" s="20"/>
      <c r="E69" s="2"/>
    </row>
    <row r="70" spans="2:9">
      <c r="B70" s="2"/>
      <c r="C70" s="20"/>
      <c r="D70" s="20"/>
      <c r="E70" s="2"/>
    </row>
    <row r="71" spans="2:9">
      <c r="B71" s="2"/>
      <c r="C71" s="20"/>
      <c r="D71" s="20"/>
      <c r="E71" s="2"/>
    </row>
    <row r="72" spans="2:9">
      <c r="B72" s="2"/>
      <c r="C72" s="20"/>
      <c r="D72" s="20"/>
      <c r="E72" s="2"/>
    </row>
    <row r="73" spans="2:9">
      <c r="B73" s="2"/>
      <c r="C73" s="20"/>
      <c r="D73" s="20"/>
      <c r="E73" s="2"/>
    </row>
    <row r="74" spans="2:9">
      <c r="B74" s="2"/>
      <c r="C74" s="20"/>
      <c r="D74" s="20"/>
      <c r="E74" s="2"/>
    </row>
  </sheetData>
  <mergeCells count="8">
    <mergeCell ref="A4:B4"/>
    <mergeCell ref="A5:B5"/>
    <mergeCell ref="D3:D5"/>
    <mergeCell ref="A1:B1"/>
    <mergeCell ref="C1:D1"/>
    <mergeCell ref="A2:B2"/>
    <mergeCell ref="C2:D2"/>
    <mergeCell ref="A3:B3"/>
  </mergeCells>
  <phoneticPr fontId="5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38" activePane="bottomRight" state="frozen"/>
      <selection pane="topRight"/>
      <selection pane="bottomLeft"/>
      <selection pane="bottomRight" activeCell="H48" sqref="H48"/>
    </sheetView>
  </sheetViews>
  <sheetFormatPr defaultColWidth="9" defaultRowHeight="15"/>
  <cols>
    <col min="1" max="1" width="5.109375" style="131" customWidth="1"/>
    <col min="2" max="2" width="17.44140625" style="131" customWidth="1"/>
    <col min="3" max="3" width="12.88671875" style="132" customWidth="1"/>
    <col min="4" max="4" width="12.6640625" style="132" customWidth="1"/>
    <col min="5" max="5" width="12.33203125" style="131" customWidth="1"/>
    <col min="6" max="6" width="10.109375" style="131" customWidth="1"/>
    <col min="7" max="13" width="9" style="131" customWidth="1"/>
    <col min="14" max="30" width="9" style="131"/>
    <col min="31" max="31" width="4.33203125" style="131" customWidth="1"/>
    <col min="32" max="32" width="13.88671875" style="131" customWidth="1"/>
    <col min="33" max="16384" width="9" style="131"/>
  </cols>
  <sheetData>
    <row r="1" spans="1:33">
      <c r="A1" s="240" t="s">
        <v>145</v>
      </c>
      <c r="B1" s="240"/>
      <c r="C1" s="244" t="s">
        <v>161</v>
      </c>
      <c r="D1" s="245"/>
    </row>
    <row r="2" spans="1:33">
      <c r="A2" s="240" t="s">
        <v>147</v>
      </c>
      <c r="B2" s="240"/>
      <c r="C2" s="246" t="str">
        <f>'2024年'!C2:D2</f>
        <v>中国重汽济宁商用车有限公司</v>
      </c>
      <c r="D2" s="246"/>
    </row>
    <row r="3" spans="1:33" ht="15.6">
      <c r="A3" s="240" t="s">
        <v>148</v>
      </c>
      <c r="B3" s="240"/>
      <c r="C3" s="64" t="s">
        <v>149</v>
      </c>
      <c r="D3" s="241" t="s">
        <v>24</v>
      </c>
    </row>
    <row r="4" spans="1:33" ht="31.2">
      <c r="A4" s="240" t="s">
        <v>150</v>
      </c>
      <c r="B4" s="240"/>
      <c r="C4" s="68" t="s">
        <v>151</v>
      </c>
      <c r="D4" s="242"/>
    </row>
    <row r="5" spans="1:33">
      <c r="A5" s="240" t="s">
        <v>152</v>
      </c>
      <c r="B5" s="240"/>
      <c r="C5" s="134" t="s">
        <v>153</v>
      </c>
      <c r="D5" s="243"/>
      <c r="AG5" s="131" t="s">
        <v>25</v>
      </c>
    </row>
    <row r="6" spans="1:33" ht="17.399999999999999">
      <c r="A6" s="135" t="s">
        <v>20</v>
      </c>
      <c r="B6" s="136" t="s">
        <v>154</v>
      </c>
      <c r="C6" s="137">
        <f>销量!C11</f>
        <v>300</v>
      </c>
      <c r="D6" s="138">
        <f>SUM(C6:C6)</f>
        <v>300</v>
      </c>
      <c r="O6" s="136" t="s">
        <v>3</v>
      </c>
      <c r="AE6" s="135" t="s">
        <v>20</v>
      </c>
      <c r="AF6" s="136" t="s">
        <v>3</v>
      </c>
      <c r="AG6" s="131" t="s">
        <v>26</v>
      </c>
    </row>
    <row r="7" spans="1:33" ht="15.6">
      <c r="A7" s="133">
        <v>1</v>
      </c>
      <c r="B7" s="136" t="s">
        <v>27</v>
      </c>
      <c r="C7" s="138">
        <f>C6*销量!C8</f>
        <v>366000</v>
      </c>
      <c r="D7" s="138">
        <f t="shared" ref="D7:D22" si="0">SUM(C7:C7)</f>
        <v>366000</v>
      </c>
      <c r="E7" s="132"/>
      <c r="O7" s="136" t="s">
        <v>27</v>
      </c>
      <c r="AE7" s="135" t="s">
        <v>28</v>
      </c>
      <c r="AF7" s="136" t="s">
        <v>27</v>
      </c>
      <c r="AG7" s="131" t="s">
        <v>26</v>
      </c>
    </row>
    <row r="8" spans="1:33">
      <c r="A8" s="133">
        <v>2</v>
      </c>
      <c r="B8" s="133" t="s">
        <v>29</v>
      </c>
      <c r="C8" s="138">
        <f>C7*(1-销量!$O$9)</f>
        <v>28694.400000000001</v>
      </c>
      <c r="D8" s="138">
        <f t="shared" si="0"/>
        <v>28694.400000000001</v>
      </c>
      <c r="E8" s="139"/>
      <c r="O8" s="133" t="s">
        <v>31</v>
      </c>
      <c r="AE8" s="135" t="s">
        <v>30</v>
      </c>
      <c r="AF8" s="133" t="s">
        <v>31</v>
      </c>
      <c r="AG8" s="131" t="s">
        <v>26</v>
      </c>
    </row>
    <row r="9" spans="1:33" ht="15.6">
      <c r="A9" s="133">
        <v>3</v>
      </c>
      <c r="B9" s="136" t="s">
        <v>32</v>
      </c>
      <c r="C9" s="138">
        <f>+C7-C8</f>
        <v>337305.59999999998</v>
      </c>
      <c r="D9" s="138">
        <f t="shared" si="0"/>
        <v>337305.59999999998</v>
      </c>
      <c r="O9" s="136" t="s">
        <v>32</v>
      </c>
      <c r="AE9" s="135" t="s">
        <v>33</v>
      </c>
      <c r="AF9" s="136" t="s">
        <v>32</v>
      </c>
      <c r="AG9" s="131" t="s">
        <v>34</v>
      </c>
    </row>
    <row r="10" spans="1:33">
      <c r="A10" s="133">
        <v>4</v>
      </c>
      <c r="B10" s="135" t="s">
        <v>35</v>
      </c>
      <c r="C10" s="138">
        <f>C6*C33</f>
        <v>237496.32000000001</v>
      </c>
      <c r="D10" s="138">
        <f t="shared" si="0"/>
        <v>237496.32000000001</v>
      </c>
      <c r="O10" s="135" t="s">
        <v>35</v>
      </c>
      <c r="AE10" s="135" t="s">
        <v>36</v>
      </c>
      <c r="AF10" s="135" t="s">
        <v>35</v>
      </c>
      <c r="AG10" s="131" t="s">
        <v>37</v>
      </c>
    </row>
    <row r="11" spans="1:33">
      <c r="A11" s="133">
        <v>5</v>
      </c>
      <c r="B11" s="135" t="s">
        <v>38</v>
      </c>
      <c r="C11" s="138">
        <f>+C6*C36</f>
        <v>15774.6</v>
      </c>
      <c r="D11" s="138">
        <f t="shared" si="0"/>
        <v>15774.6</v>
      </c>
      <c r="O11" s="135" t="s">
        <v>38</v>
      </c>
      <c r="AE11" s="135" t="s">
        <v>39</v>
      </c>
      <c r="AF11" s="135" t="s">
        <v>38</v>
      </c>
    </row>
    <row r="12" spans="1:33">
      <c r="A12" s="133">
        <v>6</v>
      </c>
      <c r="B12" s="135" t="s">
        <v>40</v>
      </c>
      <c r="C12" s="138">
        <f>+C6*C37</f>
        <v>7942.2</v>
      </c>
      <c r="D12" s="138">
        <f t="shared" si="0"/>
        <v>7942.2</v>
      </c>
      <c r="O12" s="135" t="s">
        <v>40</v>
      </c>
      <c r="AE12" s="135" t="s">
        <v>41</v>
      </c>
      <c r="AF12" s="135" t="s">
        <v>40</v>
      </c>
    </row>
    <row r="13" spans="1:33">
      <c r="A13" s="133">
        <v>7</v>
      </c>
      <c r="B13" s="135" t="s">
        <v>42</v>
      </c>
      <c r="C13" s="138">
        <f>+C6*C38</f>
        <v>16104</v>
      </c>
      <c r="D13" s="138">
        <f t="shared" si="0"/>
        <v>16104</v>
      </c>
      <c r="O13" s="135" t="s">
        <v>42</v>
      </c>
      <c r="AE13" s="135" t="s">
        <v>43</v>
      </c>
      <c r="AF13" s="135" t="s">
        <v>42</v>
      </c>
      <c r="AG13" s="131" t="s">
        <v>26</v>
      </c>
    </row>
    <row r="14" spans="1:33" ht="15.6">
      <c r="A14" s="133">
        <v>8</v>
      </c>
      <c r="B14" s="140" t="s">
        <v>44</v>
      </c>
      <c r="C14" s="138">
        <f>SUM(C11:C13)</f>
        <v>39820.800000000003</v>
      </c>
      <c r="D14" s="138">
        <f t="shared" si="0"/>
        <v>39820.800000000003</v>
      </c>
      <c r="O14" s="140" t="s">
        <v>44</v>
      </c>
      <c r="AE14" s="135" t="s">
        <v>45</v>
      </c>
      <c r="AF14" s="140" t="s">
        <v>44</v>
      </c>
    </row>
    <row r="15" spans="1:33" ht="15.6">
      <c r="A15" s="133">
        <v>9</v>
      </c>
      <c r="B15" s="140" t="s">
        <v>46</v>
      </c>
      <c r="C15" s="138">
        <f>+C9-C10-C14</f>
        <v>59988.480000000003</v>
      </c>
      <c r="D15" s="138">
        <f t="shared" si="0"/>
        <v>59988.480000000003</v>
      </c>
      <c r="O15" s="140" t="s">
        <v>46</v>
      </c>
      <c r="AE15" s="135" t="s">
        <v>47</v>
      </c>
      <c r="AF15" s="140" t="s">
        <v>46</v>
      </c>
    </row>
    <row r="16" spans="1:33">
      <c r="A16" s="133">
        <v>10</v>
      </c>
      <c r="B16" s="135" t="s">
        <v>48</v>
      </c>
      <c r="C16" s="141">
        <f>+C15/C9</f>
        <v>0.177846083788707</v>
      </c>
      <c r="D16" s="141">
        <f t="shared" ref="D16" si="1">+D15/D9</f>
        <v>0.177846083788707</v>
      </c>
      <c r="O16" s="135" t="s">
        <v>48</v>
      </c>
      <c r="AE16" s="135" t="s">
        <v>49</v>
      </c>
      <c r="AF16" s="135" t="s">
        <v>48</v>
      </c>
    </row>
    <row r="17" spans="1:33">
      <c r="A17" s="133">
        <v>11</v>
      </c>
      <c r="B17" s="135" t="s">
        <v>50</v>
      </c>
      <c r="C17" s="138">
        <f>C6*C43+C18</f>
        <v>15006</v>
      </c>
      <c r="D17" s="138">
        <f t="shared" si="0"/>
        <v>15006</v>
      </c>
      <c r="E17" s="139"/>
      <c r="O17" s="135" t="s">
        <v>50</v>
      </c>
      <c r="AE17" s="135" t="s">
        <v>51</v>
      </c>
      <c r="AF17" s="135" t="s">
        <v>50</v>
      </c>
    </row>
    <row r="18" spans="1:33" s="129" customFormat="1">
      <c r="A18" s="133">
        <v>12</v>
      </c>
      <c r="B18" s="142" t="s">
        <v>155</v>
      </c>
      <c r="C18" s="143">
        <f>$D$18/$D$6*C6</f>
        <v>0</v>
      </c>
      <c r="D18" s="143">
        <f>项目投资!D26</f>
        <v>0</v>
      </c>
      <c r="E18" s="144" t="s">
        <v>156</v>
      </c>
      <c r="F18" s="144"/>
      <c r="G18" s="144"/>
    </row>
    <row r="19" spans="1:33">
      <c r="A19" s="133">
        <v>13</v>
      </c>
      <c r="B19" s="135" t="s">
        <v>52</v>
      </c>
      <c r="C19" s="138">
        <f>C6*C44</f>
        <v>2562</v>
      </c>
      <c r="D19" s="138">
        <f t="shared" si="0"/>
        <v>2562</v>
      </c>
      <c r="E19" s="129"/>
      <c r="O19" s="135" t="s">
        <v>52</v>
      </c>
      <c r="AE19" s="135" t="s">
        <v>53</v>
      </c>
      <c r="AF19" s="135" t="s">
        <v>52</v>
      </c>
      <c r="AG19" s="131" t="s">
        <v>26</v>
      </c>
    </row>
    <row r="20" spans="1:33">
      <c r="A20" s="133">
        <v>14</v>
      </c>
      <c r="B20" s="135" t="s">
        <v>54</v>
      </c>
      <c r="C20" s="138">
        <f>C6*C45</f>
        <v>12444</v>
      </c>
      <c r="D20" s="138">
        <f t="shared" si="0"/>
        <v>12444</v>
      </c>
      <c r="O20" s="135" t="s">
        <v>54</v>
      </c>
      <c r="AE20" s="135" t="s">
        <v>55</v>
      </c>
      <c r="AF20" s="135" t="s">
        <v>54</v>
      </c>
    </row>
    <row r="21" spans="1:33">
      <c r="A21" s="133">
        <v>15</v>
      </c>
      <c r="B21" s="135" t="s">
        <v>56</v>
      </c>
      <c r="C21" s="145">
        <f>$D$21/$D$6*C6</f>
        <v>16333.333333333336</v>
      </c>
      <c r="D21" s="138">
        <f>项目投资!F27</f>
        <v>16333.333333333334</v>
      </c>
      <c r="O21" s="135" t="s">
        <v>56</v>
      </c>
      <c r="AE21" s="135"/>
      <c r="AF21" s="135"/>
    </row>
    <row r="22" spans="1:33">
      <c r="A22" s="133">
        <v>16</v>
      </c>
      <c r="B22" s="135" t="s">
        <v>57</v>
      </c>
      <c r="C22" s="138">
        <f>C6*C47</f>
        <v>10980</v>
      </c>
      <c r="D22" s="138">
        <f t="shared" si="0"/>
        <v>10980</v>
      </c>
      <c r="O22" s="135" t="s">
        <v>57</v>
      </c>
      <c r="AE22" s="135" t="s">
        <v>58</v>
      </c>
      <c r="AF22" s="135" t="s">
        <v>57</v>
      </c>
    </row>
    <row r="23" spans="1:33" ht="15.6">
      <c r="A23" s="133">
        <v>17</v>
      </c>
      <c r="B23" s="140" t="s">
        <v>59</v>
      </c>
      <c r="C23" s="145">
        <f>+C22+C21+C20+C19+C17</f>
        <v>57325.333333333336</v>
      </c>
      <c r="D23" s="145">
        <f t="shared" ref="D23" si="2">+D22+D21+D20+D19+D17</f>
        <v>57325.333333333336</v>
      </c>
      <c r="O23" s="140" t="s">
        <v>59</v>
      </c>
      <c r="AE23" s="135" t="s">
        <v>60</v>
      </c>
      <c r="AF23" s="140" t="s">
        <v>59</v>
      </c>
    </row>
    <row r="24" spans="1:33">
      <c r="A24" s="133">
        <v>18</v>
      </c>
      <c r="B24" s="146" t="s">
        <v>61</v>
      </c>
      <c r="C24" s="145">
        <f>+C15-C23</f>
        <v>2663.1466666666674</v>
      </c>
      <c r="D24" s="145">
        <f t="shared" ref="D24" si="3">+D15-D23</f>
        <v>2663.1466666666674</v>
      </c>
      <c r="F24" s="147"/>
      <c r="O24" s="135" t="s">
        <v>61</v>
      </c>
      <c r="AE24" s="135" t="s">
        <v>62</v>
      </c>
      <c r="AF24" s="135" t="s">
        <v>61</v>
      </c>
    </row>
    <row r="25" spans="1:33">
      <c r="A25" s="133">
        <v>19</v>
      </c>
      <c r="B25" s="135" t="s">
        <v>160</v>
      </c>
      <c r="C25" s="145">
        <f>IF(C24&lt;0,0,C24*0.15)</f>
        <v>399.47200000000009</v>
      </c>
      <c r="D25" s="145">
        <f>IF(D24&lt;0,0,D24*0.15)</f>
        <v>399.47200000000009</v>
      </c>
      <c r="E25" s="2"/>
      <c r="F25" s="2"/>
      <c r="G25" s="2"/>
      <c r="O25" s="135" t="s">
        <v>63</v>
      </c>
      <c r="AE25" s="135" t="s">
        <v>64</v>
      </c>
      <c r="AF25" s="135" t="s">
        <v>63</v>
      </c>
    </row>
    <row r="26" spans="1:33">
      <c r="A26" s="133">
        <v>20</v>
      </c>
      <c r="B26" s="135" t="s">
        <v>65</v>
      </c>
      <c r="C26" s="145">
        <f t="shared" ref="C26" si="4">C24-C25</f>
        <v>2263.6746666666672</v>
      </c>
      <c r="D26" s="138">
        <f>+SUM(C26:C26)</f>
        <v>2263.6746666666672</v>
      </c>
      <c r="E26" s="2"/>
      <c r="F26" s="2"/>
      <c r="G26" s="2"/>
      <c r="O26" s="135" t="s">
        <v>65</v>
      </c>
      <c r="AE26" s="135" t="s">
        <v>66</v>
      </c>
      <c r="AF26" s="135" t="s">
        <v>65</v>
      </c>
    </row>
    <row r="27" spans="1:33">
      <c r="A27" s="133">
        <v>21</v>
      </c>
      <c r="B27" s="135" t="s">
        <v>69</v>
      </c>
      <c r="C27" s="148">
        <f>C26/C9</f>
        <v>6.7110497621938898E-3</v>
      </c>
      <c r="D27" s="148">
        <f>D26/D9</f>
        <v>6.7110497621938898E-3</v>
      </c>
      <c r="E27" s="2"/>
      <c r="F27" s="2"/>
      <c r="G27" s="2"/>
      <c r="O27" s="135" t="s">
        <v>69</v>
      </c>
      <c r="AE27" s="135" t="s">
        <v>68</v>
      </c>
      <c r="AF27" s="135" t="s">
        <v>69</v>
      </c>
    </row>
    <row r="28" spans="1:33">
      <c r="E28" s="2"/>
      <c r="F28" s="2"/>
      <c r="G28" s="2"/>
      <c r="O28" s="135"/>
    </row>
    <row r="29" spans="1:33">
      <c r="A29" s="131" t="s">
        <v>70</v>
      </c>
      <c r="D29" s="132" t="s">
        <v>19</v>
      </c>
      <c r="E29" s="2"/>
      <c r="F29" s="2"/>
      <c r="G29" s="2"/>
      <c r="O29" s="135"/>
      <c r="AE29" s="131" t="s">
        <v>70</v>
      </c>
    </row>
    <row r="30" spans="1:33" ht="15.6">
      <c r="A30" s="135" t="s">
        <v>71</v>
      </c>
      <c r="B30" s="140" t="s">
        <v>72</v>
      </c>
      <c r="C30" s="145"/>
      <c r="D30" s="145"/>
      <c r="E30" s="2"/>
      <c r="F30" s="2"/>
      <c r="G30" s="2"/>
      <c r="I30" s="2"/>
      <c r="O30" s="140" t="s">
        <v>72</v>
      </c>
      <c r="AE30" s="135" t="s">
        <v>73</v>
      </c>
      <c r="AF30" s="140" t="s">
        <v>72</v>
      </c>
    </row>
    <row r="31" spans="1:33">
      <c r="A31" s="133">
        <v>1</v>
      </c>
      <c r="B31" s="142" t="s">
        <v>74</v>
      </c>
      <c r="C31" s="149">
        <f>销量!P9</f>
        <v>1124.3520000000001</v>
      </c>
      <c r="D31" s="145"/>
      <c r="E31" s="2"/>
      <c r="F31" s="2"/>
      <c r="G31" s="2"/>
      <c r="I31" s="2"/>
      <c r="O31" s="135" t="s">
        <v>74</v>
      </c>
      <c r="AE31" s="135" t="s">
        <v>28</v>
      </c>
      <c r="AF31" s="135" t="s">
        <v>74</v>
      </c>
    </row>
    <row r="32" spans="1:33">
      <c r="A32" s="133">
        <v>2</v>
      </c>
      <c r="B32" s="135" t="s">
        <v>158</v>
      </c>
      <c r="C32" s="138">
        <f>C9/C6</f>
        <v>1124.3520000000001</v>
      </c>
      <c r="D32" s="145"/>
      <c r="E32" s="2"/>
      <c r="F32" s="2"/>
      <c r="G32" s="2"/>
      <c r="H32" s="2"/>
      <c r="I32" s="2"/>
      <c r="J32" s="2"/>
      <c r="K32" s="2"/>
      <c r="AE32" s="135"/>
      <c r="AF32" s="135"/>
    </row>
    <row r="33" spans="1:32">
      <c r="A33" s="133">
        <v>3</v>
      </c>
      <c r="B33" s="142" t="s">
        <v>75</v>
      </c>
      <c r="C33" s="138">
        <f>材料成本!G20</f>
        <v>791.65440000000001</v>
      </c>
      <c r="D33" s="145"/>
      <c r="F33" s="2"/>
      <c r="G33" s="2"/>
      <c r="H33" s="2"/>
      <c r="I33" s="2"/>
      <c r="J33" s="2"/>
      <c r="K33" s="2"/>
      <c r="O33" s="135" t="s">
        <v>75</v>
      </c>
      <c r="AE33" s="135" t="s">
        <v>30</v>
      </c>
      <c r="AF33" s="135" t="s">
        <v>75</v>
      </c>
    </row>
    <row r="34" spans="1:32" ht="17.25" customHeight="1">
      <c r="A34" s="133">
        <v>4</v>
      </c>
      <c r="B34" s="135" t="s">
        <v>77</v>
      </c>
      <c r="C34" s="150">
        <f>C32-C33</f>
        <v>332.69760000000002</v>
      </c>
      <c r="D34" s="145"/>
      <c r="F34" s="2"/>
      <c r="G34" s="2"/>
      <c r="H34" s="2"/>
      <c r="I34" s="2"/>
      <c r="J34" s="2"/>
      <c r="K34" s="2"/>
      <c r="O34" s="135" t="s">
        <v>77</v>
      </c>
      <c r="AE34" s="135" t="s">
        <v>76</v>
      </c>
      <c r="AF34" s="135" t="s">
        <v>77</v>
      </c>
    </row>
    <row r="35" spans="1:32" ht="15.6">
      <c r="A35" s="135" t="s">
        <v>73</v>
      </c>
      <c r="B35" s="140" t="s">
        <v>10</v>
      </c>
      <c r="C35" s="145"/>
      <c r="D35" s="145"/>
      <c r="E35" s="2"/>
      <c r="F35" s="2"/>
      <c r="G35" s="2"/>
      <c r="H35" s="2"/>
      <c r="I35" s="2"/>
      <c r="J35" s="2"/>
      <c r="K35" s="2"/>
      <c r="L35" s="2"/>
      <c r="M35" s="2"/>
      <c r="N35" s="2"/>
      <c r="O35" s="140" t="s">
        <v>10</v>
      </c>
      <c r="AE35" s="135" t="s">
        <v>79</v>
      </c>
      <c r="AF35" s="140" t="s">
        <v>10</v>
      </c>
    </row>
    <row r="36" spans="1:32">
      <c r="A36" s="133">
        <v>1</v>
      </c>
      <c r="B36" s="135" t="s">
        <v>80</v>
      </c>
      <c r="C36" s="143">
        <f>标准成本!D4</f>
        <v>52.582000000000001</v>
      </c>
      <c r="D36" s="149"/>
      <c r="E36" s="2"/>
      <c r="F36" s="2"/>
      <c r="G36" s="2"/>
      <c r="H36" s="2"/>
      <c r="I36" s="2"/>
      <c r="J36" s="2"/>
      <c r="K36" s="2"/>
      <c r="L36" s="2"/>
      <c r="M36" s="2"/>
      <c r="N36" s="2"/>
      <c r="O36" s="135" t="s">
        <v>80</v>
      </c>
      <c r="AE36" s="135" t="s">
        <v>76</v>
      </c>
      <c r="AF36" s="135" t="s">
        <v>80</v>
      </c>
    </row>
    <row r="37" spans="1:32">
      <c r="A37" s="133">
        <v>2</v>
      </c>
      <c r="B37" s="135" t="s">
        <v>81</v>
      </c>
      <c r="C37" s="143">
        <f>标准成本!D6</f>
        <v>26.474</v>
      </c>
      <c r="D37" s="149"/>
      <c r="E37" s="2"/>
      <c r="F37" s="2"/>
      <c r="G37" s="2"/>
      <c r="H37" s="2"/>
      <c r="I37" s="2"/>
      <c r="J37" s="2"/>
      <c r="K37" s="2"/>
      <c r="L37" s="2"/>
      <c r="M37" s="2"/>
      <c r="N37" s="2"/>
      <c r="O37" s="135" t="s">
        <v>81</v>
      </c>
      <c r="AE37" s="135" t="s">
        <v>33</v>
      </c>
      <c r="AF37" s="135" t="s">
        <v>81</v>
      </c>
    </row>
    <row r="38" spans="1:32">
      <c r="A38" s="133">
        <v>3</v>
      </c>
      <c r="B38" s="135" t="s">
        <v>82</v>
      </c>
      <c r="C38" s="143">
        <f>标准成本!D10</f>
        <v>53.68</v>
      </c>
      <c r="D38" s="149"/>
      <c r="E38" s="2"/>
      <c r="F38" s="2"/>
      <c r="G38" s="2"/>
      <c r="H38" s="2"/>
      <c r="I38" s="2"/>
      <c r="J38" s="2"/>
      <c r="K38" s="2"/>
      <c r="L38" s="2"/>
      <c r="M38" s="2"/>
      <c r="N38" s="2"/>
      <c r="O38" s="135" t="s">
        <v>82</v>
      </c>
      <c r="AE38" s="135" t="s">
        <v>39</v>
      </c>
      <c r="AF38" s="135" t="s">
        <v>82</v>
      </c>
    </row>
    <row r="39" spans="1:32" ht="15.6">
      <c r="A39" s="135" t="s">
        <v>79</v>
      </c>
      <c r="B39" s="140" t="s">
        <v>84</v>
      </c>
      <c r="C39" s="145"/>
      <c r="D39" s="145"/>
      <c r="O39" s="140" t="s">
        <v>84</v>
      </c>
      <c r="AE39" s="135" t="s">
        <v>83</v>
      </c>
      <c r="AF39" s="140" t="s">
        <v>84</v>
      </c>
    </row>
    <row r="40" spans="1:32">
      <c r="A40" s="133">
        <v>1</v>
      </c>
      <c r="B40" s="135" t="s">
        <v>85</v>
      </c>
      <c r="C40" s="145">
        <f>C34-C36-C37-C38</f>
        <v>199.9616</v>
      </c>
      <c r="D40" s="145"/>
      <c r="O40" s="135" t="s">
        <v>85</v>
      </c>
      <c r="AE40" s="135" t="s">
        <v>28</v>
      </c>
      <c r="AF40" s="135" t="s">
        <v>85</v>
      </c>
    </row>
    <row r="41" spans="1:32">
      <c r="A41" s="133">
        <v>2</v>
      </c>
      <c r="B41" s="135" t="s">
        <v>86</v>
      </c>
      <c r="C41" s="145"/>
      <c r="D41" s="145"/>
      <c r="O41" s="135" t="s">
        <v>86</v>
      </c>
      <c r="AE41" s="135" t="s">
        <v>30</v>
      </c>
      <c r="AF41" s="135" t="s">
        <v>86</v>
      </c>
    </row>
    <row r="42" spans="1:32" ht="15.6">
      <c r="A42" s="135" t="s">
        <v>83</v>
      </c>
      <c r="B42" s="140" t="s">
        <v>88</v>
      </c>
      <c r="C42" s="145"/>
      <c r="D42" s="145"/>
      <c r="O42" s="140" t="s">
        <v>88</v>
      </c>
      <c r="AE42" s="135" t="s">
        <v>87</v>
      </c>
      <c r="AF42" s="140" t="s">
        <v>88</v>
      </c>
    </row>
    <row r="43" spans="1:32">
      <c r="A43" s="133">
        <v>1</v>
      </c>
      <c r="B43" s="146" t="s">
        <v>89</v>
      </c>
      <c r="C43" s="143">
        <f>标准成本!D5</f>
        <v>50.02</v>
      </c>
      <c r="D43" s="145"/>
      <c r="O43" s="135" t="s">
        <v>89</v>
      </c>
      <c r="AE43" s="135" t="s">
        <v>28</v>
      </c>
      <c r="AF43" s="135" t="s">
        <v>89</v>
      </c>
    </row>
    <row r="44" spans="1:32">
      <c r="A44" s="133">
        <v>2</v>
      </c>
      <c r="B44" s="146" t="s">
        <v>90</v>
      </c>
      <c r="C44" s="143">
        <f>标准成本!D9</f>
        <v>8.5399999999999991</v>
      </c>
      <c r="D44" s="145"/>
      <c r="O44" s="135" t="s">
        <v>90</v>
      </c>
      <c r="AE44" s="135" t="s">
        <v>30</v>
      </c>
      <c r="AF44" s="135" t="s">
        <v>90</v>
      </c>
    </row>
    <row r="45" spans="1:32">
      <c r="A45" s="133">
        <v>3</v>
      </c>
      <c r="B45" s="146" t="s">
        <v>91</v>
      </c>
      <c r="C45" s="143">
        <f>标准成本!D8</f>
        <v>41.48</v>
      </c>
      <c r="D45" s="145"/>
      <c r="O45" s="135" t="s">
        <v>91</v>
      </c>
      <c r="AE45" s="135" t="s">
        <v>76</v>
      </c>
      <c r="AF45" s="135" t="s">
        <v>91</v>
      </c>
    </row>
    <row r="46" spans="1:32" s="130" customFormat="1">
      <c r="A46" s="133">
        <v>4</v>
      </c>
      <c r="B46" s="146" t="s">
        <v>92</v>
      </c>
      <c r="C46" s="151">
        <f>C21/C6</f>
        <v>54.44444444444445</v>
      </c>
      <c r="D46" s="151"/>
      <c r="O46" s="146" t="s">
        <v>94</v>
      </c>
      <c r="AE46" s="146" t="s">
        <v>36</v>
      </c>
      <c r="AF46" s="146" t="s">
        <v>94</v>
      </c>
    </row>
    <row r="47" spans="1:32" s="130" customFormat="1">
      <c r="A47" s="133">
        <v>5</v>
      </c>
      <c r="B47" s="146" t="s">
        <v>94</v>
      </c>
      <c r="C47" s="151">
        <f>标准成本!D11</f>
        <v>36.6</v>
      </c>
      <c r="D47" s="151"/>
      <c r="O47" s="146" t="s">
        <v>94</v>
      </c>
      <c r="AE47" s="146" t="s">
        <v>36</v>
      </c>
      <c r="AF47" s="146" t="s">
        <v>94</v>
      </c>
    </row>
    <row r="48" spans="1:32" ht="15.6">
      <c r="A48" s="135" t="s">
        <v>87</v>
      </c>
      <c r="B48" s="140" t="s">
        <v>105</v>
      </c>
      <c r="C48" s="145">
        <f>C40-C43-C44-C45-C47-C46</f>
        <v>8.8771555555555608</v>
      </c>
      <c r="D48" s="145"/>
      <c r="O48" s="140" t="s">
        <v>105</v>
      </c>
      <c r="AE48" s="135" t="s">
        <v>104</v>
      </c>
      <c r="AF48" s="140" t="s">
        <v>105</v>
      </c>
    </row>
    <row r="51" spans="2:9">
      <c r="C51" s="152"/>
    </row>
    <row r="54" spans="2:9">
      <c r="B54" s="2"/>
      <c r="C54" s="20"/>
      <c r="D54" s="20"/>
      <c r="E54" s="2"/>
      <c r="F54" s="2"/>
      <c r="G54" s="2"/>
      <c r="H54" s="2"/>
      <c r="I54" s="2"/>
    </row>
    <row r="55" spans="2:9">
      <c r="B55" s="2"/>
      <c r="C55" s="20"/>
      <c r="D55" s="20"/>
      <c r="E55" s="2"/>
      <c r="F55" s="2"/>
      <c r="G55" s="2"/>
      <c r="H55" s="2"/>
      <c r="I55" s="2"/>
    </row>
    <row r="56" spans="2:9">
      <c r="B56" s="2"/>
      <c r="C56" s="20"/>
      <c r="D56" s="20"/>
      <c r="E56" s="2"/>
      <c r="F56" s="2"/>
      <c r="G56" s="2"/>
      <c r="H56" s="2"/>
      <c r="I56" s="2"/>
    </row>
    <row r="57" spans="2:9">
      <c r="B57" s="2"/>
      <c r="C57" s="20"/>
      <c r="D57" s="20"/>
      <c r="E57" s="2"/>
      <c r="F57" s="2"/>
      <c r="G57" s="2"/>
      <c r="H57" s="2"/>
      <c r="I57" s="2"/>
    </row>
    <row r="58" spans="2:9">
      <c r="B58" s="2"/>
      <c r="C58" s="20"/>
      <c r="D58" s="20"/>
      <c r="E58" s="2"/>
      <c r="F58" s="2"/>
      <c r="G58" s="2"/>
      <c r="H58" s="2"/>
      <c r="I58" s="2"/>
    </row>
    <row r="59" spans="2:9">
      <c r="B59" s="2"/>
      <c r="C59" s="20"/>
      <c r="D59" s="20"/>
      <c r="E59" s="2"/>
      <c r="F59" s="2"/>
      <c r="G59" s="2"/>
      <c r="H59" s="2"/>
      <c r="I59" s="2"/>
    </row>
    <row r="60" spans="2:9">
      <c r="B60" s="2"/>
      <c r="C60" s="20"/>
      <c r="D60" s="20"/>
      <c r="E60" s="2"/>
      <c r="F60" s="2"/>
      <c r="G60" s="2"/>
      <c r="H60" s="2"/>
      <c r="I60" s="2"/>
    </row>
    <row r="61" spans="2:9">
      <c r="B61" s="2"/>
      <c r="C61" s="20"/>
      <c r="D61" s="20"/>
      <c r="E61" s="2"/>
      <c r="F61" s="2"/>
      <c r="G61" s="2"/>
      <c r="H61" s="2"/>
      <c r="I61" s="2"/>
    </row>
    <row r="62" spans="2:9">
      <c r="B62" s="2"/>
      <c r="C62" s="20"/>
      <c r="D62" s="20"/>
      <c r="E62" s="2"/>
      <c r="F62" s="2"/>
      <c r="G62" s="2"/>
      <c r="H62" s="2"/>
      <c r="I62" s="2"/>
    </row>
    <row r="63" spans="2:9">
      <c r="B63" s="2"/>
      <c r="C63" s="20"/>
      <c r="D63" s="20"/>
      <c r="E63" s="2"/>
      <c r="F63" s="2"/>
      <c r="G63" s="2"/>
      <c r="H63" s="2"/>
      <c r="I63" s="2"/>
    </row>
    <row r="64" spans="2:9">
      <c r="B64" s="2"/>
      <c r="C64" s="20"/>
      <c r="D64" s="20"/>
      <c r="E64" s="2"/>
      <c r="F64" s="2"/>
      <c r="G64" s="2"/>
      <c r="H64" s="2"/>
      <c r="I64" s="2"/>
    </row>
    <row r="65" spans="2:9">
      <c r="B65" s="2"/>
      <c r="C65" s="20"/>
      <c r="D65" s="20"/>
      <c r="E65" s="2"/>
      <c r="F65" s="2"/>
      <c r="G65" s="2"/>
      <c r="H65" s="2"/>
      <c r="I65" s="2"/>
    </row>
    <row r="66" spans="2:9">
      <c r="B66" s="2"/>
      <c r="C66" s="20"/>
      <c r="D66" s="20"/>
      <c r="E66" s="2"/>
      <c r="F66" s="2"/>
      <c r="G66" s="2"/>
      <c r="H66" s="2"/>
      <c r="I66" s="2"/>
    </row>
    <row r="67" spans="2:9">
      <c r="B67" s="2"/>
      <c r="C67" s="20"/>
      <c r="D67" s="20"/>
      <c r="E67" s="2"/>
    </row>
    <row r="68" spans="2:9">
      <c r="B68" s="2"/>
      <c r="C68" s="20"/>
      <c r="D68" s="20"/>
      <c r="E68" s="2"/>
    </row>
    <row r="69" spans="2:9">
      <c r="B69" s="2"/>
      <c r="C69" s="20"/>
      <c r="D69" s="20"/>
      <c r="E69" s="2"/>
    </row>
    <row r="70" spans="2:9">
      <c r="B70" s="2"/>
      <c r="C70" s="20"/>
      <c r="D70" s="20"/>
      <c r="E70" s="2"/>
    </row>
    <row r="71" spans="2:9">
      <c r="B71" s="2"/>
      <c r="C71" s="20"/>
      <c r="D71" s="20"/>
      <c r="E71" s="2"/>
    </row>
    <row r="72" spans="2:9">
      <c r="B72" s="2"/>
      <c r="C72" s="20"/>
      <c r="D72" s="20"/>
      <c r="E72" s="2"/>
    </row>
    <row r="73" spans="2:9">
      <c r="B73" s="2"/>
      <c r="C73" s="20"/>
      <c r="D73" s="20"/>
      <c r="E73" s="2"/>
    </row>
    <row r="74" spans="2:9">
      <c r="B74" s="2"/>
      <c r="C74" s="20"/>
      <c r="D74" s="20"/>
      <c r="E74" s="2"/>
    </row>
  </sheetData>
  <mergeCells count="8">
    <mergeCell ref="A4:B4"/>
    <mergeCell ref="A5:B5"/>
    <mergeCell ref="D3:D5"/>
    <mergeCell ref="A1:B1"/>
    <mergeCell ref="C1:D1"/>
    <mergeCell ref="A2:B2"/>
    <mergeCell ref="C2:D2"/>
    <mergeCell ref="A3:B3"/>
  </mergeCells>
  <phoneticPr fontId="5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L22" sqref="L22"/>
    </sheetView>
  </sheetViews>
  <sheetFormatPr defaultColWidth="9" defaultRowHeight="14.4"/>
  <cols>
    <col min="1" max="1" width="20.6640625" customWidth="1"/>
    <col min="2" max="2" width="14.21875" style="96" customWidth="1"/>
    <col min="3" max="3" width="13.109375" customWidth="1"/>
    <col min="4" max="6" width="14.44140625" customWidth="1"/>
    <col min="7" max="7" width="20.44140625" customWidth="1"/>
    <col min="8" max="8" width="34.77734375" customWidth="1"/>
    <col min="9" max="9" width="16.21875" customWidth="1"/>
    <col min="10" max="10" width="14.109375" customWidth="1"/>
    <col min="12" max="12" width="10.5546875" bestFit="1" customWidth="1"/>
  </cols>
  <sheetData>
    <row r="1" spans="1:10" ht="20.399999999999999">
      <c r="A1" s="250" t="s">
        <v>162</v>
      </c>
      <c r="B1" s="250"/>
      <c r="C1" s="250"/>
      <c r="E1" s="251" t="s">
        <v>163</v>
      </c>
      <c r="F1" s="252"/>
      <c r="G1" s="252"/>
      <c r="H1" s="253"/>
      <c r="J1" s="121"/>
    </row>
    <row r="2" spans="1:10" ht="23.4" customHeight="1">
      <c r="A2" s="97" t="s">
        <v>1</v>
      </c>
      <c r="B2" s="98" t="s">
        <v>164</v>
      </c>
      <c r="C2" s="99" t="s">
        <v>165</v>
      </c>
      <c r="E2" s="100" t="s">
        <v>166</v>
      </c>
      <c r="F2" s="100" t="s">
        <v>1</v>
      </c>
      <c r="G2" s="101" t="s">
        <v>167</v>
      </c>
      <c r="H2" s="100" t="s">
        <v>165</v>
      </c>
      <c r="J2" s="122"/>
    </row>
    <row r="3" spans="1:10" ht="15.75" customHeight="1">
      <c r="A3" s="102" t="s">
        <v>168</v>
      </c>
      <c r="B3" s="103"/>
      <c r="C3" s="104"/>
      <c r="E3" s="258" t="s">
        <v>169</v>
      </c>
      <c r="F3" s="105" t="s">
        <v>170</v>
      </c>
      <c r="G3" s="106"/>
      <c r="H3" s="107"/>
      <c r="J3" s="249"/>
    </row>
    <row r="4" spans="1:10" ht="15.75" customHeight="1">
      <c r="A4" s="102" t="s">
        <v>171</v>
      </c>
      <c r="B4" s="103"/>
      <c r="C4" s="108"/>
      <c r="E4" s="259"/>
      <c r="F4" s="105" t="s">
        <v>172</v>
      </c>
      <c r="G4" s="106"/>
      <c r="H4" s="109"/>
      <c r="J4" s="249"/>
    </row>
    <row r="5" spans="1:10" ht="15.75" customHeight="1">
      <c r="A5" s="102" t="s">
        <v>173</v>
      </c>
      <c r="B5" s="110">
        <f>SUM(G3:G4)</f>
        <v>0</v>
      </c>
      <c r="C5" s="104"/>
      <c r="E5" s="260" t="s">
        <v>174</v>
      </c>
      <c r="F5" s="111" t="s">
        <v>175</v>
      </c>
      <c r="G5" s="106"/>
      <c r="H5" s="112"/>
      <c r="J5" s="123"/>
    </row>
    <row r="6" spans="1:10" ht="15.75" customHeight="1">
      <c r="A6" s="102" t="s">
        <v>176</v>
      </c>
      <c r="B6" s="103"/>
      <c r="C6" s="104"/>
      <c r="E6" s="261"/>
      <c r="F6" s="111" t="s">
        <v>177</v>
      </c>
      <c r="G6" s="106"/>
      <c r="H6" s="109"/>
      <c r="J6" s="123"/>
    </row>
    <row r="7" spans="1:10" ht="15.75" customHeight="1">
      <c r="A7" s="113" t="s">
        <v>178</v>
      </c>
      <c r="B7" s="110">
        <f>SUM(B3:B6)</f>
        <v>0</v>
      </c>
      <c r="C7" s="104"/>
      <c r="E7" s="261"/>
      <c r="F7" s="111" t="s">
        <v>179</v>
      </c>
      <c r="G7" s="106"/>
      <c r="H7" s="109"/>
      <c r="J7" s="123"/>
    </row>
    <row r="8" spans="1:10" ht="15.75" customHeight="1">
      <c r="A8" s="114" t="s">
        <v>180</v>
      </c>
      <c r="B8" s="110">
        <f>SUM(G5:G12)</f>
        <v>0</v>
      </c>
      <c r="C8" s="115"/>
      <c r="E8" s="261"/>
      <c r="F8" s="111" t="s">
        <v>181</v>
      </c>
      <c r="G8" s="106"/>
      <c r="H8" s="109"/>
      <c r="J8" s="123"/>
    </row>
    <row r="9" spans="1:10" ht="15.75" customHeight="1">
      <c r="A9" s="102" t="s">
        <v>182</v>
      </c>
      <c r="B9" s="110">
        <f>SUM(G13:G21)</f>
        <v>4.9000000000000004</v>
      </c>
      <c r="C9" s="104"/>
      <c r="E9" s="261"/>
      <c r="F9" s="105" t="s">
        <v>183</v>
      </c>
      <c r="G9" s="106"/>
      <c r="H9" s="109"/>
      <c r="J9" s="123"/>
    </row>
    <row r="10" spans="1:10" ht="15.75" customHeight="1">
      <c r="A10" s="108" t="s">
        <v>24</v>
      </c>
      <c r="B10" s="110">
        <f>B7+B8+B9</f>
        <v>4.9000000000000004</v>
      </c>
      <c r="C10" s="104"/>
      <c r="E10" s="261"/>
      <c r="F10" s="105" t="s">
        <v>184</v>
      </c>
      <c r="G10" s="106"/>
      <c r="H10" s="116"/>
      <c r="J10" s="123"/>
    </row>
    <row r="11" spans="1:10" ht="15.75" customHeight="1">
      <c r="E11" s="261"/>
      <c r="F11" s="105" t="s">
        <v>185</v>
      </c>
      <c r="G11" s="106"/>
      <c r="H11" s="116"/>
      <c r="J11" s="123"/>
    </row>
    <row r="12" spans="1:10" ht="15.75" customHeight="1">
      <c r="E12" s="262"/>
      <c r="F12" s="105" t="s">
        <v>186</v>
      </c>
      <c r="G12" s="106">
        <v>0</v>
      </c>
      <c r="H12" s="109"/>
      <c r="J12" s="123"/>
    </row>
    <row r="13" spans="1:10" ht="15.75" customHeight="1">
      <c r="E13" s="258" t="s">
        <v>56</v>
      </c>
      <c r="F13" s="105" t="s">
        <v>187</v>
      </c>
      <c r="G13" s="106">
        <v>0</v>
      </c>
      <c r="H13" s="116"/>
      <c r="J13" s="124"/>
    </row>
    <row r="14" spans="1:10" ht="15.75" customHeight="1">
      <c r="E14" s="259"/>
      <c r="F14" s="105" t="s">
        <v>188</v>
      </c>
      <c r="G14" s="106">
        <v>0.1</v>
      </c>
      <c r="H14" s="109" t="s">
        <v>276</v>
      </c>
      <c r="J14" s="124"/>
    </row>
    <row r="15" spans="1:10" ht="15.75" customHeight="1">
      <c r="E15" s="259"/>
      <c r="F15" s="105" t="s">
        <v>189</v>
      </c>
      <c r="G15" s="106">
        <v>0.5</v>
      </c>
      <c r="H15" s="109" t="s">
        <v>277</v>
      </c>
      <c r="J15" s="124"/>
    </row>
    <row r="16" spans="1:10" ht="15.75" customHeight="1">
      <c r="E16" s="259"/>
      <c r="F16" s="105" t="s">
        <v>190</v>
      </c>
      <c r="G16" s="106"/>
      <c r="H16" s="109"/>
      <c r="J16" s="124"/>
    </row>
    <row r="17" spans="1:12" ht="15.75" customHeight="1">
      <c r="E17" s="259"/>
      <c r="F17" s="105" t="s">
        <v>191</v>
      </c>
      <c r="G17" s="106">
        <v>0.8</v>
      </c>
      <c r="H17" s="109" t="s">
        <v>278</v>
      </c>
      <c r="J17" s="124"/>
    </row>
    <row r="18" spans="1:12" ht="15.75" customHeight="1">
      <c r="E18" s="259"/>
      <c r="F18" s="105" t="s">
        <v>192</v>
      </c>
      <c r="G18" s="106">
        <v>1.5</v>
      </c>
      <c r="H18" s="116" t="s">
        <v>279</v>
      </c>
      <c r="J18" s="124"/>
    </row>
    <row r="19" spans="1:12" ht="15.75" customHeight="1">
      <c r="E19" s="259"/>
      <c r="F19" s="105" t="s">
        <v>193</v>
      </c>
      <c r="G19" s="106">
        <v>2</v>
      </c>
      <c r="H19" s="109" t="s">
        <v>280</v>
      </c>
      <c r="J19" s="124"/>
    </row>
    <row r="20" spans="1:12" ht="15.75" customHeight="1">
      <c r="E20" s="259"/>
      <c r="F20" s="105" t="s">
        <v>194</v>
      </c>
      <c r="G20" s="106">
        <v>0</v>
      </c>
      <c r="H20" s="109"/>
      <c r="J20" s="124"/>
    </row>
    <row r="21" spans="1:12" ht="15.75" customHeight="1">
      <c r="E21" s="263"/>
      <c r="F21" s="105" t="s">
        <v>133</v>
      </c>
      <c r="G21" s="106">
        <v>0</v>
      </c>
      <c r="H21" s="109"/>
      <c r="J21" s="124"/>
    </row>
    <row r="22" spans="1:12" ht="15.75" customHeight="1">
      <c r="E22" s="100" t="s">
        <v>24</v>
      </c>
      <c r="F22" s="105"/>
      <c r="G22" s="101">
        <f>SUM(G3:G21)</f>
        <v>4.9000000000000004</v>
      </c>
      <c r="H22" s="105"/>
      <c r="J22" s="125"/>
    </row>
    <row r="23" spans="1:12" ht="30.75" customHeight="1">
      <c r="E23" s="254" t="s">
        <v>195</v>
      </c>
      <c r="F23" s="254"/>
      <c r="G23" s="254"/>
      <c r="H23" s="254"/>
    </row>
    <row r="25" spans="1:12" ht="17.399999999999999">
      <c r="A25" s="48" t="s">
        <v>1</v>
      </c>
      <c r="B25" s="48" t="s">
        <v>164</v>
      </c>
      <c r="C25" s="48" t="s">
        <v>196</v>
      </c>
      <c r="D25" s="117" t="s">
        <v>197</v>
      </c>
      <c r="E25" s="117" t="s">
        <v>198</v>
      </c>
      <c r="F25" s="117" t="s">
        <v>199</v>
      </c>
      <c r="G25" s="117" t="s">
        <v>200</v>
      </c>
      <c r="H25" s="117" t="s">
        <v>201</v>
      </c>
      <c r="I25" s="117" t="s">
        <v>24</v>
      </c>
      <c r="J25" s="126" t="s">
        <v>202</v>
      </c>
    </row>
    <row r="26" spans="1:12" ht="16.2">
      <c r="A26" s="118" t="s">
        <v>155</v>
      </c>
      <c r="B26" s="119">
        <f>(B5+B8)*10000</f>
        <v>0</v>
      </c>
      <c r="C26" s="120">
        <v>0.05</v>
      </c>
      <c r="D26" s="44">
        <f>B26*(1-C26)/3</f>
        <v>0</v>
      </c>
      <c r="E26" s="44">
        <f t="shared" ref="E26:F27" si="0">D26</f>
        <v>0</v>
      </c>
      <c r="F26" s="44">
        <f t="shared" si="0"/>
        <v>0</v>
      </c>
      <c r="G26" s="44"/>
      <c r="H26" s="44"/>
      <c r="I26" s="44">
        <f>SUM(D26:H26)</f>
        <v>0</v>
      </c>
      <c r="J26" s="44">
        <f>B26*0.05</f>
        <v>0</v>
      </c>
    </row>
    <row r="27" spans="1:12" ht="16.2">
      <c r="A27" s="118" t="s">
        <v>203</v>
      </c>
      <c r="B27" s="119">
        <f>B9*10000</f>
        <v>49000</v>
      </c>
      <c r="C27" s="44"/>
      <c r="D27" s="44">
        <f>B27/3</f>
        <v>16333.333333333334</v>
      </c>
      <c r="E27" s="44">
        <f t="shared" si="0"/>
        <v>16333.333333333334</v>
      </c>
      <c r="F27" s="44">
        <f t="shared" si="0"/>
        <v>16333.333333333334</v>
      </c>
      <c r="G27" s="44"/>
      <c r="H27" s="44"/>
      <c r="I27" s="44">
        <f>SUM(D27:H27)</f>
        <v>49000</v>
      </c>
      <c r="J27" s="44"/>
      <c r="L27" s="231">
        <f>I27/800</f>
        <v>61.25</v>
      </c>
    </row>
    <row r="28" spans="1:12" ht="16.2">
      <c r="A28" s="255" t="s">
        <v>113</v>
      </c>
      <c r="B28" s="256"/>
      <c r="C28" s="257"/>
      <c r="D28" s="44">
        <f>SUM(D26:D27)</f>
        <v>16333.333333333334</v>
      </c>
      <c r="E28" s="44">
        <f t="shared" ref="E28:H28" si="1">SUM(E26:E27)</f>
        <v>16333.333333333334</v>
      </c>
      <c r="F28" s="44">
        <f t="shared" si="1"/>
        <v>16333.333333333334</v>
      </c>
      <c r="G28" s="44"/>
      <c r="H28" s="44">
        <f t="shared" si="1"/>
        <v>0</v>
      </c>
      <c r="I28" s="127"/>
      <c r="J28" s="127"/>
    </row>
    <row r="40" spans="9:9">
      <c r="I40" s="12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57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85" zoomScaleNormal="85" workbookViewId="0">
      <selection activeCell="D10" sqref="D10"/>
    </sheetView>
  </sheetViews>
  <sheetFormatPr defaultColWidth="9" defaultRowHeight="19.2"/>
  <cols>
    <col min="1" max="1" width="14" style="56" customWidth="1"/>
    <col min="2" max="2" width="14.109375" style="56" customWidth="1"/>
    <col min="3" max="3" width="18.21875" style="56" customWidth="1"/>
    <col min="4" max="11" width="14.88671875" style="56" customWidth="1"/>
    <col min="12" max="12" width="11.6640625" style="56" customWidth="1"/>
    <col min="13" max="13" width="15.6640625" style="56" customWidth="1"/>
    <col min="14" max="14" width="12.21875" style="56" customWidth="1"/>
    <col min="15" max="15" width="9" style="56"/>
    <col min="16" max="16" width="19.44140625" style="56"/>
    <col min="17" max="16384" width="9" style="56"/>
  </cols>
  <sheetData>
    <row r="1" spans="1:16" ht="29.25" customHeight="1">
      <c r="A1" s="264" t="s">
        <v>204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6" ht="24" customHeight="1">
      <c r="A2" s="57" t="s">
        <v>205</v>
      </c>
      <c r="E2" s="58"/>
      <c r="F2" s="58"/>
      <c r="G2" s="58"/>
      <c r="H2" s="58"/>
      <c r="I2" s="58"/>
      <c r="J2" s="58"/>
      <c r="K2" s="58"/>
      <c r="L2" s="58"/>
    </row>
    <row r="3" spans="1:16">
      <c r="C3" s="56" t="s">
        <v>206</v>
      </c>
      <c r="D3" s="59" t="s">
        <v>207</v>
      </c>
      <c r="E3" s="60">
        <v>0.04</v>
      </c>
      <c r="F3" s="61"/>
      <c r="G3" s="61"/>
      <c r="H3" s="61"/>
    </row>
    <row r="4" spans="1:16">
      <c r="K4" s="89"/>
    </row>
    <row r="5" spans="1:16" ht="45" customHeight="1">
      <c r="A5" s="266" t="s">
        <v>208</v>
      </c>
      <c r="B5" s="63" t="s">
        <v>148</v>
      </c>
      <c r="C5" s="64" t="s">
        <v>149</v>
      </c>
      <c r="D5" s="65"/>
      <c r="E5" s="50"/>
      <c r="F5" s="66"/>
      <c r="G5" s="67"/>
      <c r="H5" s="67"/>
      <c r="I5" s="67"/>
      <c r="J5" s="67"/>
      <c r="K5" s="90"/>
      <c r="L5" s="265" t="s">
        <v>24</v>
      </c>
    </row>
    <row r="6" spans="1:16" ht="31.5" customHeight="1">
      <c r="A6" s="266"/>
      <c r="B6" s="63" t="s">
        <v>150</v>
      </c>
      <c r="C6" s="68" t="s">
        <v>151</v>
      </c>
      <c r="D6" s="65"/>
      <c r="E6" s="50"/>
      <c r="F6" s="66"/>
      <c r="G6" s="67"/>
      <c r="H6" s="67"/>
      <c r="I6" s="67"/>
      <c r="J6" s="67"/>
      <c r="K6" s="91"/>
      <c r="L6" s="265"/>
      <c r="N6" s="56">
        <v>100</v>
      </c>
    </row>
    <row r="7" spans="1:16" ht="46.8">
      <c r="A7" s="266"/>
      <c r="B7" s="69" t="s">
        <v>209</v>
      </c>
      <c r="C7" s="70" t="s">
        <v>210</v>
      </c>
      <c r="D7" s="65"/>
      <c r="E7" s="71"/>
      <c r="F7" s="66"/>
      <c r="G7" s="67"/>
      <c r="H7" s="67"/>
      <c r="I7" s="67"/>
      <c r="J7" s="67"/>
      <c r="K7" s="91"/>
      <c r="L7" s="265"/>
      <c r="N7" s="56">
        <v>100</v>
      </c>
      <c r="O7" s="56">
        <f>N7/$N$6</f>
        <v>1</v>
      </c>
    </row>
    <row r="8" spans="1:16" ht="57.6">
      <c r="A8" s="266"/>
      <c r="B8" s="72" t="s">
        <v>211</v>
      </c>
      <c r="C8" s="65">
        <v>1220</v>
      </c>
      <c r="D8" s="65"/>
      <c r="E8" s="73"/>
      <c r="F8" s="74"/>
      <c r="G8" s="75"/>
      <c r="H8" s="75"/>
      <c r="I8" s="75"/>
      <c r="J8" s="75"/>
      <c r="K8" s="91"/>
      <c r="L8" s="265"/>
      <c r="M8" s="88">
        <f>SUM(C8:K8)</f>
        <v>1220</v>
      </c>
      <c r="N8" s="56">
        <f>N7*(1-$E$3)</f>
        <v>96</v>
      </c>
      <c r="O8" s="56">
        <f t="shared" ref="O8:O9" si="0">N8/$N$6</f>
        <v>0.96</v>
      </c>
      <c r="P8" s="88">
        <f>M8*N8/100</f>
        <v>1171.2</v>
      </c>
    </row>
    <row r="9" spans="1:16">
      <c r="A9" s="266" t="s">
        <v>212</v>
      </c>
      <c r="B9" s="62" t="s">
        <v>197</v>
      </c>
      <c r="C9" s="76">
        <v>200</v>
      </c>
      <c r="D9" s="76"/>
      <c r="E9" s="77"/>
      <c r="F9" s="78"/>
      <c r="G9" s="78"/>
      <c r="H9" s="78"/>
      <c r="I9" s="78"/>
      <c r="J9" s="78"/>
      <c r="K9" s="82"/>
      <c r="L9" s="92">
        <f>SUM(C9:K9)</f>
        <v>200</v>
      </c>
      <c r="N9" s="56">
        <f t="shared" ref="N9" si="1">N8*(1-$E$3)</f>
        <v>92.16</v>
      </c>
      <c r="O9" s="56">
        <f t="shared" si="0"/>
        <v>0.92159999999999997</v>
      </c>
      <c r="P9" s="88">
        <f>M8*N9/100</f>
        <v>1124.3520000000001</v>
      </c>
    </row>
    <row r="10" spans="1:16">
      <c r="A10" s="266"/>
      <c r="B10" s="62" t="s">
        <v>198</v>
      </c>
      <c r="C10" s="79">
        <v>300</v>
      </c>
      <c r="D10" s="79"/>
      <c r="E10" s="77"/>
      <c r="F10" s="78"/>
      <c r="G10" s="78"/>
      <c r="H10" s="78"/>
      <c r="I10" s="78"/>
      <c r="J10" s="78"/>
      <c r="K10" s="93"/>
      <c r="L10" s="92">
        <f t="shared" ref="L10:L14" si="2">SUM(C10:K10)</f>
        <v>300</v>
      </c>
    </row>
    <row r="11" spans="1:16">
      <c r="A11" s="266"/>
      <c r="B11" s="62" t="s">
        <v>199</v>
      </c>
      <c r="C11" s="79">
        <v>300</v>
      </c>
      <c r="D11" s="79"/>
      <c r="E11" s="77"/>
      <c r="F11" s="78"/>
      <c r="G11" s="78"/>
      <c r="H11" s="78"/>
      <c r="I11" s="78"/>
      <c r="J11" s="78"/>
      <c r="K11" s="82"/>
      <c r="L11" s="92">
        <f t="shared" si="2"/>
        <v>300</v>
      </c>
    </row>
    <row r="12" spans="1:16">
      <c r="A12" s="266"/>
      <c r="B12" s="62" t="s">
        <v>200</v>
      </c>
      <c r="C12" s="80"/>
      <c r="D12" s="80"/>
      <c r="E12" s="77"/>
      <c r="F12" s="78"/>
      <c r="G12" s="78"/>
      <c r="H12" s="78"/>
      <c r="I12" s="78"/>
      <c r="J12" s="78"/>
      <c r="K12" s="94"/>
      <c r="L12" s="92">
        <f t="shared" si="2"/>
        <v>0</v>
      </c>
    </row>
    <row r="13" spans="1:16">
      <c r="A13" s="266"/>
      <c r="B13" s="62" t="s">
        <v>201</v>
      </c>
      <c r="C13" s="80"/>
      <c r="D13" s="80"/>
      <c r="E13" s="80"/>
      <c r="F13" s="78"/>
      <c r="G13" s="78"/>
      <c r="H13" s="78"/>
      <c r="I13" s="78"/>
      <c r="J13" s="78"/>
      <c r="K13" s="94"/>
      <c r="L13" s="92">
        <f t="shared" si="2"/>
        <v>0</v>
      </c>
    </row>
    <row r="14" spans="1:16">
      <c r="A14" s="266"/>
      <c r="B14" s="62" t="s">
        <v>213</v>
      </c>
      <c r="C14" s="81"/>
      <c r="D14" s="81"/>
      <c r="E14" s="81"/>
      <c r="F14" s="82"/>
      <c r="G14" s="82"/>
      <c r="H14" s="82"/>
      <c r="I14" s="82"/>
      <c r="J14" s="82"/>
      <c r="K14" s="82"/>
      <c r="L14" s="92">
        <f t="shared" si="2"/>
        <v>0</v>
      </c>
    </row>
    <row r="15" spans="1:16">
      <c r="A15" s="265" t="s">
        <v>24</v>
      </c>
      <c r="B15" s="265"/>
      <c r="C15" s="83">
        <f>SUM(C9:C14)</f>
        <v>800</v>
      </c>
      <c r="D15" s="83">
        <f>SUM(D9:D14)</f>
        <v>0</v>
      </c>
      <c r="E15" s="83">
        <f t="shared" ref="E15:L15" si="3">SUM(E9:E14)</f>
        <v>0</v>
      </c>
      <c r="F15" s="83">
        <f t="shared" si="3"/>
        <v>0</v>
      </c>
      <c r="G15" s="83">
        <f t="shared" si="3"/>
        <v>0</v>
      </c>
      <c r="H15" s="83">
        <f t="shared" si="3"/>
        <v>0</v>
      </c>
      <c r="I15" s="83">
        <f t="shared" si="3"/>
        <v>0</v>
      </c>
      <c r="J15" s="83">
        <f t="shared" si="3"/>
        <v>0</v>
      </c>
      <c r="K15" s="83">
        <f t="shared" si="3"/>
        <v>0</v>
      </c>
      <c r="L15" s="83">
        <f t="shared" si="3"/>
        <v>800</v>
      </c>
    </row>
    <row r="16" spans="1:16">
      <c r="A16" s="84"/>
      <c r="B16" s="84"/>
      <c r="C16" s="84"/>
    </row>
    <row r="17" spans="2:14" ht="29.25" customHeight="1">
      <c r="B17" s="85" t="s">
        <v>214</v>
      </c>
      <c r="C17" s="86">
        <v>859</v>
      </c>
      <c r="D17" s="86">
        <f>材料成本!E12</f>
        <v>0</v>
      </c>
      <c r="E17" s="86"/>
      <c r="F17" s="86"/>
      <c r="G17" s="86"/>
      <c r="H17" s="86"/>
      <c r="I17" s="86"/>
      <c r="J17" s="86"/>
      <c r="K17" s="85"/>
      <c r="L17" s="85"/>
      <c r="M17" s="84"/>
      <c r="N17" s="88"/>
    </row>
    <row r="18" spans="2:14" ht="29.25" customHeight="1">
      <c r="B18" s="85" t="s">
        <v>72</v>
      </c>
      <c r="C18" s="86">
        <f>C8-C17</f>
        <v>361</v>
      </c>
      <c r="D18" s="86">
        <f t="shared" ref="D18:J18" si="4">D8-D17</f>
        <v>0</v>
      </c>
      <c r="E18" s="86"/>
      <c r="F18" s="86">
        <f t="shared" si="4"/>
        <v>0</v>
      </c>
      <c r="G18" s="86">
        <f t="shared" si="4"/>
        <v>0</v>
      </c>
      <c r="H18" s="86">
        <f t="shared" si="4"/>
        <v>0</v>
      </c>
      <c r="I18" s="86">
        <f t="shared" si="4"/>
        <v>0</v>
      </c>
      <c r="J18" s="86">
        <f t="shared" si="4"/>
        <v>0</v>
      </c>
      <c r="K18" s="85"/>
      <c r="L18" s="85"/>
      <c r="M18" s="84"/>
      <c r="N18" s="88"/>
    </row>
    <row r="19" spans="2:14" ht="29.25" customHeight="1">
      <c r="B19" s="85" t="s">
        <v>215</v>
      </c>
      <c r="C19" s="87">
        <f>C18/C8</f>
        <v>0.295901639344262</v>
      </c>
      <c r="D19" s="87" t="e">
        <f t="shared" ref="D19:J19" si="5">D18/D8</f>
        <v>#DIV/0!</v>
      </c>
      <c r="E19" s="87" t="e">
        <f t="shared" si="5"/>
        <v>#DIV/0!</v>
      </c>
      <c r="F19" s="87" t="e">
        <f t="shared" si="5"/>
        <v>#DIV/0!</v>
      </c>
      <c r="G19" s="87" t="e">
        <f t="shared" si="5"/>
        <v>#DIV/0!</v>
      </c>
      <c r="H19" s="87" t="e">
        <f t="shared" si="5"/>
        <v>#DIV/0!</v>
      </c>
      <c r="I19" s="87" t="e">
        <f t="shared" si="5"/>
        <v>#DIV/0!</v>
      </c>
      <c r="J19" s="87" t="e">
        <f t="shared" si="5"/>
        <v>#DIV/0!</v>
      </c>
      <c r="K19" s="85"/>
      <c r="L19" s="85"/>
      <c r="M19" s="95"/>
      <c r="N19" s="95"/>
    </row>
    <row r="21" spans="2:14">
      <c r="C21" s="88"/>
      <c r="D21" s="88"/>
      <c r="E21" s="88"/>
      <c r="M21" s="88"/>
    </row>
    <row r="22" spans="2:14">
      <c r="C22" s="88"/>
      <c r="D22" s="88"/>
      <c r="E22" s="88"/>
      <c r="M22" s="88"/>
    </row>
  </sheetData>
  <mergeCells count="5">
    <mergeCell ref="A1:L1"/>
    <mergeCell ref="A15:B15"/>
    <mergeCell ref="A5:A8"/>
    <mergeCell ref="A9:A14"/>
    <mergeCell ref="L5:L8"/>
  </mergeCells>
  <phoneticPr fontId="5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I29" sqref="I29"/>
    </sheetView>
  </sheetViews>
  <sheetFormatPr defaultColWidth="9" defaultRowHeight="15.6"/>
  <cols>
    <col min="1" max="1" width="8.33203125" style="34" customWidth="1"/>
    <col min="2" max="2" width="8.88671875" style="34" customWidth="1"/>
    <col min="3" max="3" width="14" style="34" customWidth="1"/>
    <col min="4" max="4" width="16.6640625" style="34" customWidth="1"/>
    <col min="5" max="5" width="17" style="34" customWidth="1"/>
    <col min="6" max="11" width="16.21875" style="34" customWidth="1"/>
    <col min="12" max="12" width="17.109375" style="34" customWidth="1"/>
    <col min="13" max="13" width="17.33203125" style="34" customWidth="1"/>
    <col min="14" max="14" width="16" style="34" customWidth="1"/>
    <col min="15" max="16384" width="9" style="34"/>
  </cols>
  <sheetData>
    <row r="1" spans="1:15" s="32" customFormat="1" ht="28.5" customHeight="1">
      <c r="A1" s="280" t="s">
        <v>7</v>
      </c>
      <c r="B1" s="280"/>
      <c r="C1" s="35"/>
      <c r="N1" s="52"/>
    </row>
    <row r="2" spans="1:15" ht="16.2">
      <c r="A2" s="281" t="s">
        <v>216</v>
      </c>
      <c r="B2" s="281"/>
      <c r="C2" s="282"/>
      <c r="D2" s="282"/>
      <c r="E2" s="283" t="s">
        <v>217</v>
      </c>
      <c r="F2" s="284"/>
      <c r="G2" s="284"/>
      <c r="H2" s="284"/>
      <c r="I2" s="284"/>
      <c r="J2" s="284"/>
      <c r="K2" s="284"/>
      <c r="L2" s="284"/>
      <c r="M2" s="285"/>
    </row>
    <row r="3" spans="1:15" ht="24" customHeight="1">
      <c r="A3" s="287" t="s">
        <v>20</v>
      </c>
      <c r="B3" s="287" t="s">
        <v>218</v>
      </c>
      <c r="C3" s="36" t="s">
        <v>219</v>
      </c>
      <c r="D3" s="286" t="s">
        <v>153</v>
      </c>
      <c r="E3" s="286"/>
      <c r="F3" s="36" t="s">
        <v>220</v>
      </c>
      <c r="G3" s="37" t="s">
        <v>221</v>
      </c>
      <c r="H3" s="37"/>
      <c r="I3" s="37"/>
      <c r="J3" s="37"/>
      <c r="K3" s="37"/>
      <c r="L3" s="53"/>
      <c r="M3" s="288" t="s">
        <v>165</v>
      </c>
    </row>
    <row r="4" spans="1:15" ht="16.2">
      <c r="A4" s="287"/>
      <c r="B4" s="287"/>
      <c r="C4" s="36" t="s">
        <v>148</v>
      </c>
      <c r="D4" s="38" t="s">
        <v>149</v>
      </c>
      <c r="E4" s="38">
        <f>销量!D5</f>
        <v>0</v>
      </c>
      <c r="F4" s="38">
        <f>销量!E5</f>
        <v>0</v>
      </c>
      <c r="G4" s="38">
        <f>销量!F5</f>
        <v>0</v>
      </c>
      <c r="H4" s="38">
        <f>销量!G5</f>
        <v>0</v>
      </c>
      <c r="I4" s="38">
        <f>销量!H5</f>
        <v>0</v>
      </c>
      <c r="J4" s="38">
        <f>销量!I5</f>
        <v>0</v>
      </c>
      <c r="K4" s="38">
        <f>销量!J5</f>
        <v>0</v>
      </c>
      <c r="L4" s="38"/>
      <c r="M4" s="289"/>
    </row>
    <row r="5" spans="1:15" ht="32.4">
      <c r="A5" s="287"/>
      <c r="B5" s="287"/>
      <c r="C5" s="36" t="s">
        <v>222</v>
      </c>
      <c r="D5" s="39" t="s">
        <v>151</v>
      </c>
      <c r="E5" s="39">
        <f>销量!D6</f>
        <v>0</v>
      </c>
      <c r="F5" s="39">
        <f>销量!E6</f>
        <v>0</v>
      </c>
      <c r="G5" s="39">
        <f>销量!F6</f>
        <v>0</v>
      </c>
      <c r="H5" s="39">
        <f>销量!G6</f>
        <v>0</v>
      </c>
      <c r="I5" s="39">
        <f>销量!H6</f>
        <v>0</v>
      </c>
      <c r="J5" s="39">
        <f>销量!I6</f>
        <v>0</v>
      </c>
      <c r="K5" s="39">
        <f>销量!J6</f>
        <v>0</v>
      </c>
      <c r="L5" s="39"/>
      <c r="M5" s="290"/>
    </row>
    <row r="6" spans="1:15" s="33" customFormat="1" ht="38.25" customHeight="1">
      <c r="A6" s="40">
        <v>1</v>
      </c>
      <c r="B6" s="267"/>
      <c r="C6" s="268"/>
      <c r="D6" s="41">
        <v>859</v>
      </c>
      <c r="E6" s="41"/>
      <c r="F6" s="41"/>
      <c r="G6" s="41"/>
      <c r="H6" s="41"/>
      <c r="I6" s="41"/>
      <c r="J6" s="41"/>
      <c r="K6" s="41"/>
      <c r="L6" s="43"/>
      <c r="M6" s="7"/>
    </row>
    <row r="7" spans="1:15" s="33" customFormat="1" ht="16.5" customHeight="1">
      <c r="A7" s="40">
        <v>2</v>
      </c>
      <c r="B7" s="267"/>
      <c r="C7" s="268"/>
      <c r="D7" s="42"/>
      <c r="E7" s="42"/>
      <c r="F7" s="42"/>
      <c r="G7" s="42"/>
      <c r="H7" s="42"/>
      <c r="I7" s="42"/>
      <c r="J7" s="42"/>
      <c r="K7" s="42"/>
      <c r="L7" s="42"/>
      <c r="M7" s="54"/>
    </row>
    <row r="8" spans="1:15" s="33" customFormat="1" ht="16.5" customHeight="1">
      <c r="A8" s="40">
        <v>3</v>
      </c>
      <c r="B8" s="267"/>
      <c r="C8" s="268"/>
      <c r="D8" s="43"/>
      <c r="E8" s="42"/>
      <c r="F8" s="43"/>
      <c r="G8" s="43"/>
      <c r="H8" s="43"/>
      <c r="I8" s="43"/>
      <c r="J8" s="43"/>
      <c r="K8" s="43"/>
      <c r="L8" s="42"/>
      <c r="M8" s="54"/>
    </row>
    <row r="9" spans="1:15" s="33" customFormat="1">
      <c r="A9" s="40">
        <v>4</v>
      </c>
      <c r="B9" s="267"/>
      <c r="C9" s="268"/>
      <c r="D9" s="43"/>
      <c r="E9" s="42"/>
      <c r="F9" s="43"/>
      <c r="G9" s="43"/>
      <c r="H9" s="43"/>
      <c r="I9" s="43"/>
      <c r="J9" s="43"/>
      <c r="K9" s="43"/>
      <c r="L9" s="42"/>
      <c r="M9" s="54"/>
    </row>
    <row r="10" spans="1:15" s="33" customFormat="1" ht="16.5" customHeight="1">
      <c r="A10" s="40">
        <v>5</v>
      </c>
      <c r="B10" s="267"/>
      <c r="C10" s="268"/>
      <c r="D10" s="43"/>
      <c r="E10" s="42"/>
      <c r="F10" s="43"/>
      <c r="G10" s="43"/>
      <c r="H10" s="43"/>
      <c r="I10" s="43"/>
      <c r="J10" s="43"/>
      <c r="K10" s="43"/>
      <c r="L10" s="42"/>
      <c r="M10" s="54"/>
      <c r="N10" s="269"/>
      <c r="O10" s="270"/>
    </row>
    <row r="11" spans="1:15" s="33" customFormat="1" ht="16.5" customHeight="1">
      <c r="A11" s="40">
        <v>6</v>
      </c>
      <c r="B11" s="267"/>
      <c r="C11" s="268"/>
      <c r="D11" s="43"/>
      <c r="E11" s="42"/>
      <c r="F11" s="43"/>
      <c r="G11" s="43"/>
      <c r="H11" s="43"/>
      <c r="I11" s="43"/>
      <c r="J11" s="43"/>
      <c r="K11" s="43"/>
      <c r="L11" s="42"/>
      <c r="M11" s="54"/>
      <c r="N11" s="269"/>
      <c r="O11" s="270"/>
    </row>
    <row r="12" spans="1:15" ht="31.5" customHeight="1">
      <c r="A12" s="271" t="s">
        <v>223</v>
      </c>
      <c r="B12" s="272"/>
      <c r="C12" s="273"/>
      <c r="D12" s="44">
        <f>SUM(D6:D11)</f>
        <v>859</v>
      </c>
      <c r="E12" s="44">
        <f>SUM(E6:E11)</f>
        <v>0</v>
      </c>
      <c r="F12" s="44">
        <f>SUM(F6:F11)</f>
        <v>0</v>
      </c>
      <c r="G12" s="44">
        <f t="shared" ref="G12:L12" si="0">SUM(G6:G11)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4">
        <f t="shared" si="0"/>
        <v>0</v>
      </c>
      <c r="L12" s="44">
        <f t="shared" si="0"/>
        <v>0</v>
      </c>
      <c r="M12" s="55" t="s">
        <v>224</v>
      </c>
    </row>
    <row r="13" spans="1:15">
      <c r="D13" s="45"/>
      <c r="E13" s="46"/>
      <c r="F13" s="46"/>
      <c r="G13" s="46"/>
      <c r="H13" s="46"/>
      <c r="I13" s="46"/>
      <c r="J13" s="46"/>
      <c r="K13" s="46"/>
    </row>
    <row r="14" spans="1:15">
      <c r="D14" s="46"/>
      <c r="E14" s="46"/>
      <c r="F14" s="46"/>
      <c r="G14" s="46"/>
      <c r="H14" s="46"/>
      <c r="I14" s="46"/>
      <c r="J14" s="46"/>
      <c r="K14" s="46"/>
    </row>
    <row r="15" spans="1:15">
      <c r="D15" s="46"/>
      <c r="E15" s="46"/>
      <c r="F15" s="46"/>
      <c r="G15" s="46"/>
      <c r="H15" s="46"/>
      <c r="I15" s="46"/>
      <c r="J15" s="46"/>
      <c r="K15" s="46"/>
    </row>
    <row r="17" spans="2:13" ht="27.75" customHeight="1">
      <c r="C17" s="47"/>
      <c r="D17" s="274" t="s">
        <v>225</v>
      </c>
      <c r="E17" s="274"/>
      <c r="F17" s="274"/>
      <c r="G17" s="274"/>
      <c r="H17" s="274"/>
      <c r="I17" s="274"/>
      <c r="J17" s="274"/>
      <c r="K17" s="274"/>
      <c r="L17" s="274"/>
      <c r="M17" s="274"/>
    </row>
    <row r="18" spans="2:13">
      <c r="C18" s="278" t="s">
        <v>148</v>
      </c>
      <c r="D18" s="278" t="s">
        <v>226</v>
      </c>
      <c r="E18" s="275" t="s">
        <v>227</v>
      </c>
      <c r="F18" s="276"/>
      <c r="G18" s="276"/>
      <c r="H18" s="276"/>
      <c r="I18" s="276"/>
      <c r="J18" s="276"/>
      <c r="K18" s="276"/>
      <c r="L18" s="276"/>
      <c r="M18" s="277"/>
    </row>
    <row r="19" spans="2:13">
      <c r="B19" s="46"/>
      <c r="C19" s="279"/>
      <c r="D19" s="279"/>
      <c r="E19" s="48">
        <v>2024</v>
      </c>
      <c r="F19" s="48">
        <v>2025</v>
      </c>
      <c r="G19" s="48">
        <v>2026</v>
      </c>
      <c r="H19" s="48">
        <v>2027</v>
      </c>
      <c r="I19" s="48">
        <v>2028</v>
      </c>
      <c r="J19" s="48">
        <v>2029</v>
      </c>
      <c r="K19" s="48">
        <v>2030</v>
      </c>
      <c r="L19" s="48">
        <v>2031</v>
      </c>
      <c r="M19" s="48"/>
    </row>
    <row r="20" spans="2:13" ht="31.2">
      <c r="C20" s="39" t="str">
        <f>D4</f>
        <v>驾驶员座椅</v>
      </c>
      <c r="D20" s="39" t="str">
        <f>D5</f>
        <v>AZ160051000250</v>
      </c>
      <c r="E20" s="42">
        <f>D12</f>
        <v>859</v>
      </c>
      <c r="F20" s="49">
        <f>E20*(1-0.04)</f>
        <v>824.64</v>
      </c>
      <c r="G20" s="49">
        <f>F20*(1-0.04)</f>
        <v>791.65440000000001</v>
      </c>
      <c r="H20" s="49"/>
      <c r="I20" s="49"/>
      <c r="J20" s="49"/>
      <c r="K20" s="49"/>
      <c r="L20" s="49"/>
      <c r="M20" s="49"/>
    </row>
    <row r="21" spans="2:13">
      <c r="C21" s="39">
        <f>E4</f>
        <v>0</v>
      </c>
      <c r="D21" s="39">
        <f>E5</f>
        <v>0</v>
      </c>
      <c r="E21" s="42">
        <f>E12</f>
        <v>0</v>
      </c>
      <c r="F21" s="49">
        <f>E21*(1-0.04)</f>
        <v>0</v>
      </c>
      <c r="G21" s="49">
        <f>F21*(1-0.04)</f>
        <v>0</v>
      </c>
      <c r="H21" s="49"/>
      <c r="I21" s="49"/>
      <c r="J21" s="49"/>
      <c r="K21" s="49"/>
      <c r="L21" s="49"/>
      <c r="M21" s="49"/>
    </row>
    <row r="22" spans="2:13">
      <c r="C22" s="50"/>
      <c r="D22" s="50"/>
      <c r="E22" s="42"/>
      <c r="F22" s="49">
        <f t="shared" ref="F22:H27" si="1">E22*(1-0.01)</f>
        <v>0</v>
      </c>
      <c r="G22" s="49">
        <f t="shared" si="1"/>
        <v>0</v>
      </c>
      <c r="H22" s="49">
        <f t="shared" si="1"/>
        <v>0</v>
      </c>
      <c r="I22" s="49"/>
      <c r="J22" s="49"/>
      <c r="K22" s="49"/>
      <c r="L22" s="49"/>
      <c r="M22" s="49"/>
    </row>
    <row r="23" spans="2:13">
      <c r="C23" s="51"/>
      <c r="D23" s="51"/>
      <c r="E23" s="42"/>
      <c r="F23" s="49">
        <f t="shared" si="1"/>
        <v>0</v>
      </c>
      <c r="G23" s="49">
        <f t="shared" si="1"/>
        <v>0</v>
      </c>
      <c r="H23" s="49">
        <f t="shared" si="1"/>
        <v>0</v>
      </c>
      <c r="I23" s="49"/>
      <c r="J23" s="49"/>
      <c r="K23" s="49"/>
      <c r="L23" s="49"/>
      <c r="M23" s="49"/>
    </row>
    <row r="24" spans="2:13">
      <c r="C24" s="51"/>
      <c r="D24" s="51"/>
      <c r="E24" s="42"/>
      <c r="F24" s="49">
        <f t="shared" si="1"/>
        <v>0</v>
      </c>
      <c r="G24" s="49">
        <f t="shared" si="1"/>
        <v>0</v>
      </c>
      <c r="H24" s="49">
        <f t="shared" si="1"/>
        <v>0</v>
      </c>
      <c r="I24" s="49"/>
      <c r="J24" s="49"/>
      <c r="K24" s="49"/>
      <c r="L24" s="49"/>
      <c r="M24" s="49"/>
    </row>
    <row r="25" spans="2:13">
      <c r="C25" s="51"/>
      <c r="D25" s="51"/>
      <c r="E25" s="42"/>
      <c r="F25" s="49">
        <f t="shared" si="1"/>
        <v>0</v>
      </c>
      <c r="G25" s="49">
        <f t="shared" si="1"/>
        <v>0</v>
      </c>
      <c r="H25" s="49">
        <f t="shared" si="1"/>
        <v>0</v>
      </c>
      <c r="I25" s="49"/>
      <c r="J25" s="49"/>
      <c r="K25" s="49"/>
      <c r="L25" s="49"/>
      <c r="M25" s="49"/>
    </row>
    <row r="26" spans="2:13">
      <c r="C26" s="51"/>
      <c r="D26" s="51"/>
      <c r="E26" s="42"/>
      <c r="F26" s="49">
        <f t="shared" si="1"/>
        <v>0</v>
      </c>
      <c r="G26" s="49">
        <f t="shared" si="1"/>
        <v>0</v>
      </c>
      <c r="H26" s="49">
        <f t="shared" si="1"/>
        <v>0</v>
      </c>
      <c r="I26" s="49"/>
      <c r="J26" s="49"/>
      <c r="K26" s="49"/>
      <c r="L26" s="49"/>
      <c r="M26" s="47"/>
    </row>
    <row r="27" spans="2:13">
      <c r="C27" s="51"/>
      <c r="D27" s="51"/>
      <c r="E27" s="42"/>
      <c r="F27" s="49">
        <f t="shared" si="1"/>
        <v>0</v>
      </c>
      <c r="G27" s="49">
        <f t="shared" si="1"/>
        <v>0</v>
      </c>
      <c r="H27" s="49">
        <f t="shared" si="1"/>
        <v>0</v>
      </c>
      <c r="I27" s="49"/>
      <c r="J27" s="49"/>
      <c r="K27" s="49"/>
      <c r="L27" s="49"/>
      <c r="M27" s="47"/>
    </row>
  </sheetData>
  <mergeCells count="20">
    <mergeCell ref="A1:B1"/>
    <mergeCell ref="A2:D2"/>
    <mergeCell ref="E2:M2"/>
    <mergeCell ref="D3:E3"/>
    <mergeCell ref="B6:C6"/>
    <mergeCell ref="A3:A5"/>
    <mergeCell ref="B3:B5"/>
    <mergeCell ref="M3:M5"/>
    <mergeCell ref="B7:C7"/>
    <mergeCell ref="B8:C8"/>
    <mergeCell ref="B9:C9"/>
    <mergeCell ref="B10:C10"/>
    <mergeCell ref="N10:O10"/>
    <mergeCell ref="B11:C11"/>
    <mergeCell ref="N11:O11"/>
    <mergeCell ref="A12:C12"/>
    <mergeCell ref="D17:M17"/>
    <mergeCell ref="E18:M18"/>
    <mergeCell ref="C18:C19"/>
    <mergeCell ref="D18:D19"/>
  </mergeCells>
  <phoneticPr fontId="5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5</vt:i4>
      </vt:variant>
    </vt:vector>
  </HeadingPairs>
  <TitlesOfParts>
    <vt:vector size="16" baseType="lpstr">
      <vt:lpstr>假设条件</vt:lpstr>
      <vt:lpstr>损益表</vt:lpstr>
      <vt:lpstr>现金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Administrator</cp:lastModifiedBy>
  <dcterms:created xsi:type="dcterms:W3CDTF">2006-09-13T11:21:00Z</dcterms:created>
  <dcterms:modified xsi:type="dcterms:W3CDTF">2024-10-31T07:40:07Z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C2D4D54A49FB46D3857EBD9C24CA4426_12</vt:lpwstr>
  </property>
</Properties>
</file>