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<sst xmlns="http://schemas.openxmlformats.org/spreadsheetml/2006/main" count="141" uniqueCount="69">
  <si>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</si>
  <si>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</si>
  <si>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</si>
  <si>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</si>
  <si>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</si>
  <si>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</si>
  <si>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</si>
  <si>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</si>
  <si>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</si>
  <si>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</si>
  <si>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</si>
  <si>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</si>
  <si>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</si>
  <si>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</si>
  <si>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</si>
  <si>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</si>
  <si>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</si>
  <si>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</si>
  <si>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内部结算指导价（未税）</t>
  </si>
  <si>
    <t>供货地点</t>
  </si>
  <si>
    <t>2024年测算内部易价</t>
  </si>
  <si>
    <t>2023年开票单价</t>
  </si>
  <si>
    <t>号</t>
  </si>
  <si>
    <t>净重</t>
  </si>
  <si>
    <t>毛重</t>
  </si>
  <si>
    <t>SLT0010924</t>
  </si>
  <si>
    <t>背板支撑块(黑色）</t>
  </si>
  <si>
    <t>PP+GF30</t>
  </si>
  <si>
    <t>MA1600IIS/570</t>
  </si>
  <si>
    <t>供湖南</t>
  </si>
  <si>
    <t>SLT0010942</t>
  </si>
  <si>
    <t>主驾靠背一级调节解锁手柄（蓝黑色）</t>
  </si>
  <si>
    <t>PA6-GF30北鸿科</t>
  </si>
  <si>
    <t>SLT0010943</t>
  </si>
  <si>
    <t>主驾二级调节左罩壳（蓝黑色）</t>
  </si>
  <si>
    <t>PP-TD30蓝黑</t>
  </si>
  <si>
    <t>MA3200IIS/1350</t>
  </si>
  <si>
    <t>SLT0010944</t>
  </si>
  <si>
    <t>主驾右侧罩壳（蓝黑色）</t>
  </si>
  <si>
    <t>SLT0010945</t>
  </si>
  <si>
    <t>主驾驶左侧大护板（蓝黑色）</t>
  </si>
  <si>
    <t>MA3800II/2250</t>
  </si>
  <si>
    <t>SLT0011310</t>
  </si>
  <si>
    <t>SLT0011052</t>
  </si>
  <si>
    <t>副驾右罩壳（蓝黑色）</t>
  </si>
  <si>
    <t>SLT0011054</t>
  </si>
  <si>
    <t>副驾靠背解锁手把（蓝黑色）</t>
  </si>
  <si>
    <t>SLT0011111</t>
  </si>
  <si>
    <t>解锁手把固定座（蓝黑色）</t>
  </si>
  <si>
    <t>SLT0011112</t>
  </si>
  <si>
    <t>解锁手把（蓝黑色）</t>
  </si>
  <si>
    <t>SLT0011117</t>
  </si>
  <si>
    <t>副驾左侧罩壳（蓝黑色）</t>
  </si>
  <si>
    <t>SLT0011196</t>
  </si>
  <si>
    <t>扣手螺钉堵盖（蓝黑色）</t>
  </si>
  <si>
    <t>SLT0011118</t>
  </si>
  <si>
    <t>副驾罩壳堵盖（蓝黑色）</t>
  </si>
  <si>
    <t>SLT0011148</t>
  </si>
  <si>
    <t>副驾驶员前端右侧安装脚罩</t>
  </si>
  <si>
    <t>MA2000/7700</t>
  </si>
  <si>
    <t>SLT0010951</t>
  </si>
  <si>
    <t>驾驶员前端左侧安装脚罩</t>
  </si>
  <si>
    <t>SLT0010952</t>
  </si>
  <si>
    <t>驾驶员前端右侧安装脚罩</t>
  </si>
  <si>
    <t>SLT0011311</t>
  </si>
  <si>
    <t>SLT0011312</t>
  </si>
  <si>
    <t>SCS0003192</t>
  </si>
  <si>
    <t>B40L挡块</t>
  </si>
  <si>
    <t>Pa6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</si>
</sst>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_ * #,##0.00000_ ;_ * \-#,##0.00000_ ;_ * &quot;-&quot;??_ ;_ @_ "/>
    <numFmt numFmtId="181" formatCode="_ * #,##0.0000_ ;_ * \-#,##0.0000_ ;_ * &quot;-&quot;??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>
      <alignment vertical="top"/>
      <protection locked="0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3" xfId="0" applyFont="1" applyFill="1" applyBorder="1">
      <alignment vertical="center"/>
    </xf>
    <xf numFmtId="178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179" fontId="1" fillId="0" borderId="3" xfId="0" applyNumberFormat="1" applyFont="1" applyFill="1" applyBorder="1">
      <alignment vertical="center"/>
    </xf>
    <xf numFmtId="180" fontId="1" fillId="0" borderId="3" xfId="1" applyNumberFormat="1" applyFont="1" applyBorder="1" applyAlignment="1" applyProtection="1">
      <alignment horizontal="center" vertical="center"/>
    </xf>
    <xf numFmtId="43" fontId="1" fillId="0" borderId="3" xfId="1" applyFont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3" fontId="1" fillId="0" borderId="3" xfId="1" applyFont="1" applyBorder="1" applyAlignment="1" applyProtection="1">
      <alignment horizontal="center" vertical="center"/>
    </xf>
    <xf numFmtId="180" fontId="1" fillId="0" borderId="3" xfId="1" applyNumberFormat="1" applyFont="1" applyBorder="1" applyAlignment="1" applyProtection="1">
      <alignment vertical="center"/>
    </xf>
    <xf numFmtId="181" fontId="1" fillId="0" borderId="3" xfId="1" applyNumberFormat="1" applyFont="1" applyBorder="1" applyAlignment="1" applyProtection="1">
      <alignment vertical="center"/>
    </xf>
    <xf numFmtId="43" fontId="1" fillId="0" borderId="3" xfId="1" applyFont="1" applyBorder="1" applyAlignment="1" applyProtection="1">
      <alignment vertical="center"/>
    </xf>
    <xf numFmtId="177" fontId="1" fillId="2" borderId="3" xfId="0" applyNumberFormat="1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4" borderId="3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>
      <alignment vertical="center"/>
    </xf>
    <xf numFmtId="43" fontId="1" fillId="4" borderId="3" xfId="0" applyNumberFormat="1" applyFont="1" applyFill="1" applyBorder="1">
      <alignment vertical="center"/>
    </xf>
    <xf numFmtId="43" fontId="1" fillId="0" borderId="3" xfId="1" applyFont="1" applyBorder="1" applyAlignment="1" applyProtection="1">
      <alignment vertical="center" wrapText="1"/>
    </xf>
    <xf numFmtId="43" fontId="1" fillId="0" borderId="3" xfId="1" applyNumberFormat="1" applyFont="1" applyBorder="1" applyAlignment="1" applyProtection="1">
      <alignment vertical="center"/>
    </xf>
    <xf numFmtId="43" fontId="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uMeng\Documents\WXWork\1688851262548043\Cache\File\2024-11\&#28246;&#21335;&#27880;&#22609;&#20214;&#20215;&#26684;2024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物料代码</v>
          </cell>
          <cell r="C1" t="str">
            <v>名称</v>
          </cell>
          <cell r="D1" t="str">
            <v>材质</v>
          </cell>
          <cell r="E1" t="str">
            <v>单件重量/㎏</v>
          </cell>
        </row>
        <row r="1">
          <cell r="G1" t="str">
            <v>未税材料单价/kg</v>
          </cell>
          <cell r="H1" t="str">
            <v>料费/件</v>
          </cell>
          <cell r="I1" t="str">
            <v>设备</v>
          </cell>
          <cell r="J1" t="str">
            <v>开模数/h</v>
          </cell>
          <cell r="K1" t="str">
            <v>周期s</v>
          </cell>
          <cell r="L1" t="str">
            <v>一模数量</v>
          </cell>
          <cell r="M1" t="str">
            <v>电功率</v>
          </cell>
          <cell r="N1" t="str">
            <v>电费单价</v>
          </cell>
          <cell r="O1" t="str">
            <v>工资/小时</v>
          </cell>
          <cell r="P1" t="str">
            <v>工资/件</v>
          </cell>
          <cell r="Q1" t="str">
            <v>外购件</v>
          </cell>
          <cell r="R1" t="str">
            <v>包装/件</v>
          </cell>
          <cell r="S1" t="str">
            <v>运费/件</v>
          </cell>
          <cell r="T1" t="str">
            <v>内部结算指导价（未税）</v>
          </cell>
          <cell r="U1" t="str">
            <v>供货地点</v>
          </cell>
          <cell r="V1" t="str">
            <v>株洲建议价格</v>
          </cell>
          <cell r="W1" t="str">
            <v>名称</v>
          </cell>
          <cell r="X1" t="str">
            <v>价格</v>
          </cell>
          <cell r="Y1" t="str">
            <v>2023年开票单价</v>
          </cell>
        </row>
        <row r="2">
          <cell r="E2" t="str">
            <v>净重</v>
          </cell>
          <cell r="F2" t="str">
            <v>毛重</v>
          </cell>
        </row>
        <row r="3">
          <cell r="B3" t="str">
            <v>SLT0010924</v>
          </cell>
          <cell r="C3" t="str">
            <v>背板支撑块(黑色）</v>
          </cell>
          <cell r="D3" t="str">
            <v>PP+GF30</v>
          </cell>
          <cell r="E3">
            <v>0.009</v>
          </cell>
          <cell r="F3">
            <v>0.00936</v>
          </cell>
          <cell r="G3">
            <v>10.3</v>
          </cell>
          <cell r="H3">
            <v>0.096408</v>
          </cell>
          <cell r="I3" t="str">
            <v>MA1600IIS/570</v>
          </cell>
          <cell r="J3">
            <v>80</v>
          </cell>
          <cell r="K3">
            <v>45</v>
          </cell>
          <cell r="L3">
            <v>8</v>
          </cell>
          <cell r="M3">
            <v>48.5</v>
          </cell>
          <cell r="N3">
            <v>0.76</v>
          </cell>
          <cell r="O3">
            <v>22.5</v>
          </cell>
          <cell r="P3">
            <v>0.03515625</v>
          </cell>
          <cell r="Q3">
            <v>0.000582</v>
          </cell>
          <cell r="R3">
            <v>0.0022338</v>
          </cell>
          <cell r="S3">
            <v>0.03</v>
          </cell>
          <cell r="T3">
            <v>0.21083410875</v>
          </cell>
          <cell r="U3" t="str">
            <v>供湖南</v>
          </cell>
          <cell r="V3">
            <v>1.08</v>
          </cell>
        </row>
        <row r="3">
          <cell r="Y3">
            <v>1.08679282875</v>
          </cell>
        </row>
        <row r="4">
          <cell r="B4" t="str">
            <v>SLT0010942</v>
          </cell>
          <cell r="C4" t="str">
            <v>主驾靠背一级调节解锁手柄（蓝黑色）</v>
          </cell>
          <cell r="D4" t="str">
            <v>PA6-GF30北鸿科</v>
          </cell>
          <cell r="E4">
            <v>0.0494</v>
          </cell>
          <cell r="F4" t="str">
            <v>0.051376</v>
          </cell>
          <cell r="G4">
            <v>13.71681</v>
          </cell>
          <cell r="H4">
            <v>0.70471483056</v>
          </cell>
          <cell r="I4" t="str">
            <v>MA1600IIS/570</v>
          </cell>
          <cell r="J4">
            <v>65.4545454545455</v>
          </cell>
          <cell r="K4">
            <v>55</v>
          </cell>
          <cell r="L4">
            <v>2</v>
          </cell>
          <cell r="M4">
            <v>48.5</v>
          </cell>
          <cell r="N4">
            <v>0.76</v>
          </cell>
          <cell r="O4">
            <v>22.5</v>
          </cell>
          <cell r="P4">
            <v>0.171875</v>
          </cell>
          <cell r="Q4">
            <v>0.0131</v>
          </cell>
          <cell r="R4">
            <v>0.044676</v>
          </cell>
          <cell r="S4">
            <v>0.4</v>
          </cell>
          <cell r="T4">
            <v>1.58745475358827</v>
          </cell>
          <cell r="U4" t="str">
            <v>供湖南</v>
          </cell>
          <cell r="V4">
            <v>1.044</v>
          </cell>
        </row>
        <row r="4">
          <cell r="Y4">
            <v>1.89970069446667</v>
          </cell>
        </row>
        <row r="5">
          <cell r="B5" t="str">
            <v>SLT0010943</v>
          </cell>
          <cell r="C5" t="str">
            <v>主驾二级调节左罩壳（蓝黑色）</v>
          </cell>
          <cell r="D5" t="str">
            <v>PP-TD30蓝黑</v>
          </cell>
          <cell r="E5">
            <v>0.0671</v>
          </cell>
          <cell r="F5">
            <v>0.069784</v>
          </cell>
          <cell r="G5">
            <v>9.73451</v>
          </cell>
          <cell r="H5">
            <v>0.67931304584</v>
          </cell>
          <cell r="I5" t="str">
            <v>MA3200IIS/1350</v>
          </cell>
          <cell r="J5">
            <v>65.4545454545455</v>
          </cell>
          <cell r="K5">
            <v>55</v>
          </cell>
          <cell r="L5">
            <v>2</v>
          </cell>
          <cell r="M5">
            <v>64</v>
          </cell>
          <cell r="N5">
            <v>0.76</v>
          </cell>
          <cell r="O5">
            <v>22.5</v>
          </cell>
          <cell r="P5">
            <v>0.171875</v>
          </cell>
          <cell r="Q5">
            <v>0.0131</v>
          </cell>
          <cell r="R5">
            <v>0.3814707904</v>
          </cell>
          <cell r="S5">
            <v>1</v>
          </cell>
          <cell r="T5">
            <v>2.54599585461573</v>
          </cell>
          <cell r="U5" t="str">
            <v>供湖南</v>
          </cell>
          <cell r="V5">
            <v>0.84</v>
          </cell>
        </row>
        <row r="5">
          <cell r="Y5">
            <v>1.86</v>
          </cell>
        </row>
        <row r="6">
          <cell r="B6" t="str">
            <v>SLT0010944</v>
          </cell>
          <cell r="C6" t="str">
            <v>主驾右侧罩壳（蓝黑色）</v>
          </cell>
          <cell r="D6" t="str">
            <v>PP-TD30蓝黑</v>
          </cell>
          <cell r="E6">
            <v>0.0889</v>
          </cell>
          <cell r="F6">
            <v>0.092456</v>
          </cell>
          <cell r="G6">
            <v>9.73451</v>
          </cell>
          <cell r="H6">
            <v>0.90001385656</v>
          </cell>
          <cell r="I6" t="str">
            <v>MA3200IIS/1350</v>
          </cell>
          <cell r="J6">
            <v>65.4545454545455</v>
          </cell>
          <cell r="K6">
            <v>55</v>
          </cell>
          <cell r="L6">
            <v>2</v>
          </cell>
          <cell r="M6">
            <v>64</v>
          </cell>
          <cell r="N6">
            <v>0.76</v>
          </cell>
          <cell r="O6">
            <v>22.5</v>
          </cell>
          <cell r="P6">
            <v>0.171875</v>
          </cell>
          <cell r="Q6">
            <v>0.0291</v>
          </cell>
          <cell r="R6">
            <v>0.5210353088</v>
          </cell>
          <cell r="S6">
            <v>1</v>
          </cell>
          <cell r="T6">
            <v>2.94701827291493</v>
          </cell>
          <cell r="U6" t="str">
            <v>供湖南</v>
          </cell>
          <cell r="V6">
            <v>1.104</v>
          </cell>
        </row>
        <row r="6">
          <cell r="Y6">
            <v>2.22</v>
          </cell>
        </row>
        <row r="7">
          <cell r="B7" t="str">
            <v>SLT0010945</v>
          </cell>
          <cell r="C7" t="str">
            <v>主驾驶左侧大护板（蓝黑色）</v>
          </cell>
          <cell r="D7" t="str">
            <v>PP-TD30蓝黑</v>
          </cell>
          <cell r="E7">
            <v>0.244</v>
          </cell>
          <cell r="F7">
            <v>0.251368</v>
          </cell>
          <cell r="G7">
            <v>9.73451</v>
          </cell>
          <cell r="H7">
            <v>2.44694430968</v>
          </cell>
          <cell r="I7" t="str">
            <v>MA3800II/2250</v>
          </cell>
          <cell r="J7">
            <v>60</v>
          </cell>
          <cell r="K7">
            <v>60</v>
          </cell>
          <cell r="L7">
            <v>1</v>
          </cell>
          <cell r="M7">
            <v>72.7</v>
          </cell>
          <cell r="N7">
            <v>0.76</v>
          </cell>
          <cell r="O7">
            <v>22.5</v>
          </cell>
          <cell r="P7">
            <v>0.375</v>
          </cell>
          <cell r="Q7">
            <v>0.1307</v>
          </cell>
          <cell r="R7">
            <v>0.8</v>
          </cell>
          <cell r="S7">
            <v>2.4</v>
          </cell>
          <cell r="T7">
            <v>6.9780601837448</v>
          </cell>
          <cell r="U7" t="str">
            <v>供湖南</v>
          </cell>
          <cell r="V7">
            <v>3.012</v>
          </cell>
        </row>
        <row r="7">
          <cell r="Y7">
            <v>5.93</v>
          </cell>
        </row>
        <row r="8">
          <cell r="B8" t="str">
            <v>SLT0011310</v>
          </cell>
          <cell r="C8" t="str">
            <v>主驾驶左侧大护板（蓝黑色）</v>
          </cell>
          <cell r="D8" t="str">
            <v>PP-TD30蓝黑</v>
          </cell>
          <cell r="E8">
            <v>0.243</v>
          </cell>
          <cell r="F8">
            <v>0.251368</v>
          </cell>
          <cell r="G8">
            <v>9.73451</v>
          </cell>
          <cell r="H8">
            <v>2.44694430968</v>
          </cell>
          <cell r="I8" t="str">
            <v>MA3800II/2250</v>
          </cell>
          <cell r="J8">
            <v>60</v>
          </cell>
          <cell r="K8">
            <v>60</v>
          </cell>
          <cell r="L8">
            <v>1</v>
          </cell>
          <cell r="M8">
            <v>72.7</v>
          </cell>
          <cell r="N8">
            <v>0.76</v>
          </cell>
          <cell r="O8">
            <v>22.5</v>
          </cell>
          <cell r="P8">
            <v>0.375</v>
          </cell>
          <cell r="Q8">
            <v>0.1307</v>
          </cell>
          <cell r="R8">
            <v>0.8</v>
          </cell>
          <cell r="S8">
            <v>2.4</v>
          </cell>
          <cell r="T8">
            <v>6.9780601837448</v>
          </cell>
          <cell r="U8" t="str">
            <v>供湖南</v>
          </cell>
          <cell r="V8">
            <v>3.012</v>
          </cell>
        </row>
        <row r="8">
          <cell r="Y8">
            <v>5.9</v>
          </cell>
        </row>
        <row r="9">
          <cell r="B9" t="str">
            <v>SLT0011052</v>
          </cell>
          <cell r="C9" t="str">
            <v>副驾右罩壳（蓝黑色）</v>
          </cell>
          <cell r="D9" t="str">
            <v>PP-TD30蓝黑</v>
          </cell>
          <cell r="E9">
            <v>0.099</v>
          </cell>
          <cell r="F9">
            <v>0.110136</v>
          </cell>
          <cell r="G9">
            <v>9.73451</v>
          </cell>
          <cell r="H9">
            <v>1.07211999336</v>
          </cell>
          <cell r="I9" t="str">
            <v>MA3800II/2250</v>
          </cell>
          <cell r="J9">
            <v>60</v>
          </cell>
          <cell r="K9">
            <v>60</v>
          </cell>
          <cell r="L9">
            <v>2</v>
          </cell>
          <cell r="M9">
            <v>71.2</v>
          </cell>
          <cell r="N9">
            <v>0.76</v>
          </cell>
          <cell r="O9">
            <v>22.5</v>
          </cell>
          <cell r="P9">
            <v>0.1875</v>
          </cell>
          <cell r="Q9">
            <v>0.0291</v>
          </cell>
          <cell r="R9">
            <v>0.13671355</v>
          </cell>
          <cell r="S9">
            <v>0.6</v>
          </cell>
          <cell r="T9">
            <v>2.4151327426296</v>
          </cell>
          <cell r="U9" t="str">
            <v>供湖南</v>
          </cell>
          <cell r="V9">
            <v>1.32</v>
          </cell>
        </row>
        <row r="9">
          <cell r="Y9">
            <v>2.12</v>
          </cell>
        </row>
        <row r="10">
          <cell r="B10" t="str">
            <v>SLT0011054</v>
          </cell>
          <cell r="C10" t="str">
            <v>副驾靠背解锁手把（蓝黑色）</v>
          </cell>
          <cell r="D10" t="str">
            <v>PA6-GF30北鸿科</v>
          </cell>
          <cell r="E10">
            <v>0.0505</v>
          </cell>
          <cell r="F10">
            <v>0.05252</v>
          </cell>
          <cell r="G10">
            <v>13.71681</v>
          </cell>
          <cell r="H10">
            <v>0.7204068612</v>
          </cell>
          <cell r="I10" t="str">
            <v>MA1600IIS/570</v>
          </cell>
          <cell r="J10">
            <v>60</v>
          </cell>
          <cell r="K10">
            <v>60</v>
          </cell>
          <cell r="L10">
            <v>2</v>
          </cell>
          <cell r="M10">
            <v>48.5</v>
          </cell>
          <cell r="N10">
            <v>0.76</v>
          </cell>
          <cell r="O10">
            <v>22.5</v>
          </cell>
          <cell r="P10">
            <v>0.1875</v>
          </cell>
          <cell r="Q10">
            <v>0.0131</v>
          </cell>
          <cell r="R10">
            <v>0.044676</v>
          </cell>
          <cell r="S10">
            <v>0.4</v>
          </cell>
          <cell r="T10">
            <v>1.636423115932</v>
          </cell>
          <cell r="U10" t="str">
            <v>供湖南</v>
          </cell>
          <cell r="V10">
            <v>1.068</v>
          </cell>
        </row>
        <row r="10">
          <cell r="Y10">
            <v>1.93</v>
          </cell>
        </row>
        <row r="11">
          <cell r="B11" t="str">
            <v>SLT0011111</v>
          </cell>
          <cell r="C11" t="str">
            <v>解锁手把固定座（蓝黑色）</v>
          </cell>
          <cell r="D11" t="str">
            <v>PA6-GF30北鸿科</v>
          </cell>
          <cell r="E11">
            <v>0.0572</v>
          </cell>
          <cell r="F11" t="str">
            <v>0.059488</v>
          </cell>
          <cell r="G11">
            <v>13.71681</v>
          </cell>
          <cell r="H11">
            <v>0.81598559328</v>
          </cell>
          <cell r="I11" t="str">
            <v>MA1600IIS/570</v>
          </cell>
          <cell r="J11">
            <v>60</v>
          </cell>
          <cell r="K11">
            <v>60</v>
          </cell>
          <cell r="L11">
            <v>2</v>
          </cell>
          <cell r="M11">
            <v>48.5</v>
          </cell>
          <cell r="N11">
            <v>0.76</v>
          </cell>
          <cell r="O11">
            <v>22.5</v>
          </cell>
          <cell r="P11">
            <v>0.1875</v>
          </cell>
          <cell r="Q11">
            <v>0.0131</v>
          </cell>
          <cell r="R11">
            <v>0.044676</v>
          </cell>
          <cell r="S11">
            <v>0.4</v>
          </cell>
          <cell r="T11">
            <v>1.7425155085408</v>
          </cell>
          <cell r="U11" t="str">
            <v>供湖南</v>
          </cell>
          <cell r="V11">
            <v>1.212</v>
          </cell>
        </row>
        <row r="11">
          <cell r="Y11">
            <v>2.0850791872</v>
          </cell>
        </row>
        <row r="12">
          <cell r="B12" t="str">
            <v>SLT0011112</v>
          </cell>
          <cell r="C12" t="str">
            <v>解锁手把（蓝黑色）</v>
          </cell>
          <cell r="D12" t="str">
            <v>PA6-GF30北鸿科</v>
          </cell>
          <cell r="E12">
            <v>0.0195</v>
          </cell>
          <cell r="F12">
            <v>0.02028</v>
          </cell>
          <cell r="G12">
            <v>13.71681</v>
          </cell>
          <cell r="H12">
            <v>0.2781769068</v>
          </cell>
          <cell r="I12" t="str">
            <v>MA1600IIS/570</v>
          </cell>
          <cell r="J12">
            <v>65.4545454545455</v>
          </cell>
          <cell r="K12">
            <v>55</v>
          </cell>
          <cell r="L12">
            <v>2</v>
          </cell>
          <cell r="M12">
            <v>48.5</v>
          </cell>
          <cell r="N12">
            <v>0.76</v>
          </cell>
          <cell r="O12">
            <v>22.5</v>
          </cell>
          <cell r="P12">
            <v>0.171875</v>
          </cell>
          <cell r="Q12">
            <v>0.0131</v>
          </cell>
          <cell r="R12">
            <v>0.035438</v>
          </cell>
          <cell r="S12">
            <v>0.3</v>
          </cell>
          <cell r="T12">
            <v>1.00475965821467</v>
          </cell>
          <cell r="U12" t="str">
            <v>供湖南</v>
          </cell>
          <cell r="V12">
            <v>0.408</v>
          </cell>
        </row>
        <row r="12">
          <cell r="Y12">
            <v>1.12033717966667</v>
          </cell>
        </row>
        <row r="13">
          <cell r="B13" t="str">
            <v>SLT0011117</v>
          </cell>
          <cell r="C13" t="str">
            <v>副驾左侧罩壳（蓝黑色）</v>
          </cell>
          <cell r="D13" t="str">
            <v>PP-TD30蓝黑</v>
          </cell>
          <cell r="E13">
            <v>0.0863</v>
          </cell>
          <cell r="F13">
            <v>0.089752</v>
          </cell>
          <cell r="G13">
            <v>9.73451</v>
          </cell>
          <cell r="H13">
            <v>0.87369174152</v>
          </cell>
          <cell r="I13" t="str">
            <v>MA3800II/2250</v>
          </cell>
          <cell r="J13">
            <v>60</v>
          </cell>
          <cell r="K13">
            <v>60</v>
          </cell>
          <cell r="L13">
            <v>2</v>
          </cell>
          <cell r="M13">
            <v>71.2</v>
          </cell>
          <cell r="N13">
            <v>0.76</v>
          </cell>
          <cell r="O13">
            <v>22.5</v>
          </cell>
          <cell r="P13">
            <v>0.1875</v>
          </cell>
          <cell r="Q13">
            <v>0.0291</v>
          </cell>
          <cell r="R13">
            <v>0.58532832</v>
          </cell>
          <cell r="S13">
            <v>1</v>
          </cell>
          <cell r="T13">
            <v>3.0434921530872</v>
          </cell>
          <cell r="U13" t="str">
            <v>供湖南</v>
          </cell>
          <cell r="V13">
            <v>1.08</v>
          </cell>
        </row>
        <row r="13">
          <cell r="Y13">
            <v>2.37</v>
          </cell>
        </row>
        <row r="14">
          <cell r="B14" t="str">
            <v>SLT0011196</v>
          </cell>
          <cell r="C14" t="str">
            <v>扣手螺钉堵盖（蓝黑色）</v>
          </cell>
          <cell r="D14" t="str">
            <v>PP-TD30蓝黑</v>
          </cell>
          <cell r="E14">
            <v>0.002</v>
          </cell>
          <cell r="F14">
            <v>0.00208</v>
          </cell>
          <cell r="G14">
            <v>9.73451</v>
          </cell>
          <cell r="H14">
            <v>0.0202477808</v>
          </cell>
          <cell r="I14" t="str">
            <v>MA1600IIS/570</v>
          </cell>
          <cell r="J14">
            <v>80</v>
          </cell>
          <cell r="K14">
            <v>45</v>
          </cell>
          <cell r="L14">
            <v>4</v>
          </cell>
          <cell r="M14">
            <v>40</v>
          </cell>
          <cell r="N14">
            <v>0.76</v>
          </cell>
          <cell r="O14">
            <v>22.5</v>
          </cell>
          <cell r="P14">
            <v>0.0703125</v>
          </cell>
          <cell r="Q14">
            <v>0.000131</v>
          </cell>
          <cell r="R14">
            <v>0.00168379</v>
          </cell>
          <cell r="S14">
            <v>0.024</v>
          </cell>
          <cell r="T14">
            <v>0.179065631688</v>
          </cell>
          <cell r="U14" t="str">
            <v>供湖南</v>
          </cell>
          <cell r="V14">
            <v>0.024</v>
          </cell>
        </row>
        <row r="14">
          <cell r="Y14">
            <v>0.18</v>
          </cell>
        </row>
        <row r="15">
          <cell r="B15" t="str">
            <v>SLT0011118</v>
          </cell>
          <cell r="C15" t="str">
            <v>副驾罩壳堵盖（蓝黑色）</v>
          </cell>
          <cell r="D15" t="str">
            <v>PP-TD30蓝黑</v>
          </cell>
          <cell r="E15">
            <v>0.0012</v>
          </cell>
          <cell r="F15">
            <v>0.001248</v>
          </cell>
          <cell r="G15">
            <v>9.73451</v>
          </cell>
          <cell r="H15">
            <v>0.01214866848</v>
          </cell>
          <cell r="I15" t="str">
            <v>MA1600IIS/570</v>
          </cell>
          <cell r="J15">
            <v>80</v>
          </cell>
          <cell r="K15">
            <v>45</v>
          </cell>
          <cell r="L15">
            <v>8</v>
          </cell>
          <cell r="M15">
            <v>48.5</v>
          </cell>
          <cell r="N15">
            <v>0.76</v>
          </cell>
          <cell r="O15">
            <v>22.5</v>
          </cell>
          <cell r="P15">
            <v>0.03515625</v>
          </cell>
          <cell r="Q15">
            <v>0.006841</v>
          </cell>
          <cell r="R15">
            <v>0.00171523</v>
          </cell>
          <cell r="S15">
            <v>0.024</v>
          </cell>
          <cell r="T15">
            <v>0.1172344507628</v>
          </cell>
          <cell r="U15" t="str">
            <v>供湖南</v>
          </cell>
          <cell r="V15">
            <v>0.12089892875</v>
          </cell>
        </row>
        <row r="15">
          <cell r="Y15">
            <v>0.12089892875</v>
          </cell>
        </row>
        <row r="16">
          <cell r="B16" t="str">
            <v>SLT0011148</v>
          </cell>
          <cell r="C16" t="str">
            <v>副驾驶员前端右侧安装脚罩</v>
          </cell>
          <cell r="D16" t="str">
            <v>PP-TD30蓝黑</v>
          </cell>
          <cell r="E16">
            <v>0.022</v>
          </cell>
          <cell r="F16">
            <v>0.02288</v>
          </cell>
          <cell r="G16">
            <v>9.73451</v>
          </cell>
          <cell r="H16">
            <v>0.2227255888</v>
          </cell>
          <cell r="I16" t="str">
            <v>MA2000/7700</v>
          </cell>
          <cell r="J16">
            <v>80</v>
          </cell>
          <cell r="K16">
            <v>45</v>
          </cell>
          <cell r="L16">
            <v>4</v>
          </cell>
          <cell r="M16">
            <v>39.75</v>
          </cell>
          <cell r="N16">
            <v>0.76</v>
          </cell>
          <cell r="O16">
            <v>22.5</v>
          </cell>
          <cell r="P16">
            <v>0.0703125</v>
          </cell>
          <cell r="Q16">
            <v>0.00013</v>
          </cell>
          <cell r="R16">
            <v>0.0236658</v>
          </cell>
          <cell r="S16">
            <v>0.24</v>
          </cell>
          <cell r="T16">
            <v>0.641467447318</v>
          </cell>
          <cell r="U16" t="str">
            <v>供湖南</v>
          </cell>
          <cell r="V16">
            <v>0.64576804375</v>
          </cell>
        </row>
        <row r="16">
          <cell r="Y16">
            <v>0.64576804375</v>
          </cell>
        </row>
        <row r="17">
          <cell r="B17" t="str">
            <v>SLT0010951</v>
          </cell>
          <cell r="C17" t="str">
            <v>驾驶员前端左侧安装脚罩</v>
          </cell>
          <cell r="D17" t="str">
            <v>PP-TD30蓝黑</v>
          </cell>
          <cell r="E17">
            <v>0.0228</v>
          </cell>
          <cell r="F17">
            <v>0.023712</v>
          </cell>
          <cell r="G17">
            <v>9.73451</v>
          </cell>
          <cell r="H17">
            <v>0.23082470112</v>
          </cell>
          <cell r="I17" t="str">
            <v>MA2000/7700</v>
          </cell>
          <cell r="J17">
            <v>80</v>
          </cell>
          <cell r="K17">
            <v>45</v>
          </cell>
          <cell r="L17">
            <v>4</v>
          </cell>
          <cell r="M17">
            <v>39.75</v>
          </cell>
          <cell r="N17">
            <v>0.76</v>
          </cell>
          <cell r="O17">
            <v>22.5</v>
          </cell>
          <cell r="P17">
            <v>0.0703125</v>
          </cell>
          <cell r="Q17">
            <v>0.00015</v>
          </cell>
          <cell r="R17">
            <v>0.03</v>
          </cell>
          <cell r="S17">
            <v>0.24</v>
          </cell>
          <cell r="T17">
            <v>0.6568122619932</v>
          </cell>
          <cell r="U17" t="str">
            <v>供湖南</v>
          </cell>
          <cell r="V17">
            <v>0.66355584375</v>
          </cell>
        </row>
        <row r="17">
          <cell r="Y17">
            <v>0.66355584375</v>
          </cell>
        </row>
        <row r="18">
          <cell r="B18" t="str">
            <v>SLT0010952</v>
          </cell>
          <cell r="C18" t="str">
            <v>驾驶员前端右侧安装脚罩</v>
          </cell>
          <cell r="D18" t="str">
            <v>PP-TD30蓝黑</v>
          </cell>
          <cell r="E18">
            <v>0.014</v>
          </cell>
          <cell r="F18">
            <v>0.01456</v>
          </cell>
          <cell r="G18">
            <v>9.73451</v>
          </cell>
          <cell r="H18">
            <v>0.1417344656</v>
          </cell>
          <cell r="I18" t="str">
            <v>MA2000/7700</v>
          </cell>
          <cell r="J18">
            <v>80</v>
          </cell>
          <cell r="K18">
            <v>45</v>
          </cell>
          <cell r="L18">
            <v>4</v>
          </cell>
          <cell r="M18">
            <v>39.75</v>
          </cell>
          <cell r="N18">
            <v>0.76</v>
          </cell>
          <cell r="O18">
            <v>22.5</v>
          </cell>
          <cell r="P18">
            <v>0.0703125</v>
          </cell>
          <cell r="Q18">
            <v>0.00015</v>
          </cell>
          <cell r="R18">
            <v>0.03</v>
          </cell>
          <cell r="S18">
            <v>0.24</v>
          </cell>
          <cell r="T18">
            <v>0.557922100566</v>
          </cell>
          <cell r="U18" t="str">
            <v>供湖南</v>
          </cell>
          <cell r="V18">
            <v>0.56065884375</v>
          </cell>
        </row>
        <row r="18">
          <cell r="Y18">
            <v>0.56065884375</v>
          </cell>
        </row>
        <row r="19">
          <cell r="B19" t="str">
            <v>SLT0011311</v>
          </cell>
          <cell r="C19" t="str">
            <v>驾驶员前端左侧安装脚罩</v>
          </cell>
          <cell r="D19" t="str">
            <v>PP-TD30蓝黑</v>
          </cell>
          <cell r="E19">
            <v>0.0228</v>
          </cell>
          <cell r="F19">
            <v>0.023712</v>
          </cell>
          <cell r="G19">
            <v>9.73451</v>
          </cell>
          <cell r="H19">
            <v>0.23082470112</v>
          </cell>
          <cell r="I19" t="str">
            <v>MA2000/7700</v>
          </cell>
          <cell r="J19">
            <v>80</v>
          </cell>
          <cell r="K19">
            <v>45</v>
          </cell>
          <cell r="L19">
            <v>4</v>
          </cell>
          <cell r="M19">
            <v>39.75</v>
          </cell>
          <cell r="N19">
            <v>0.76</v>
          </cell>
          <cell r="O19">
            <v>22.5</v>
          </cell>
          <cell r="P19">
            <v>0.0703125</v>
          </cell>
          <cell r="Q19">
            <v>0.00015</v>
          </cell>
          <cell r="R19">
            <v>0.03</v>
          </cell>
          <cell r="S19">
            <v>0.24</v>
          </cell>
          <cell r="T19">
            <v>0.6568122619932</v>
          </cell>
          <cell r="U19" t="str">
            <v>供湖南</v>
          </cell>
          <cell r="V19">
            <v>0.61782384375</v>
          </cell>
        </row>
        <row r="19">
          <cell r="Y19">
            <v>0.61782384375</v>
          </cell>
        </row>
        <row r="20">
          <cell r="B20" t="str">
            <v>SLT0011312</v>
          </cell>
          <cell r="C20" t="str">
            <v>驾驶员前端右侧安装脚罩</v>
          </cell>
          <cell r="D20" t="str">
            <v>PP-TD30蓝黑</v>
          </cell>
          <cell r="E20">
            <v>0.014</v>
          </cell>
          <cell r="F20">
            <v>0.01456</v>
          </cell>
          <cell r="G20">
            <v>9.73451</v>
          </cell>
          <cell r="H20">
            <v>0.1417344656</v>
          </cell>
          <cell r="I20" t="str">
            <v>MA2000/7700</v>
          </cell>
          <cell r="J20">
            <v>80</v>
          </cell>
          <cell r="K20">
            <v>45</v>
          </cell>
          <cell r="L20">
            <v>4</v>
          </cell>
          <cell r="M20">
            <v>39.75</v>
          </cell>
          <cell r="N20">
            <v>0.76</v>
          </cell>
          <cell r="O20">
            <v>22.5</v>
          </cell>
          <cell r="P20">
            <v>0.0703125</v>
          </cell>
          <cell r="Q20">
            <v>0.00015</v>
          </cell>
          <cell r="R20">
            <v>0.03</v>
          </cell>
          <cell r="S20">
            <v>0.24</v>
          </cell>
          <cell r="T20">
            <v>0.557922100566</v>
          </cell>
          <cell r="U20" t="str">
            <v>供湖南</v>
          </cell>
          <cell r="V20">
            <v>0.56065884375</v>
          </cell>
        </row>
        <row r="20">
          <cell r="Y20">
            <v>0.56065884375</v>
          </cell>
        </row>
        <row r="21">
          <cell r="B21" t="str">
            <v>BEC0010017</v>
          </cell>
          <cell r="C21" t="str">
            <v>风扇保护壳</v>
          </cell>
          <cell r="D21" t="str">
            <v>PA6+GF30</v>
          </cell>
          <cell r="E21">
            <v>0</v>
          </cell>
          <cell r="F21">
            <v>0.0158</v>
          </cell>
          <cell r="G21">
            <v>13.7168</v>
          </cell>
          <cell r="H21">
            <v>0.21672544</v>
          </cell>
          <cell r="I21" t="str">
            <v>MA2000/700</v>
          </cell>
          <cell r="J21">
            <v>51.4285714285715</v>
          </cell>
          <cell r="K21">
            <v>69.9999999999999</v>
          </cell>
          <cell r="L21">
            <v>2</v>
          </cell>
          <cell r="M21">
            <v>39.75</v>
          </cell>
          <cell r="N21">
            <v>0.76</v>
          </cell>
          <cell r="O21">
            <v>22.5</v>
          </cell>
          <cell r="P21">
            <v>0.21875</v>
          </cell>
          <cell r="Q21">
            <v>0</v>
          </cell>
          <cell r="R21">
            <v>0.0153276666666667</v>
          </cell>
          <cell r="S21">
            <v>0.24</v>
          </cell>
          <cell r="T21">
            <v>0.901713530066667</v>
          </cell>
          <cell r="U21">
            <v>0</v>
          </cell>
          <cell r="V21" t="e">
            <v>#VALUE!</v>
          </cell>
          <cell r="W21" t="str">
            <v>供北京</v>
          </cell>
          <cell r="X21">
            <v>1.55</v>
          </cell>
          <cell r="Y21" t="e">
            <v>#N/A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zoomScale="90" zoomScaleNormal="90" workbookViewId="0">
      <selection activeCell="A1" sqref="$A1:$XFD3"/>
    </sheetView>
  </sheetViews>
  <sheetFormatPr defaultColWidth="12" defaultRowHeight="13.5"/>
  <cols>
    <col min="1" max="1" width="3.54166666666667" style="1" customWidth="1"/>
    <col min="2" max="2" width="12.4416666666667" style="1" customWidth="1"/>
    <col min="3" max="3" width="17.6333333333333" style="1" customWidth="1"/>
    <col min="4" max="4" width="15.2166666666667" style="1" customWidth="1"/>
    <col min="5" max="8" width="6.775" style="1" customWidth="1"/>
    <col min="9" max="9" width="12.4416666666667" style="1" customWidth="1"/>
    <col min="10" max="16" width="6.775" style="1" customWidth="1"/>
    <col min="17" max="17" width="10.6333333333333" style="1" customWidth="1"/>
    <col min="18" max="20" width="12.4416666666667" style="1" customWidth="1"/>
    <col min="21" max="21" width="9.54166666666667" style="1" hidden="1" customWidth="1"/>
    <col min="22" max="16382" width="12.4416666666667" style="1" customWidth="1"/>
    <col min="16383" max="16383" width="12.4416666666667" style="1"/>
    <col min="16384" max="16384" width="12" style="1"/>
  </cols>
  <sheetData>
    <row r="1" s="1" customFormat="1" ht="14.25" customHeight="1" spans="1:23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/>
      <c r="G1" s="6" t="s">
        <v>5</v>
      </c>
      <c r="H1" s="7" t="s">
        <v>6</v>
      </c>
      <c r="I1" s="14" t="s">
        <v>7</v>
      </c>
      <c r="J1" s="15" t="s">
        <v>8</v>
      </c>
      <c r="K1" s="16" t="s">
        <v>9</v>
      </c>
      <c r="L1" s="17" t="s">
        <v>10</v>
      </c>
      <c r="M1" s="4" t="s">
        <v>11</v>
      </c>
      <c r="N1" s="17" t="s">
        <v>12</v>
      </c>
      <c r="O1" s="17" t="s">
        <v>13</v>
      </c>
      <c r="P1" s="6" t="s">
        <v>14</v>
      </c>
      <c r="Q1" s="21" t="s">
        <v>15</v>
      </c>
      <c r="R1" s="22" t="s">
        <v>16</v>
      </c>
      <c r="S1" s="22" t="s">
        <v>17</v>
      </c>
      <c r="T1" s="23" t="s">
        <v>18</v>
      </c>
      <c r="U1" s="4" t="s">
        <v>19</v>
      </c>
      <c r="V1" s="30" t="s">
        <v>20</v>
      </c>
      <c r="W1" s="31" t="s">
        <v>21</v>
      </c>
    </row>
    <row r="2" s="1" customFormat="1" spans="1:23">
      <c r="A2" s="8" t="s">
        <v>22</v>
      </c>
      <c r="B2" s="3"/>
      <c r="C2" s="4"/>
      <c r="D2" s="4"/>
      <c r="E2" s="5" t="s">
        <v>23</v>
      </c>
      <c r="F2" s="5" t="s">
        <v>24</v>
      </c>
      <c r="G2" s="6"/>
      <c r="H2" s="7"/>
      <c r="I2" s="14"/>
      <c r="J2" s="15"/>
      <c r="K2" s="18"/>
      <c r="L2" s="17"/>
      <c r="M2" s="4"/>
      <c r="N2" s="17"/>
      <c r="O2" s="17"/>
      <c r="P2" s="6"/>
      <c r="Q2" s="21"/>
      <c r="R2" s="24"/>
      <c r="S2" s="24"/>
      <c r="T2" s="23"/>
      <c r="U2" s="4"/>
      <c r="V2" s="30"/>
      <c r="W2" s="31"/>
    </row>
    <row r="3" s="1" customFormat="1" spans="1:23">
      <c r="A3" s="4">
        <v>1</v>
      </c>
      <c r="B3" s="10" t="s">
        <v>25</v>
      </c>
      <c r="C3" s="10" t="s">
        <v>26</v>
      </c>
      <c r="D3" s="11" t="s">
        <v>27</v>
      </c>
      <c r="E3" s="12">
        <v>0.083</v>
      </c>
      <c r="F3" s="12">
        <v>0.0845</v>
      </c>
      <c r="G3" s="13">
        <v>10.48</v>
      </c>
      <c r="H3" s="13">
        <f t="shared" ref="H3:H20" si="0">F3*G3</f>
        <v>0.88556</v>
      </c>
      <c r="I3" s="19" t="s">
        <v>28</v>
      </c>
      <c r="J3" s="20">
        <v>80</v>
      </c>
      <c r="K3" s="20">
        <f t="shared" ref="K3:K20" si="1">3600/J3</f>
        <v>45</v>
      </c>
      <c r="L3" s="10">
        <v>8</v>
      </c>
      <c r="M3" s="10">
        <v>48.5</v>
      </c>
      <c r="N3" s="10">
        <v>0.76</v>
      </c>
      <c r="O3" s="10">
        <v>22.5</v>
      </c>
      <c r="P3" s="13">
        <f t="shared" ref="P3:P20" si="2">O3/J3/L3</f>
        <v>0.03515625</v>
      </c>
      <c r="Q3" s="25">
        <v>0.000582</v>
      </c>
      <c r="R3" s="26">
        <f>0.1307*2/2000+8.4124/4000</f>
        <v>0.0022338</v>
      </c>
      <c r="S3" s="27">
        <f>240/8000</f>
        <v>0.03</v>
      </c>
      <c r="T3" s="13">
        <f t="shared" ref="T3:T20" si="3">(H3+P3+(M3*N3/J3/L3)/2)*1.11+Q3*1.03+R3+S3</f>
        <v>1.08679282875</v>
      </c>
      <c r="U3" s="10" t="s">
        <v>29</v>
      </c>
      <c r="V3" s="32">
        <f>VLOOKUP(B:B,[1]Sheet1!$B:$T,19,0)</f>
        <v>0.21083410875</v>
      </c>
      <c r="W3" s="33">
        <f>VLOOKUP(B:B,[1]Sheet1!$B:$Y,24,0)</f>
        <v>1.08679282875</v>
      </c>
    </row>
    <row r="4" s="1" customFormat="1" spans="1:23">
      <c r="A4" s="4">
        <v>2</v>
      </c>
      <c r="B4" s="10" t="s">
        <v>30</v>
      </c>
      <c r="C4" s="10" t="s">
        <v>31</v>
      </c>
      <c r="D4" s="11" t="s">
        <v>32</v>
      </c>
      <c r="E4" s="12">
        <v>0.0584</v>
      </c>
      <c r="F4" s="12">
        <v>0.0619</v>
      </c>
      <c r="G4" s="13">
        <v>15.9292</v>
      </c>
      <c r="H4" s="13">
        <f t="shared" si="0"/>
        <v>0.98601748</v>
      </c>
      <c r="I4" s="19" t="s">
        <v>28</v>
      </c>
      <c r="J4" s="20">
        <v>65.4545454545455</v>
      </c>
      <c r="K4" s="20">
        <f t="shared" si="1"/>
        <v>55</v>
      </c>
      <c r="L4" s="10">
        <v>2</v>
      </c>
      <c r="M4" s="10">
        <v>48.5</v>
      </c>
      <c r="N4" s="10">
        <v>0.76</v>
      </c>
      <c r="O4" s="10">
        <v>22.5</v>
      </c>
      <c r="P4" s="13">
        <f t="shared" si="2"/>
        <v>0.171875</v>
      </c>
      <c r="Q4" s="25">
        <v>0.0131</v>
      </c>
      <c r="R4" s="26">
        <f>0.1307*2/100+8.4124/200</f>
        <v>0.044676</v>
      </c>
      <c r="S4" s="27">
        <f>240/600</f>
        <v>0.4</v>
      </c>
      <c r="T4" s="13">
        <f t="shared" si="3"/>
        <v>1.89970069446667</v>
      </c>
      <c r="U4" s="10" t="s">
        <v>29</v>
      </c>
      <c r="V4" s="32">
        <f>VLOOKUP(B:B,[1]Sheet1!$B:$T,19,0)</f>
        <v>1.58745475358827</v>
      </c>
      <c r="W4" s="33">
        <f>VLOOKUP(B:B,[1]Sheet1!$B:$Y,24,0)</f>
        <v>1.89970069446667</v>
      </c>
    </row>
    <row r="5" s="1" customFormat="1" spans="1:23">
      <c r="A5" s="4">
        <v>3</v>
      </c>
      <c r="B5" s="10" t="s">
        <v>33</v>
      </c>
      <c r="C5" s="10" t="s">
        <v>34</v>
      </c>
      <c r="D5" s="11" t="s">
        <v>35</v>
      </c>
      <c r="E5" s="12">
        <v>0.0609</v>
      </c>
      <c r="F5" s="12">
        <v>0.0611</v>
      </c>
      <c r="G5" s="13">
        <v>10.3</v>
      </c>
      <c r="H5" s="13">
        <f t="shared" si="0"/>
        <v>0.62933</v>
      </c>
      <c r="I5" s="19" t="s">
        <v>36</v>
      </c>
      <c r="J5" s="20">
        <v>65.4545454545455</v>
      </c>
      <c r="K5" s="20">
        <f t="shared" si="1"/>
        <v>55</v>
      </c>
      <c r="L5" s="10">
        <v>2</v>
      </c>
      <c r="M5" s="10">
        <v>64</v>
      </c>
      <c r="N5" s="10">
        <v>0.76</v>
      </c>
      <c r="O5" s="10">
        <v>22.5</v>
      </c>
      <c r="P5" s="13">
        <f t="shared" si="2"/>
        <v>0.171875</v>
      </c>
      <c r="Q5" s="25">
        <v>0.0131</v>
      </c>
      <c r="R5" s="34">
        <f>39.3472/(2000/15.114)+8.4124/100</f>
        <v>0.3814707904</v>
      </c>
      <c r="S5" s="35">
        <v>1</v>
      </c>
      <c r="T5" s="13">
        <f t="shared" si="3"/>
        <v>2.49051467373333</v>
      </c>
      <c r="U5" s="10" t="s">
        <v>29</v>
      </c>
      <c r="V5" s="32">
        <f>VLOOKUP(B:B,[1]Sheet1!$B:$T,19,0)</f>
        <v>2.54599585461573</v>
      </c>
      <c r="W5" s="33">
        <f>VLOOKUP(B:B,[1]Sheet1!$B:$Y,24,0)</f>
        <v>1.86</v>
      </c>
    </row>
    <row r="6" s="1" customFormat="1" spans="1:23">
      <c r="A6" s="4">
        <v>4</v>
      </c>
      <c r="B6" s="10" t="s">
        <v>37</v>
      </c>
      <c r="C6" s="10" t="s">
        <v>38</v>
      </c>
      <c r="D6" s="11" t="s">
        <v>35</v>
      </c>
      <c r="E6" s="12">
        <v>0.0785</v>
      </c>
      <c r="F6" s="12">
        <v>0.0791</v>
      </c>
      <c r="G6" s="13">
        <v>10.3</v>
      </c>
      <c r="H6" s="13">
        <f t="shared" si="0"/>
        <v>0.81473</v>
      </c>
      <c r="I6" s="19" t="s">
        <v>36</v>
      </c>
      <c r="J6" s="20">
        <v>65.4545454545455</v>
      </c>
      <c r="K6" s="20">
        <f t="shared" si="1"/>
        <v>55</v>
      </c>
      <c r="L6" s="10">
        <v>2</v>
      </c>
      <c r="M6" s="10">
        <v>64</v>
      </c>
      <c r="N6" s="10">
        <v>0.76</v>
      </c>
      <c r="O6" s="10">
        <v>22.5</v>
      </c>
      <c r="P6" s="13">
        <f t="shared" si="2"/>
        <v>0.171875</v>
      </c>
      <c r="Q6" s="25">
        <v>0.0291</v>
      </c>
      <c r="R6" s="34">
        <f>39.3472/(2000/22.208)+8.4124/100</f>
        <v>0.5210353088</v>
      </c>
      <c r="S6" s="35">
        <v>1</v>
      </c>
      <c r="T6" s="13">
        <f t="shared" si="3"/>
        <v>2.85235319213333</v>
      </c>
      <c r="U6" s="10" t="s">
        <v>29</v>
      </c>
      <c r="V6" s="32">
        <f>VLOOKUP(B:B,[1]Sheet1!$B:$T,19,0)</f>
        <v>2.94701827291493</v>
      </c>
      <c r="W6" s="33">
        <f>VLOOKUP(B:B,[1]Sheet1!$B:$Y,24,0)</f>
        <v>2.22</v>
      </c>
    </row>
    <row r="7" s="1" customFormat="1" spans="1:23">
      <c r="A7" s="4">
        <v>5</v>
      </c>
      <c r="B7" s="10" t="s">
        <v>39</v>
      </c>
      <c r="C7" s="10" t="s">
        <v>40</v>
      </c>
      <c r="D7" s="11" t="s">
        <v>35</v>
      </c>
      <c r="E7" s="12">
        <v>0.2144</v>
      </c>
      <c r="F7" s="12">
        <v>0.2264</v>
      </c>
      <c r="G7" s="13">
        <v>10.3</v>
      </c>
      <c r="H7" s="13">
        <f t="shared" si="0"/>
        <v>2.33192</v>
      </c>
      <c r="I7" s="19" t="s">
        <v>41</v>
      </c>
      <c r="J7" s="20">
        <v>60</v>
      </c>
      <c r="K7" s="20">
        <f t="shared" si="1"/>
        <v>60</v>
      </c>
      <c r="L7" s="10">
        <v>1</v>
      </c>
      <c r="M7" s="10">
        <v>72.7</v>
      </c>
      <c r="N7" s="10">
        <v>0.76</v>
      </c>
      <c r="O7" s="10">
        <v>22.5</v>
      </c>
      <c r="P7" s="13">
        <f t="shared" si="2"/>
        <v>0.375</v>
      </c>
      <c r="Q7" s="25">
        <v>0.1307</v>
      </c>
      <c r="R7" s="34">
        <v>0.8</v>
      </c>
      <c r="S7" s="35">
        <v>2.4</v>
      </c>
      <c r="T7" s="13">
        <f t="shared" si="3"/>
        <v>6.8503832</v>
      </c>
      <c r="U7" s="10" t="s">
        <v>29</v>
      </c>
      <c r="V7" s="32">
        <f>VLOOKUP(B:B,[1]Sheet1!$B:$T,19,0)</f>
        <v>6.9780601837448</v>
      </c>
      <c r="W7" s="33">
        <f>VLOOKUP(B:B,[1]Sheet1!$B:$Y,24,0)</f>
        <v>5.93</v>
      </c>
    </row>
    <row r="8" s="1" customFormat="1" spans="1:23">
      <c r="A8" s="4">
        <v>6</v>
      </c>
      <c r="B8" s="10" t="s">
        <v>42</v>
      </c>
      <c r="C8" s="10" t="s">
        <v>40</v>
      </c>
      <c r="D8" s="11" t="s">
        <v>35</v>
      </c>
      <c r="E8" s="12">
        <v>0.2114</v>
      </c>
      <c r="F8" s="12">
        <v>0.2234</v>
      </c>
      <c r="G8" s="13">
        <v>10.3</v>
      </c>
      <c r="H8" s="13">
        <f t="shared" si="0"/>
        <v>2.30102</v>
      </c>
      <c r="I8" s="19" t="s">
        <v>41</v>
      </c>
      <c r="J8" s="20">
        <v>60</v>
      </c>
      <c r="K8" s="20">
        <f t="shared" si="1"/>
        <v>60</v>
      </c>
      <c r="L8" s="10">
        <v>1</v>
      </c>
      <c r="M8" s="10">
        <v>72.7</v>
      </c>
      <c r="N8" s="10">
        <v>0.76</v>
      </c>
      <c r="O8" s="10">
        <v>22.5</v>
      </c>
      <c r="P8" s="13">
        <f t="shared" si="2"/>
        <v>0.375</v>
      </c>
      <c r="Q8" s="25">
        <v>0.1307</v>
      </c>
      <c r="R8" s="34">
        <v>0.8</v>
      </c>
      <c r="S8" s="35">
        <v>2.4</v>
      </c>
      <c r="T8" s="13">
        <f t="shared" si="3"/>
        <v>6.8160842</v>
      </c>
      <c r="U8" s="10" t="s">
        <v>29</v>
      </c>
      <c r="V8" s="32">
        <f>VLOOKUP(B:B,[1]Sheet1!$B:$T,19,0)</f>
        <v>6.9780601837448</v>
      </c>
      <c r="W8" s="33">
        <f>VLOOKUP(B:B,[1]Sheet1!$B:$Y,24,0)</f>
        <v>5.9</v>
      </c>
    </row>
    <row r="9" s="1" customFormat="1" spans="1:23">
      <c r="A9" s="4">
        <v>7</v>
      </c>
      <c r="B9" s="10" t="s">
        <v>43</v>
      </c>
      <c r="C9" s="10" t="s">
        <v>44</v>
      </c>
      <c r="D9" s="11" t="s">
        <v>35</v>
      </c>
      <c r="E9" s="12">
        <v>0.0862</v>
      </c>
      <c r="F9" s="12">
        <v>0.0982</v>
      </c>
      <c r="G9" s="13">
        <v>10.3</v>
      </c>
      <c r="H9" s="13">
        <f t="shared" si="0"/>
        <v>1.01146</v>
      </c>
      <c r="I9" s="19" t="s">
        <v>41</v>
      </c>
      <c r="J9" s="20">
        <v>60</v>
      </c>
      <c r="K9" s="20">
        <f t="shared" si="1"/>
        <v>60</v>
      </c>
      <c r="L9" s="10">
        <v>2</v>
      </c>
      <c r="M9" s="10">
        <v>71.2</v>
      </c>
      <c r="N9" s="10">
        <v>0.76</v>
      </c>
      <c r="O9" s="10">
        <v>22.5</v>
      </c>
      <c r="P9" s="13">
        <f t="shared" si="2"/>
        <v>0.1875</v>
      </c>
      <c r="Q9" s="25">
        <v>0.0291</v>
      </c>
      <c r="R9" s="34">
        <f>27.543/(2000/6.7)+8.8889/200</f>
        <v>0.13671355</v>
      </c>
      <c r="S9" s="35">
        <f>240/400</f>
        <v>0.6</v>
      </c>
      <c r="T9" s="13">
        <f t="shared" si="3"/>
        <v>2.34780015</v>
      </c>
      <c r="U9" s="10" t="s">
        <v>29</v>
      </c>
      <c r="V9" s="32">
        <f>VLOOKUP(B:B,[1]Sheet1!$B:$T,19,0)</f>
        <v>2.4151327426296</v>
      </c>
      <c r="W9" s="33">
        <f>VLOOKUP(B:B,[1]Sheet1!$B:$Y,24,0)</f>
        <v>2.12</v>
      </c>
    </row>
    <row r="10" s="1" customFormat="1" spans="1:23">
      <c r="A10" s="4">
        <v>8</v>
      </c>
      <c r="B10" s="10" t="s">
        <v>45</v>
      </c>
      <c r="C10" s="10" t="s">
        <v>46</v>
      </c>
      <c r="D10" s="11" t="s">
        <v>32</v>
      </c>
      <c r="E10" s="12">
        <v>0.0559</v>
      </c>
      <c r="F10" s="12">
        <v>0.0619</v>
      </c>
      <c r="G10" s="13">
        <v>15.9292</v>
      </c>
      <c r="H10" s="13">
        <f t="shared" si="0"/>
        <v>0.98601748</v>
      </c>
      <c r="I10" s="19" t="s">
        <v>28</v>
      </c>
      <c r="J10" s="20">
        <v>60</v>
      </c>
      <c r="K10" s="20">
        <f t="shared" si="1"/>
        <v>60</v>
      </c>
      <c r="L10" s="10">
        <v>2</v>
      </c>
      <c r="M10" s="10">
        <v>48.5</v>
      </c>
      <c r="N10" s="10">
        <v>0.76</v>
      </c>
      <c r="O10" s="10">
        <v>22.5</v>
      </c>
      <c r="P10" s="13">
        <f t="shared" si="2"/>
        <v>0.1875</v>
      </c>
      <c r="Q10" s="25">
        <v>0.0131</v>
      </c>
      <c r="R10" s="26">
        <f>0.1307*2/100+8.4124/200</f>
        <v>0.044676</v>
      </c>
      <c r="S10" s="27">
        <f>240/600</f>
        <v>0.4</v>
      </c>
      <c r="T10" s="13">
        <f t="shared" si="3"/>
        <v>1.9312509028</v>
      </c>
      <c r="U10" s="10" t="s">
        <v>29</v>
      </c>
      <c r="V10" s="32">
        <f>VLOOKUP(B:B,[1]Sheet1!$B:$T,19,0)</f>
        <v>1.636423115932</v>
      </c>
      <c r="W10" s="33">
        <f>VLOOKUP(B:B,[1]Sheet1!$B:$Y,24,0)</f>
        <v>1.93</v>
      </c>
    </row>
    <row r="11" s="1" customFormat="1" spans="1:23">
      <c r="A11" s="4">
        <v>9</v>
      </c>
      <c r="B11" s="10" t="s">
        <v>47</v>
      </c>
      <c r="C11" s="10" t="s">
        <v>48</v>
      </c>
      <c r="D11" s="11" t="s">
        <v>32</v>
      </c>
      <c r="E11" s="12">
        <v>0.069</v>
      </c>
      <c r="F11" s="12">
        <v>0.0706</v>
      </c>
      <c r="G11" s="13">
        <v>15.9292</v>
      </c>
      <c r="H11" s="13">
        <f t="shared" si="0"/>
        <v>1.12460152</v>
      </c>
      <c r="I11" s="19" t="s">
        <v>28</v>
      </c>
      <c r="J11" s="20">
        <v>60</v>
      </c>
      <c r="K11" s="20">
        <f t="shared" si="1"/>
        <v>60</v>
      </c>
      <c r="L11" s="10">
        <v>2</v>
      </c>
      <c r="M11" s="10">
        <v>48.5</v>
      </c>
      <c r="N11" s="10">
        <v>0.76</v>
      </c>
      <c r="O11" s="10">
        <v>22.5</v>
      </c>
      <c r="P11" s="13">
        <f t="shared" si="2"/>
        <v>0.1875</v>
      </c>
      <c r="Q11" s="25">
        <v>0.0131</v>
      </c>
      <c r="R11" s="26">
        <f>0.1307*2/100+8.4124/200</f>
        <v>0.044676</v>
      </c>
      <c r="S11" s="27">
        <f>240/600</f>
        <v>0.4</v>
      </c>
      <c r="T11" s="13">
        <f t="shared" si="3"/>
        <v>2.0850791872</v>
      </c>
      <c r="U11" s="10" t="s">
        <v>29</v>
      </c>
      <c r="V11" s="32">
        <f>VLOOKUP(B:B,[1]Sheet1!$B:$T,19,0)</f>
        <v>1.7425155085408</v>
      </c>
      <c r="W11" s="33">
        <f>VLOOKUP(B:B,[1]Sheet1!$B:$Y,24,0)</f>
        <v>2.0850791872</v>
      </c>
    </row>
    <row r="12" s="1" customFormat="1" spans="1:23">
      <c r="A12" s="4">
        <v>10</v>
      </c>
      <c r="B12" s="10" t="s">
        <v>49</v>
      </c>
      <c r="C12" s="10" t="s">
        <v>50</v>
      </c>
      <c r="D12" s="11" t="s">
        <v>32</v>
      </c>
      <c r="E12" s="12">
        <v>0.0215</v>
      </c>
      <c r="F12" s="12">
        <v>0.024</v>
      </c>
      <c r="G12" s="13">
        <v>15.9292</v>
      </c>
      <c r="H12" s="13">
        <f t="shared" si="0"/>
        <v>0.3823008</v>
      </c>
      <c r="I12" s="19" t="s">
        <v>28</v>
      </c>
      <c r="J12" s="20">
        <v>65.4545454545455</v>
      </c>
      <c r="K12" s="20">
        <f t="shared" si="1"/>
        <v>55</v>
      </c>
      <c r="L12" s="10">
        <v>2</v>
      </c>
      <c r="M12" s="10">
        <v>48.5</v>
      </c>
      <c r="N12" s="10">
        <v>0.76</v>
      </c>
      <c r="O12" s="10">
        <v>22.5</v>
      </c>
      <c r="P12" s="13">
        <f t="shared" si="2"/>
        <v>0.171875</v>
      </c>
      <c r="Q12" s="25">
        <v>0.0131</v>
      </c>
      <c r="R12" s="26">
        <f>0.1307*2/200+0.0131+8.4124/400</f>
        <v>0.035438</v>
      </c>
      <c r="S12" s="27">
        <f>240/800</f>
        <v>0.3</v>
      </c>
      <c r="T12" s="13">
        <f t="shared" si="3"/>
        <v>1.12033717966667</v>
      </c>
      <c r="U12" s="10" t="s">
        <v>29</v>
      </c>
      <c r="V12" s="32">
        <f>VLOOKUP(B:B,[1]Sheet1!$B:$T,19,0)</f>
        <v>1.00475965821467</v>
      </c>
      <c r="W12" s="33">
        <f>VLOOKUP(B:B,[1]Sheet1!$B:$Y,24,0)</f>
        <v>1.12033717966667</v>
      </c>
    </row>
    <row r="13" s="1" customFormat="1" ht="56" customHeight="1" spans="1:23">
      <c r="A13" s="4">
        <v>11</v>
      </c>
      <c r="B13" s="10" t="s">
        <v>51</v>
      </c>
      <c r="C13" s="10" t="s">
        <v>52</v>
      </c>
      <c r="D13" s="11" t="s">
        <v>35</v>
      </c>
      <c r="E13" s="12">
        <v>0.08</v>
      </c>
      <c r="F13" s="12">
        <v>0.0811</v>
      </c>
      <c r="G13" s="13">
        <v>10.3</v>
      </c>
      <c r="H13" s="13">
        <f t="shared" si="0"/>
        <v>0.83533</v>
      </c>
      <c r="I13" s="19" t="s">
        <v>41</v>
      </c>
      <c r="J13" s="20">
        <v>60</v>
      </c>
      <c r="K13" s="20">
        <f t="shared" si="1"/>
        <v>60</v>
      </c>
      <c r="L13" s="10">
        <v>2</v>
      </c>
      <c r="M13" s="10">
        <v>71.2</v>
      </c>
      <c r="N13" s="10">
        <v>0.76</v>
      </c>
      <c r="O13" s="10">
        <v>22.5</v>
      </c>
      <c r="P13" s="13">
        <f t="shared" si="2"/>
        <v>0.1875</v>
      </c>
      <c r="Q13" s="25">
        <v>0.0291</v>
      </c>
      <c r="R13" s="34">
        <f>39.3472/(2000/21.2)+8.4124/50</f>
        <v>0.58532832</v>
      </c>
      <c r="S13" s="35">
        <v>1</v>
      </c>
      <c r="T13" s="13">
        <f t="shared" si="3"/>
        <v>3.00091062</v>
      </c>
      <c r="U13" s="10" t="s">
        <v>29</v>
      </c>
      <c r="V13" s="32">
        <f>VLOOKUP(B:B,[1]Sheet1!$B:$T,19,0)</f>
        <v>3.0434921530872</v>
      </c>
      <c r="W13" s="33">
        <f>VLOOKUP(B:B,[1]Sheet1!$B:$Y,24,0)</f>
        <v>2.37</v>
      </c>
    </row>
    <row r="14" s="1" customFormat="1" spans="1:23">
      <c r="A14" s="4">
        <v>12</v>
      </c>
      <c r="B14" s="10" t="s">
        <v>53</v>
      </c>
      <c r="C14" s="10" t="s">
        <v>54</v>
      </c>
      <c r="D14" s="11" t="s">
        <v>35</v>
      </c>
      <c r="E14" s="12">
        <v>0.001</v>
      </c>
      <c r="F14" s="12">
        <v>0.002</v>
      </c>
      <c r="G14" s="13">
        <v>10.3</v>
      </c>
      <c r="H14" s="13">
        <f t="shared" si="0"/>
        <v>0.0206</v>
      </c>
      <c r="I14" s="19" t="s">
        <v>28</v>
      </c>
      <c r="J14" s="20">
        <v>80</v>
      </c>
      <c r="K14" s="20">
        <f t="shared" si="1"/>
        <v>45</v>
      </c>
      <c r="L14" s="10">
        <v>4</v>
      </c>
      <c r="M14" s="10">
        <v>40</v>
      </c>
      <c r="N14" s="10">
        <v>0.76</v>
      </c>
      <c r="O14" s="10">
        <v>22.5</v>
      </c>
      <c r="P14" s="13">
        <f t="shared" si="2"/>
        <v>0.0703125</v>
      </c>
      <c r="Q14" s="25">
        <v>0.000131</v>
      </c>
      <c r="R14" s="26">
        <f>0.0131/100*50/5000+8.4124/5000</f>
        <v>0.00168379</v>
      </c>
      <c r="S14" s="27">
        <f>240/10000</f>
        <v>0.024</v>
      </c>
      <c r="T14" s="13">
        <f t="shared" si="3"/>
        <v>0.179456595</v>
      </c>
      <c r="U14" s="10" t="s">
        <v>29</v>
      </c>
      <c r="V14" s="32">
        <f>VLOOKUP(B:B,[1]Sheet1!$B:$T,19,0)</f>
        <v>0.179065631688</v>
      </c>
      <c r="W14" s="33">
        <f>VLOOKUP(B:B,[1]Sheet1!$B:$Y,24,0)</f>
        <v>0.18</v>
      </c>
    </row>
    <row r="15" s="1" customFormat="1" spans="1:23">
      <c r="A15" s="4">
        <v>13</v>
      </c>
      <c r="B15" s="29" t="s">
        <v>55</v>
      </c>
      <c r="C15" s="29" t="s">
        <v>56</v>
      </c>
      <c r="D15" s="11" t="s">
        <v>35</v>
      </c>
      <c r="E15" s="12">
        <v>0.002</v>
      </c>
      <c r="F15" s="12">
        <v>0.0015</v>
      </c>
      <c r="G15" s="13">
        <v>10.3</v>
      </c>
      <c r="H15" s="13">
        <f t="shared" si="0"/>
        <v>0.01545</v>
      </c>
      <c r="I15" s="19" t="s">
        <v>28</v>
      </c>
      <c r="J15" s="20">
        <v>80</v>
      </c>
      <c r="K15" s="20">
        <f t="shared" si="1"/>
        <v>45</v>
      </c>
      <c r="L15" s="10">
        <v>8</v>
      </c>
      <c r="M15" s="10">
        <v>48.5</v>
      </c>
      <c r="N15" s="10">
        <v>0.76</v>
      </c>
      <c r="O15" s="10">
        <v>22.5</v>
      </c>
      <c r="P15" s="13">
        <f t="shared" si="2"/>
        <v>0.03515625</v>
      </c>
      <c r="Q15" s="25">
        <v>0.006841</v>
      </c>
      <c r="R15" s="26">
        <f>0.0131/20*250/5000+8.4124/5000</f>
        <v>0.00171523</v>
      </c>
      <c r="S15" s="27">
        <f>240/10000</f>
        <v>0.024</v>
      </c>
      <c r="T15" s="13">
        <f t="shared" si="3"/>
        <v>0.12089892875</v>
      </c>
      <c r="U15" s="10" t="s">
        <v>29</v>
      </c>
      <c r="V15" s="32">
        <f>VLOOKUP(B:B,[1]Sheet1!$B:$T,19,0)</f>
        <v>0.1172344507628</v>
      </c>
      <c r="W15" s="33">
        <f>VLOOKUP(B:B,[1]Sheet1!$B:$Y,24,0)</f>
        <v>0.12089892875</v>
      </c>
    </row>
    <row r="16" s="1" customFormat="1" spans="1:23">
      <c r="A16" s="4">
        <v>14</v>
      </c>
      <c r="B16" s="29" t="s">
        <v>57</v>
      </c>
      <c r="C16" s="29" t="s">
        <v>58</v>
      </c>
      <c r="D16" s="11" t="s">
        <v>35</v>
      </c>
      <c r="E16" s="12">
        <v>0.021</v>
      </c>
      <c r="F16" s="12">
        <v>0.022</v>
      </c>
      <c r="G16" s="13">
        <v>10.3</v>
      </c>
      <c r="H16" s="13">
        <f t="shared" si="0"/>
        <v>0.2266</v>
      </c>
      <c r="I16" s="19" t="s">
        <v>59</v>
      </c>
      <c r="J16" s="20">
        <v>80</v>
      </c>
      <c r="K16" s="20">
        <f t="shared" si="1"/>
        <v>45</v>
      </c>
      <c r="L16" s="10">
        <v>4</v>
      </c>
      <c r="M16" s="10">
        <v>39.75</v>
      </c>
      <c r="N16" s="10">
        <v>0.76</v>
      </c>
      <c r="O16" s="10">
        <v>22.5</v>
      </c>
      <c r="P16" s="13">
        <f t="shared" si="2"/>
        <v>0.0703125</v>
      </c>
      <c r="Q16" s="25">
        <v>0.00013</v>
      </c>
      <c r="R16" s="26">
        <f>0.0131/2+0.0291/100+8.4124/500</f>
        <v>0.0236658</v>
      </c>
      <c r="S16" s="27">
        <f>240/1000</f>
        <v>0.24</v>
      </c>
      <c r="T16" s="13">
        <f t="shared" si="3"/>
        <v>0.64576804375</v>
      </c>
      <c r="U16" s="10" t="s">
        <v>29</v>
      </c>
      <c r="V16" s="32">
        <f>VLOOKUP(B:B,[1]Sheet1!$B:$T,19,0)</f>
        <v>0.641467447318</v>
      </c>
      <c r="W16" s="33">
        <f>VLOOKUP(B:B,[1]Sheet1!$B:$Y,24,0)</f>
        <v>0.64576804375</v>
      </c>
    </row>
    <row r="17" s="1" customFormat="1" spans="1:23">
      <c r="A17" s="4">
        <v>15</v>
      </c>
      <c r="B17" s="29" t="s">
        <v>60</v>
      </c>
      <c r="C17" s="29" t="s">
        <v>61</v>
      </c>
      <c r="D17" s="11" t="s">
        <v>35</v>
      </c>
      <c r="E17" s="12">
        <v>0.022</v>
      </c>
      <c r="F17" s="12">
        <v>0.023</v>
      </c>
      <c r="G17" s="13">
        <v>10.3</v>
      </c>
      <c r="H17" s="13">
        <f t="shared" si="0"/>
        <v>0.2369</v>
      </c>
      <c r="I17" s="19" t="s">
        <v>59</v>
      </c>
      <c r="J17" s="20">
        <v>80</v>
      </c>
      <c r="K17" s="20">
        <f t="shared" si="1"/>
        <v>45</v>
      </c>
      <c r="L17" s="10">
        <v>4</v>
      </c>
      <c r="M17" s="10">
        <v>39.75</v>
      </c>
      <c r="N17" s="10">
        <v>0.76</v>
      </c>
      <c r="O17" s="10">
        <v>22.5</v>
      </c>
      <c r="P17" s="13">
        <f t="shared" si="2"/>
        <v>0.0703125</v>
      </c>
      <c r="Q17" s="25">
        <v>0.00015</v>
      </c>
      <c r="R17" s="27">
        <v>0.03</v>
      </c>
      <c r="S17" s="27">
        <v>0.24</v>
      </c>
      <c r="T17" s="13">
        <f t="shared" si="3"/>
        <v>0.66355584375</v>
      </c>
      <c r="U17" s="10" t="s">
        <v>29</v>
      </c>
      <c r="V17" s="32">
        <f>VLOOKUP(B:B,[1]Sheet1!$B:$T,19,0)</f>
        <v>0.6568122619932</v>
      </c>
      <c r="W17" s="33">
        <f>VLOOKUP(B:B,[1]Sheet1!$B:$Y,24,0)</f>
        <v>0.66355584375</v>
      </c>
    </row>
    <row r="18" s="1" customFormat="1" spans="1:23">
      <c r="A18" s="4">
        <v>16</v>
      </c>
      <c r="B18" s="29" t="s">
        <v>62</v>
      </c>
      <c r="C18" s="29" t="s">
        <v>63</v>
      </c>
      <c r="D18" s="11" t="s">
        <v>35</v>
      </c>
      <c r="E18" s="12">
        <v>0.014</v>
      </c>
      <c r="F18" s="12">
        <v>0.014</v>
      </c>
      <c r="G18" s="13">
        <v>10.3</v>
      </c>
      <c r="H18" s="13">
        <f t="shared" si="0"/>
        <v>0.1442</v>
      </c>
      <c r="I18" s="19" t="s">
        <v>59</v>
      </c>
      <c r="J18" s="20">
        <v>80</v>
      </c>
      <c r="K18" s="20">
        <f t="shared" si="1"/>
        <v>45</v>
      </c>
      <c r="L18" s="10">
        <v>4</v>
      </c>
      <c r="M18" s="10">
        <v>39.75</v>
      </c>
      <c r="N18" s="10">
        <v>0.76</v>
      </c>
      <c r="O18" s="10">
        <v>22.5</v>
      </c>
      <c r="P18" s="13">
        <f t="shared" si="2"/>
        <v>0.0703125</v>
      </c>
      <c r="Q18" s="25">
        <v>0.00015</v>
      </c>
      <c r="R18" s="27">
        <v>0.03</v>
      </c>
      <c r="S18" s="27">
        <v>0.24</v>
      </c>
      <c r="T18" s="13">
        <f t="shared" si="3"/>
        <v>0.56065884375</v>
      </c>
      <c r="U18" s="10" t="s">
        <v>29</v>
      </c>
      <c r="V18" s="32">
        <f>VLOOKUP(B:B,[1]Sheet1!$B:$T,19,0)</f>
        <v>0.557922100566</v>
      </c>
      <c r="W18" s="33">
        <f>VLOOKUP(B:B,[1]Sheet1!$B:$Y,24,0)</f>
        <v>0.56065884375</v>
      </c>
    </row>
    <row r="19" s="1" customFormat="1" spans="1:23">
      <c r="A19" s="4">
        <v>17</v>
      </c>
      <c r="B19" s="29" t="s">
        <v>64</v>
      </c>
      <c r="C19" s="29" t="s">
        <v>61</v>
      </c>
      <c r="D19" s="11" t="s">
        <v>35</v>
      </c>
      <c r="E19" s="12">
        <v>0.018</v>
      </c>
      <c r="F19" s="12">
        <v>0.019</v>
      </c>
      <c r="G19" s="13">
        <v>10.3</v>
      </c>
      <c r="H19" s="13">
        <f t="shared" si="0"/>
        <v>0.1957</v>
      </c>
      <c r="I19" s="19" t="s">
        <v>59</v>
      </c>
      <c r="J19" s="20">
        <v>80</v>
      </c>
      <c r="K19" s="20">
        <f t="shared" si="1"/>
        <v>45</v>
      </c>
      <c r="L19" s="10">
        <v>4</v>
      </c>
      <c r="M19" s="10">
        <v>39.75</v>
      </c>
      <c r="N19" s="10">
        <v>0.76</v>
      </c>
      <c r="O19" s="10">
        <v>22.5</v>
      </c>
      <c r="P19" s="13">
        <f t="shared" si="2"/>
        <v>0.0703125</v>
      </c>
      <c r="Q19" s="25">
        <v>0.00015</v>
      </c>
      <c r="R19" s="27">
        <v>0.03</v>
      </c>
      <c r="S19" s="27">
        <v>0.24</v>
      </c>
      <c r="T19" s="13">
        <f t="shared" si="3"/>
        <v>0.61782384375</v>
      </c>
      <c r="U19" s="10" t="s">
        <v>29</v>
      </c>
      <c r="V19" s="32">
        <f>VLOOKUP(B:B,[1]Sheet1!$B:$T,19,0)</f>
        <v>0.6568122619932</v>
      </c>
      <c r="W19" s="33">
        <f>VLOOKUP(B:B,[1]Sheet1!$B:$Y,24,0)</f>
        <v>0.61782384375</v>
      </c>
    </row>
    <row r="20" s="1" customFormat="1" spans="1:23">
      <c r="A20" s="4">
        <v>18</v>
      </c>
      <c r="B20" s="29" t="s">
        <v>65</v>
      </c>
      <c r="C20" s="29" t="s">
        <v>63</v>
      </c>
      <c r="D20" s="11" t="s">
        <v>35</v>
      </c>
      <c r="E20" s="12">
        <v>0.014</v>
      </c>
      <c r="F20" s="12">
        <v>0.014</v>
      </c>
      <c r="G20" s="13">
        <v>10.3</v>
      </c>
      <c r="H20" s="13">
        <f t="shared" si="0"/>
        <v>0.1442</v>
      </c>
      <c r="I20" s="19" t="s">
        <v>59</v>
      </c>
      <c r="J20" s="20">
        <v>80</v>
      </c>
      <c r="K20" s="20">
        <f t="shared" si="1"/>
        <v>45</v>
      </c>
      <c r="L20" s="10">
        <v>4</v>
      </c>
      <c r="M20" s="10">
        <v>39.75</v>
      </c>
      <c r="N20" s="10">
        <v>0.76</v>
      </c>
      <c r="O20" s="10">
        <v>22.5</v>
      </c>
      <c r="P20" s="13">
        <f t="shared" si="2"/>
        <v>0.0703125</v>
      </c>
      <c r="Q20" s="25">
        <v>0.00015</v>
      </c>
      <c r="R20" s="27">
        <v>0.03</v>
      </c>
      <c r="S20" s="27">
        <v>0.24</v>
      </c>
      <c r="T20" s="13">
        <f t="shared" si="3"/>
        <v>0.56065884375</v>
      </c>
      <c r="U20" s="10" t="s">
        <v>29</v>
      </c>
      <c r="V20" s="32">
        <f>VLOOKUP(B:B,[1]Sheet1!$B:$T,19,0)</f>
        <v>0.557922100566</v>
      </c>
      <c r="W20" s="33">
        <f>VLOOKUP(B:B,[1]Sheet1!$B:$Y,24,0)</f>
        <v>0.56065884375</v>
      </c>
    </row>
    <row r="21" spans="23:23">
      <c r="W21" s="36"/>
    </row>
  </sheetData>
  <mergeCells count="21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S17" sqref="S17"/>
    </sheetView>
  </sheetViews>
  <sheetFormatPr defaultColWidth="9" defaultRowHeight="13.5" outlineLevelRow="2"/>
  <cols>
    <col min="1" max="1" width="4.81666666666667" customWidth="1"/>
    <col min="2" max="2" width="11.8166666666667" customWidth="1"/>
    <col min="3" max="3" width="9.54166666666667" customWidth="1"/>
    <col min="9" max="9" width="15.1833333333333" customWidth="1"/>
    <col min="12" max="12" width="7.45833333333333" customWidth="1"/>
    <col min="17" max="17" width="7.09166666666667" customWidth="1"/>
  </cols>
  <sheetData>
    <row r="1" s="1" customFormat="1" ht="14.25" customHeight="1" spans="1:20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/>
      <c r="G1" s="6" t="s">
        <v>5</v>
      </c>
      <c r="H1" s="7" t="s">
        <v>6</v>
      </c>
      <c r="I1" s="14" t="s">
        <v>7</v>
      </c>
      <c r="J1" s="15" t="s">
        <v>8</v>
      </c>
      <c r="K1" s="16" t="s">
        <v>9</v>
      </c>
      <c r="L1" s="17" t="s">
        <v>10</v>
      </c>
      <c r="M1" s="4" t="s">
        <v>11</v>
      </c>
      <c r="N1" s="17" t="s">
        <v>12</v>
      </c>
      <c r="O1" s="17" t="s">
        <v>13</v>
      </c>
      <c r="P1" s="6" t="s">
        <v>14</v>
      </c>
      <c r="Q1" s="21" t="s">
        <v>15</v>
      </c>
      <c r="R1" s="22" t="s">
        <v>16</v>
      </c>
      <c r="S1" s="22" t="s">
        <v>17</v>
      </c>
      <c r="T1" s="23" t="s">
        <v>18</v>
      </c>
    </row>
    <row r="2" s="1" customFormat="1" spans="1:20">
      <c r="A2" s="8" t="s">
        <v>22</v>
      </c>
      <c r="B2" s="3"/>
      <c r="C2" s="4"/>
      <c r="D2" s="4"/>
      <c r="E2" s="5" t="s">
        <v>23</v>
      </c>
      <c r="F2" s="5" t="s">
        <v>24</v>
      </c>
      <c r="G2" s="6"/>
      <c r="H2" s="7"/>
      <c r="I2" s="14"/>
      <c r="J2" s="15"/>
      <c r="K2" s="18"/>
      <c r="L2" s="17"/>
      <c r="M2" s="4"/>
      <c r="N2" s="17"/>
      <c r="O2" s="17"/>
      <c r="P2" s="6"/>
      <c r="Q2" s="21"/>
      <c r="R2" s="24"/>
      <c r="S2" s="24"/>
      <c r="T2" s="23"/>
    </row>
    <row r="3" s="1" customFormat="1" spans="1:20">
      <c r="A3" s="4">
        <v>1</v>
      </c>
      <c r="B3" s="9" t="s">
        <v>66</v>
      </c>
      <c r="C3" s="10" t="s">
        <v>67</v>
      </c>
      <c r="D3" s="11" t="s">
        <v>68</v>
      </c>
      <c r="E3" s="12">
        <v>0.0035</v>
      </c>
      <c r="F3" s="12">
        <f>E3*1.02</f>
        <v>0.00357</v>
      </c>
      <c r="G3" s="13">
        <v>13.27</v>
      </c>
      <c r="H3" s="13">
        <f>F3*G3</f>
        <v>0.0473739</v>
      </c>
      <c r="I3" s="19" t="s">
        <v>28</v>
      </c>
      <c r="J3" s="20">
        <v>90</v>
      </c>
      <c r="K3" s="20">
        <f>3600/J3</f>
        <v>40</v>
      </c>
      <c r="L3" s="10">
        <v>4</v>
      </c>
      <c r="M3" s="10">
        <v>48.5</v>
      </c>
      <c r="N3" s="10">
        <v>0.76</v>
      </c>
      <c r="O3" s="10">
        <v>22.5</v>
      </c>
      <c r="P3" s="13">
        <f>O3/J3/L3</f>
        <v>0.0625</v>
      </c>
      <c r="Q3" s="25"/>
      <c r="R3" s="26">
        <f>0.1307*2/2000+8.4124/4000</f>
        <v>0.0022338</v>
      </c>
      <c r="S3" s="27">
        <f>240/8000</f>
        <v>0.03</v>
      </c>
      <c r="T3" s="28">
        <f>(H3+P3+(M3*N3/J3/L3)/2)*1.11+Q3*1.03+R3+S3</f>
        <v>0.211019662333333</v>
      </c>
    </row>
  </sheetData>
  <mergeCells count="18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CET-AL00</dc:creator>
  <cp:lastModifiedBy>浅笑安然</cp:lastModifiedBy>
  <dcterms:created xsi:type="dcterms:W3CDTF">2023-09-07T18:14:00Z</dcterms:created>
  <dcterms:modified xsi:type="dcterms:W3CDTF">2024-11-04T02:44:27Z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51897F3339764838A7CCA53B6B901F17_13</vt:lpwstr>
  </property>
  <property fmtid="{D5CDD505-2E9C-101B-9397-08002B2CF9AE}" pid="3" name="KSOProductBuildVer">
    <vt:lpwstr>2052-12.1.0.18608</vt:lpwstr>
  </property>
</Properties>
</file>