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71F252BC-61AC-4C90-AAE6-779D220C40F6}" xr6:coauthVersionLast="47" xr6:coauthVersionMax="47" xr10:uidLastSave="{00000000-0000-0000-0000-000000000000}"/>
  <bookViews>
    <workbookView xWindow="-120" yWindow="-120" windowWidth="24240" windowHeight="13140" firstSheet="10" activeTab="10" xr2:uid="{C8E01B01-8CC1-434E-BAF0-237AB129A7D1}"/>
  </bookViews>
  <sheets>
    <sheet name="报价需求" sheetId="2" r:id="rId1"/>
    <sheet name="报价明细" sheetId="3" r:id="rId2"/>
    <sheet name="2024.2.26" sheetId="4" r:id="rId3"/>
    <sheet name="2024.4.2" sheetId="5" r:id="rId4"/>
    <sheet name="2024.4.30" sheetId="6" r:id="rId5"/>
    <sheet name="2024.6.3" sheetId="7" r:id="rId6"/>
    <sheet name="2024.8.12" sheetId="8" r:id="rId7"/>
    <sheet name="2024.8.15" sheetId="9" r:id="rId8"/>
    <sheet name="2024.9.29" sheetId="10" r:id="rId9"/>
    <sheet name="2024.10.29" sheetId="11" r:id="rId10"/>
    <sheet name="2024.10.30" sheetId="12" r:id="rId11"/>
  </sheets>
  <calcPr calcId="181029"/>
</workbook>
</file>

<file path=xl/calcChain.xml><?xml version="1.0" encoding="utf-8"?>
<calcChain xmlns="http://schemas.openxmlformats.org/spreadsheetml/2006/main">
  <c r="U3" i="12" l="1"/>
  <c r="U5" i="12"/>
  <c r="U4" i="12"/>
  <c r="V4" i="12" s="1"/>
  <c r="U9" i="12"/>
  <c r="V9" i="12" s="1"/>
  <c r="U8" i="12"/>
  <c r="U10" i="12"/>
  <c r="V10" i="12" s="1"/>
  <c r="U7" i="12"/>
  <c r="V7" i="12" s="1"/>
  <c r="U6" i="12"/>
  <c r="U11" i="12"/>
  <c r="V5" i="12"/>
  <c r="V6" i="12"/>
  <c r="V8" i="12"/>
  <c r="V11" i="12"/>
  <c r="V3" i="12"/>
  <c r="Q11" i="12"/>
  <c r="L11" i="12"/>
  <c r="I11" i="12"/>
  <c r="Q10" i="12"/>
  <c r="L10" i="12"/>
  <c r="I10" i="12"/>
  <c r="Q5" i="12"/>
  <c r="L5" i="12"/>
  <c r="I5" i="12"/>
  <c r="Q4" i="12"/>
  <c r="L4" i="12"/>
  <c r="I4" i="12"/>
  <c r="Q3" i="12"/>
  <c r="L3" i="12"/>
  <c r="I3" i="12"/>
  <c r="I10" i="11" l="1"/>
  <c r="I9" i="11"/>
  <c r="I8" i="11"/>
  <c r="I3" i="11"/>
  <c r="L3" i="11"/>
  <c r="L11" i="11"/>
  <c r="L10" i="11"/>
  <c r="L9" i="11"/>
  <c r="M8" i="11"/>
  <c r="L8" i="11"/>
  <c r="M7" i="11"/>
  <c r="L7" i="11"/>
  <c r="M6" i="11"/>
  <c r="L6" i="11"/>
  <c r="I6" i="11"/>
  <c r="M5" i="11"/>
  <c r="L5" i="11"/>
  <c r="I5" i="11"/>
  <c r="M4" i="11"/>
  <c r="L4" i="11"/>
  <c r="I4" i="11"/>
  <c r="M3" i="11"/>
  <c r="I11" i="11"/>
  <c r="I7" i="11"/>
  <c r="V4" i="10"/>
  <c r="V5" i="10"/>
  <c r="Q5" i="10"/>
  <c r="L5" i="10"/>
  <c r="I5" i="10"/>
  <c r="I4" i="10"/>
  <c r="L4" i="10"/>
  <c r="Q4" i="10"/>
  <c r="V4" i="9"/>
  <c r="Q4" i="9"/>
  <c r="L4" i="9"/>
  <c r="I4" i="9"/>
  <c r="I3" i="8"/>
  <c r="T4" i="7"/>
  <c r="S4" i="7"/>
  <c r="V4" i="7"/>
  <c r="Q4" i="7"/>
  <c r="L4" i="7"/>
  <c r="I4" i="7"/>
  <c r="K4" i="6"/>
  <c r="S5" i="6"/>
  <c r="S6" i="6"/>
  <c r="S4" i="6"/>
  <c r="R5" i="6"/>
  <c r="P5" i="6"/>
  <c r="K5" i="6"/>
  <c r="H5" i="6"/>
  <c r="U5" i="6"/>
  <c r="P4" i="6"/>
  <c r="P6" i="6"/>
  <c r="S8" i="6"/>
  <c r="R8" i="6"/>
  <c r="P8" i="6"/>
  <c r="K8" i="6"/>
  <c r="H8" i="6"/>
  <c r="R4" i="6"/>
  <c r="R6" i="6"/>
  <c r="S7" i="6"/>
  <c r="R7" i="6"/>
  <c r="P7" i="6"/>
  <c r="K7" i="6"/>
  <c r="H7" i="6"/>
  <c r="U7" i="6"/>
  <c r="U8" i="6"/>
  <c r="K6" i="6"/>
  <c r="H6" i="6"/>
  <c r="U6" i="6"/>
  <c r="H4" i="6"/>
  <c r="U4" i="6"/>
  <c r="T8" i="5"/>
  <c r="S8" i="5"/>
  <c r="Q8" i="5"/>
  <c r="I8" i="5"/>
  <c r="V8" i="5"/>
  <c r="Q7" i="5"/>
  <c r="I7" i="5"/>
  <c r="V7" i="5"/>
  <c r="Q6" i="5"/>
  <c r="K6" i="5"/>
  <c r="I6" i="5"/>
  <c r="V6" i="5"/>
  <c r="Q5" i="5"/>
  <c r="I5" i="5"/>
  <c r="V5" i="5"/>
  <c r="Q4" i="5"/>
  <c r="I4" i="5"/>
  <c r="V4" i="5"/>
  <c r="V10" i="4"/>
  <c r="S7" i="4"/>
  <c r="V7" i="4"/>
  <c r="V9" i="4"/>
  <c r="V11" i="4"/>
  <c r="V12" i="4"/>
  <c r="I10" i="4"/>
  <c r="T10" i="4"/>
  <c r="S10" i="4"/>
  <c r="Q10" i="4"/>
  <c r="L10" i="4"/>
  <c r="I11" i="4"/>
  <c r="Q12" i="4"/>
  <c r="L12" i="4"/>
  <c r="I12" i="4"/>
  <c r="Q11" i="4"/>
  <c r="L11" i="4"/>
  <c r="T9" i="4"/>
  <c r="Q9" i="4"/>
  <c r="I9" i="4"/>
  <c r="S8" i="4"/>
  <c r="T8" i="4"/>
  <c r="T7" i="4"/>
  <c r="T6" i="4"/>
  <c r="T5" i="4"/>
  <c r="T4" i="4"/>
  <c r="I4" i="4"/>
  <c r="Q4" i="4"/>
  <c r="Q8" i="4"/>
  <c r="L8" i="4"/>
  <c r="I8" i="4"/>
  <c r="Q7" i="4"/>
  <c r="L7" i="4"/>
  <c r="I7" i="4"/>
  <c r="Q6" i="4"/>
  <c r="I6" i="4"/>
  <c r="Q5" i="4"/>
  <c r="I5" i="4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G4" i="3"/>
  <c r="I4" i="3"/>
  <c r="M4" i="3"/>
  <c r="G5" i="3"/>
  <c r="I5" i="3"/>
  <c r="M5" i="3"/>
  <c r="G6" i="3"/>
  <c r="I6" i="3"/>
  <c r="M6" i="3"/>
  <c r="G7" i="3"/>
  <c r="I7" i="3"/>
  <c r="M7" i="3"/>
  <c r="V8" i="4"/>
  <c r="V5" i="4"/>
  <c r="V6" i="4"/>
  <c r="V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F2" authorId="0" shapeId="0" xr:uid="{38D2BDFC-F1EC-45C9-BE28-77DBE1EFF93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包括：钢丝、无纺布、预埋骨架等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DE499916-E86B-49F6-98EC-E5C18C3ADEBA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31B0B6B9-23AB-4708-8F00-E086CBE81E9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CCF6F37E-9253-4847-A17B-762809E42F26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294D788F-B3B5-4C69-A0D7-574C342BC9B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A189A09E-3F38-4313-9890-7A8CCFA5A4ED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C45CA8A6-4997-4D77-AA43-FBE9876FE6EA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19AEEB5F-2745-4DB9-B3EF-4DC05F7592A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<sst xmlns="http://schemas.openxmlformats.org/spreadsheetml/2006/main" count="448" uniqueCount="198">
  <si>
    <t>业务部门报价需求模板</t>
  </si>
  <si>
    <t>序号</t>
  </si>
  <si>
    <t>客户</t>
  </si>
  <si>
    <t>客户产品图号</t>
  </si>
  <si>
    <t>金蝶代码</t>
  </si>
  <si>
    <t>QAD代码</t>
  </si>
  <si>
    <t>产品名称</t>
  </si>
  <si>
    <t>计量单位</t>
  </si>
  <si>
    <t>新老产品</t>
  </si>
  <si>
    <t>报价需求原因</t>
  </si>
  <si>
    <t>备注</t>
  </si>
  <si>
    <t>西安光华</t>
  </si>
  <si>
    <t>SHT0012220</t>
  </si>
  <si>
    <t>坐垫泡沫总成</t>
  </si>
  <si>
    <t>件</t>
  </si>
  <si>
    <t>SHT0013962</t>
  </si>
  <si>
    <t>SHT0014664</t>
  </si>
  <si>
    <t>驾驶员靠背泡沫总成</t>
  </si>
  <si>
    <t>SHT0013956</t>
  </si>
  <si>
    <t>副驾驶员靠背泡沫总成</t>
  </si>
  <si>
    <t>供西安光华荣昌公司产品报价明细表</t>
  </si>
  <si>
    <r>
      <t>Q</t>
    </r>
    <r>
      <rPr>
        <sz val="12"/>
        <rFont val="宋体"/>
        <family val="3"/>
        <charset val="134"/>
      </rPr>
      <t>AD代码</t>
    </r>
  </si>
  <si>
    <t>物料名称</t>
  </si>
  <si>
    <t>单位</t>
  </si>
  <si>
    <t>浇注量</t>
  </si>
  <si>
    <t>辅料金额</t>
  </si>
  <si>
    <t>按结算原则计算（不含税）</t>
  </si>
  <si>
    <t>不含运费</t>
  </si>
  <si>
    <t>运费</t>
  </si>
  <si>
    <t>含运费</t>
  </si>
  <si>
    <t>车辆运费</t>
  </si>
  <si>
    <t>装载数量</t>
  </si>
  <si>
    <t>单价</t>
  </si>
  <si>
    <r>
      <t>K</t>
    </r>
    <r>
      <rPr>
        <sz val="12"/>
        <rFont val="宋体"/>
        <family val="3"/>
        <charset val="134"/>
      </rPr>
      <t>G</t>
    </r>
  </si>
  <si>
    <t>运费（不含税）</t>
    <phoneticPr fontId="5" type="noConversion"/>
  </si>
  <si>
    <t>物料号</t>
  </si>
  <si>
    <t xml:space="preserve">描述 </t>
  </si>
  <si>
    <t>BCL0010006</t>
  </si>
  <si>
    <t>气管卡扣（2*4mm）</t>
  </si>
  <si>
    <t>BEC0010017</t>
  </si>
  <si>
    <t>风扇保护壳</t>
  </si>
  <si>
    <t>SHT0000141</t>
  </si>
  <si>
    <t>H3改型司机升降把手前</t>
  </si>
  <si>
    <t>SHT0014561</t>
  </si>
  <si>
    <t>调角器左罩壳</t>
  </si>
  <si>
    <t>SHT0014610</t>
  </si>
  <si>
    <t>J6L前部罩壳(双孔)</t>
  </si>
  <si>
    <t>序号</t>
    <phoneticPr fontId="5" type="noConversion"/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</si>
  <si>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</si>
  <si>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</si>
  <si>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</si>
  <si>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</si>
  <si>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</si>
  <si>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</si>
  <si>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</si>
  <si>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</si>
  <si>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</si>
  <si>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</si>
  <si>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</si>
  <si>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</si>
  <si>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</si>
  <si>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</si>
  <si>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</si>
  <si>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</si>
  <si>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净重</t>
  </si>
  <si>
    <t>毛重</t>
  </si>
  <si>
    <t>PA6+GF30</t>
  </si>
  <si>
    <t>MA2000/700</t>
  </si>
  <si>
    <t>TP-30</t>
  </si>
  <si>
    <t>MA1600IIS/570</t>
  </si>
  <si>
    <t>TP30黑色P1M6K-JF01</t>
  </si>
  <si>
    <t>MA6000IIS/3200</t>
  </si>
  <si>
    <t>MA4700IIS/2250</t>
  </si>
  <si>
    <t>内部报价（未税）</t>
    <phoneticPr fontId="5" type="noConversion"/>
  </si>
  <si>
    <t>PA66</t>
  </si>
  <si>
    <t>MA2000/7700</t>
  </si>
  <si>
    <t>BPC0010012</t>
  </si>
  <si>
    <t>4mm卡箍</t>
  </si>
  <si>
    <t>SHT0014562</t>
  </si>
  <si>
    <t>阻尼堵盖</t>
  </si>
  <si>
    <t>SHT0014673</t>
  </si>
  <si>
    <t>X3000副驾驶员左侧罩壳</t>
  </si>
  <si>
    <t>SHT0014676</t>
  </si>
  <si>
    <t>PC
(Sabic LS2-111H)</t>
  </si>
  <si>
    <t>HTF86/TJ</t>
  </si>
  <si>
    <t>丝印/冲孔</t>
    <phoneticPr fontId="5" type="noConversion"/>
  </si>
  <si>
    <t>MA3200IIS/1350</t>
  </si>
  <si>
    <t>供西安光华荣昌产品报价表</t>
    <phoneticPr fontId="5" type="noConversion"/>
  </si>
  <si>
    <t>序</t>
  </si>
  <si>
    <t>物料代码</t>
  </si>
  <si>
    <t>名称</t>
  </si>
  <si>
    <t>合格率</t>
    <phoneticPr fontId="12" type="noConversion"/>
  </si>
  <si>
    <t>丝印/打孔</t>
    <phoneticPr fontId="12" type="noConversion"/>
  </si>
  <si>
    <t>内部结算指导价（未税）</t>
  </si>
  <si>
    <t>号</t>
  </si>
  <si>
    <t>SHT0012939</t>
  </si>
  <si>
    <t>2.0座椅右舵速降按钮堵盖</t>
  </si>
  <si>
    <t>TP30黑色P1M6K-JF01</t>
    <phoneticPr fontId="12" type="noConversion"/>
  </si>
  <si>
    <t>MA3000/1800G</t>
    <phoneticPr fontId="12" type="noConversion"/>
  </si>
  <si>
    <t>SHT0013000</t>
  </si>
  <si>
    <t>2.0左舵阻尼装饰盖</t>
  </si>
  <si>
    <t>SHT0013868</t>
  </si>
  <si>
    <t>2.0座椅左侧罩壳</t>
  </si>
  <si>
    <t>MA6000IIS/3200</t>
    <phoneticPr fontId="12" type="noConversion"/>
  </si>
  <si>
    <t>SHT0014620</t>
  </si>
  <si>
    <t>供西安光华产品报价明细表</t>
    <phoneticPr fontId="5" type="noConversion"/>
  </si>
  <si>
    <t>BPC0010070</t>
  </si>
  <si>
    <t>后盖</t>
  </si>
  <si>
    <t>SHT0014616</t>
  </si>
  <si>
    <t>SHT0014602</t>
  </si>
  <si>
    <t>副驾调角器右罩壳</t>
  </si>
  <si>
    <t>SHT0012895</t>
  </si>
  <si>
    <t>副驾调角器左罩壳</t>
  </si>
  <si>
    <t>SHT0015658</t>
  </si>
  <si>
    <t>SHT0016727</t>
  </si>
  <si>
    <t>SHT0017169</t>
  </si>
  <si>
    <t>J6L调角器左罩壳 /</t>
  </si>
  <si>
    <t>序</t>
    <phoneticPr fontId="14" type="noConversion"/>
  </si>
  <si>
    <t>合格率</t>
    <phoneticPr fontId="14" type="noConversion"/>
  </si>
  <si>
    <t>丝印/打孔</t>
    <phoneticPr fontId="14" type="noConversion"/>
  </si>
  <si>
    <t>一模
数量</t>
    <phoneticPr fontId="5" type="noConversion"/>
  </si>
  <si>
    <t>电费
单价</t>
    <phoneticPr fontId="5" type="noConversion"/>
  </si>
  <si>
    <t>工资/
小时</t>
    <phoneticPr fontId="5" type="noConversion"/>
  </si>
  <si>
    <t>工资
/件</t>
    <phoneticPr fontId="5" type="noConversion"/>
  </si>
  <si>
    <t>未税单价</t>
  </si>
  <si>
    <t>西安荣昌</t>
  </si>
  <si>
    <t>BEC0010159
（BEC0010041）</t>
    <phoneticPr fontId="5" type="noConversion"/>
  </si>
  <si>
    <t>坐垫风扇总成 / H4-2.2</t>
  </si>
  <si>
    <t>EA</t>
  </si>
  <si>
    <t>老</t>
  </si>
  <si>
    <t>SLT0010854</t>
  </si>
  <si>
    <t>驾驶员座椅总成-新面套</t>
  </si>
  <si>
    <t>SLT0011007</t>
  </si>
  <si>
    <t>减震驾驶员座椅总成（欧马可气囊减震）-新面套</t>
  </si>
  <si>
    <t>SLT0011011</t>
  </si>
  <si>
    <t>副驾驶员座椅总成（欧马可织物2060）-新面套</t>
  </si>
  <si>
    <t>SHT0014923</t>
  </si>
  <si>
    <t>X3000副驾驶员左侧罩壳黑 / 靠背调节+速降</t>
  </si>
  <si>
    <t>TP-30黑</t>
  </si>
  <si>
    <t>SA6000/4500u</t>
    <phoneticPr fontId="16" type="noConversion"/>
  </si>
  <si>
    <t>SHT0011972</t>
  </si>
  <si>
    <t>SHT0011977</t>
  </si>
  <si>
    <t>PP-K8303</t>
    <phoneticPr fontId="5" type="noConversion"/>
  </si>
  <si>
    <t>2.0座椅加热底座</t>
    <phoneticPr fontId="5" type="noConversion"/>
  </si>
  <si>
    <t>包装</t>
  </si>
  <si>
    <t>SLT0010931</t>
  </si>
  <si>
    <t>安全带带扣总成</t>
  </si>
  <si>
    <t>SLT0011303</t>
  </si>
  <si>
    <t>舒适性海绵</t>
  </si>
  <si>
    <t>SLT0010910</t>
  </si>
  <si>
    <t>扶手旋转轴</t>
  </si>
  <si>
    <t>SLT0010948</t>
  </si>
  <si>
    <t>衬套</t>
  </si>
  <si>
    <t>SLT0010903</t>
  </si>
  <si>
    <t>SLT0010864</t>
  </si>
  <si>
    <t>驾驶员通风靠背泡沫总成欧马可升级 通风</t>
  </si>
  <si>
    <t>SLT0011286</t>
  </si>
  <si>
    <t>驾驶员通风座垫泡沫总成欧马可升级减震款 通风</t>
  </si>
  <si>
    <t>SLT0011061</t>
  </si>
  <si>
    <t>副驾靠背泡沫总成</t>
  </si>
  <si>
    <t>SLT0011075</t>
  </si>
  <si>
    <t>副驾小背泡沫总成欧马可升级2060副驾</t>
  </si>
  <si>
    <t>单件运费</t>
  </si>
  <si>
    <t>每车运费</t>
  </si>
  <si>
    <t>每车装载量</t>
    <phoneticPr fontId="5" type="noConversion"/>
  </si>
  <si>
    <t>描述</t>
  </si>
  <si>
    <t>SLT0010924</t>
  </si>
  <si>
    <t>SLT0010943</t>
  </si>
  <si>
    <t>SLT0010944</t>
  </si>
  <si>
    <t>SLT0011054</t>
  </si>
  <si>
    <t>SLT0011112</t>
  </si>
  <si>
    <t>SLT0011117</t>
  </si>
  <si>
    <t>SLT0011118</t>
  </si>
  <si>
    <t>SLT0011196</t>
  </si>
  <si>
    <t>SLT0011310</t>
  </si>
  <si>
    <t>背板支撑块 /</t>
  </si>
  <si>
    <t>主驾二级调节左罩壳蓝黑 / 欧马可升级</t>
  </si>
  <si>
    <t>主驾右侧罩壳蓝黑 / 欧马可升级</t>
  </si>
  <si>
    <t>副驾靠背解锁手把蓝黑 / 欧马可升级</t>
  </si>
  <si>
    <t>解锁手把蓝黑 / 欧马可升级</t>
  </si>
  <si>
    <t>副驾左侧罩壳蓝黑 / 欧马可升级</t>
  </si>
  <si>
    <t>副驾罩壳堵盖蓝黑 / L168100000158</t>
  </si>
  <si>
    <t>扣手螺钉堵盖蓝黑 / 欧马可升级</t>
  </si>
  <si>
    <t>主驾驶左侧大护板蓝黑 / 减震款欧马可升级</t>
  </si>
  <si>
    <t>序</t>
    <phoneticPr fontId="5" type="noConversion"/>
  </si>
  <si>
    <t>号</t>
    <phoneticPr fontId="5" type="noConversion"/>
  </si>
  <si>
    <t>PP+GF30</t>
  </si>
  <si>
    <t>PP-TD30蓝黑</t>
  </si>
  <si>
    <t>PA6-GF30北鸿科</t>
  </si>
  <si>
    <t>MA3800II/2250</t>
  </si>
  <si>
    <t>PP-TD30蓝黑</t>
    <phoneticPr fontId="23" type="noConversion"/>
  </si>
  <si>
    <t>丝印/
冲孔</t>
    <phoneticPr fontId="5" type="noConversion"/>
  </si>
  <si>
    <t>开模
数/h</t>
    <phoneticPr fontId="5" type="noConversion"/>
  </si>
  <si>
    <t>未税材料
单价/kg</t>
    <phoneticPr fontId="5" type="noConversion"/>
  </si>
  <si>
    <t>料费
/件</t>
    <phoneticPr fontId="5" type="noConversion"/>
  </si>
  <si>
    <t>销售费用
包装运费</t>
    <phoneticPr fontId="5" type="noConversion"/>
  </si>
  <si>
    <t>包装费</t>
    <phoneticPr fontId="5" type="noConversion"/>
  </si>
  <si>
    <t>运费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</si>
</sst>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0.00_);[Red]\(0.00\)"/>
    <numFmt numFmtId="177" formatCode="0.00_ "/>
    <numFmt numFmtId="178" formatCode="0_);[Red]\(0\)"/>
    <numFmt numFmtId="179" formatCode="0.0000_);[Red]\(0.0000\)"/>
    <numFmt numFmtId="180" formatCode="#,##0.00_ "/>
    <numFmt numFmtId="181" formatCode="0_ "/>
    <numFmt numFmtId="182" formatCode="0.000_);[Red]\(0.000\)"/>
    <numFmt numFmtId="183" formatCode="0.00_);\(0.00\)"/>
  </numFmts>
  <fonts count="24">
    <font>
      <sz val="12"/>
      <name val="宋体"/>
      <charset val="134"/>
    </font>
    <font>
      <sz val="10"/>
      <name val="宋体"/>
      <family val="3"/>
      <charset val="134"/>
    </font>
    <font>
      <sz val="10"/>
      <name val="DengXi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8"/>
      <name val="微软雅黑"/>
      <family val="2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1" applyNumberFormat="0" applyFill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/>
  </cellStyleXfs>
  <cellXfs count="2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8" fontId="19" fillId="0" borderId="1" xfId="0" applyNumberFormat="1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43" fontId="7" fillId="0" borderId="1" xfId="3" applyFont="1" applyBorder="1" applyAlignment="1">
      <alignment horizontal="center" vertical="center" wrapText="1"/>
    </xf>
    <xf numFmtId="182" fontId="7" fillId="0" borderId="1" xfId="3" applyNumberFormat="1" applyFont="1" applyBorder="1" applyAlignment="1">
      <alignment horizontal="center" vertical="center" wrapText="1"/>
    </xf>
    <xf numFmtId="182" fontId="0" fillId="0" borderId="0" xfId="0" applyNumberFormat="1">
      <alignment vertical="center"/>
    </xf>
    <xf numFmtId="176" fontId="11" fillId="0" borderId="1" xfId="0" applyNumberFormat="1" applyFont="1" applyBorder="1">
      <alignment vertical="center"/>
    </xf>
    <xf numFmtId="176" fontId="7" fillId="0" borderId="1" xfId="3" applyNumberFormat="1" applyFont="1" applyBorder="1" applyAlignment="1">
      <alignment vertical="center" wrapText="1"/>
    </xf>
    <xf numFmtId="17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82" fontId="11" fillId="4" borderId="1" xfId="0" applyNumberFormat="1" applyFont="1" applyFill="1" applyBorder="1">
      <alignment vertical="center"/>
    </xf>
    <xf numFmtId="182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vertical="center" shrinkToFit="1"/>
    </xf>
    <xf numFmtId="181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177" fontId="11" fillId="0" borderId="1" xfId="0" applyNumberFormat="1" applyFont="1" applyBorder="1">
      <alignment vertical="center"/>
    </xf>
    <xf numFmtId="179" fontId="11" fillId="0" borderId="1" xfId="0" applyNumberFormat="1" applyFont="1" applyBorder="1">
      <alignment vertical="center"/>
    </xf>
    <xf numFmtId="176" fontId="11" fillId="0" borderId="1" xfId="3" applyNumberFormat="1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82" fontId="19" fillId="4" borderId="1" xfId="0" applyNumberFormat="1" applyFont="1" applyFill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182" fontId="20" fillId="0" borderId="1" xfId="0" applyNumberFormat="1" applyFont="1" applyBorder="1">
      <alignment vertical="center"/>
    </xf>
    <xf numFmtId="176" fontId="20" fillId="0" borderId="1" xfId="0" applyNumberFormat="1" applyFont="1" applyBorder="1">
      <alignment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vertical="center" shrinkToFit="1"/>
    </xf>
    <xf numFmtId="181" fontId="20" fillId="0" borderId="1" xfId="0" applyNumberFormat="1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176" fontId="20" fillId="0" borderId="1" xfId="3" applyNumberFormat="1" applyFont="1" applyBorder="1" applyAlignment="1">
      <alignment vertical="center"/>
    </xf>
    <xf numFmtId="176" fontId="13" fillId="0" borderId="1" xfId="3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82" fontId="21" fillId="4" borderId="1" xfId="0" applyNumberFormat="1" applyFont="1" applyFill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2" fontId="21" fillId="4" borderId="1" xfId="0" applyNumberFormat="1" applyFont="1" applyFill="1" applyBorder="1">
      <alignment vertical="center"/>
    </xf>
    <xf numFmtId="182" fontId="21" fillId="0" borderId="1" xfId="0" applyNumberFormat="1" applyFont="1" applyBorder="1">
      <alignment vertical="center"/>
    </xf>
    <xf numFmtId="176" fontId="21" fillId="0" borderId="1" xfId="0" applyNumberFormat="1" applyFont="1" applyBorder="1">
      <alignment vertical="center"/>
    </xf>
    <xf numFmtId="0" fontId="21" fillId="0" borderId="1" xfId="0" applyFont="1" applyBorder="1" applyAlignment="1">
      <alignment vertical="center" shrinkToFit="1"/>
    </xf>
    <xf numFmtId="181" fontId="21" fillId="0" borderId="1" xfId="0" applyNumberFormat="1" applyFont="1" applyBorder="1">
      <alignment vertical="center"/>
    </xf>
    <xf numFmtId="0" fontId="21" fillId="0" borderId="1" xfId="0" applyFont="1" applyBorder="1">
      <alignment vertical="center"/>
    </xf>
    <xf numFmtId="176" fontId="21" fillId="0" borderId="1" xfId="3" applyNumberFormat="1" applyFont="1" applyBorder="1" applyAlignment="1">
      <alignment vertical="center"/>
    </xf>
    <xf numFmtId="177" fontId="2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7" fillId="0" borderId="1" xfId="3" applyNumberFormat="1" applyFont="1" applyBorder="1" applyAlignment="1">
      <alignment vertical="center"/>
    </xf>
    <xf numFmtId="177" fontId="20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0" fontId="20" fillId="0" borderId="1" xfId="0" applyNumberFormat="1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9" fillId="0" borderId="0" xfId="2" applyFont="1">
      <alignment vertical="center"/>
    </xf>
    <xf numFmtId="0" fontId="18" fillId="2" borderId="1" xfId="2" applyFont="1" applyFill="1" applyBorder="1" applyAlignment="1">
      <alignment horizontal="center" vertical="center"/>
    </xf>
    <xf numFmtId="183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>
      <alignment vertical="center"/>
    </xf>
    <xf numFmtId="0" fontId="1" fillId="0" borderId="1" xfId="2" applyFont="1" applyBorder="1" applyAlignment="1"/>
    <xf numFmtId="0" fontId="1" fillId="0" borderId="1" xfId="2" applyFont="1" applyBorder="1" applyAlignment="1">
      <alignment horizontal="center"/>
    </xf>
    <xf numFmtId="183" fontId="19" fillId="0" borderId="1" xfId="2" applyNumberFormat="1" applyFont="1" applyBorder="1">
      <alignment vertical="center"/>
    </xf>
    <xf numFmtId="178" fontId="19" fillId="0" borderId="1" xfId="2" applyNumberFormat="1" applyFont="1" applyBorder="1">
      <alignment vertical="center"/>
    </xf>
    <xf numFmtId="0" fontId="19" fillId="0" borderId="0" xfId="2" applyFont="1" applyAlignment="1">
      <alignment horizontal="center" vertical="center"/>
    </xf>
    <xf numFmtId="183" fontId="19" fillId="0" borderId="0" xfId="2" applyNumberFormat="1" applyFont="1">
      <alignment vertical="center"/>
    </xf>
    <xf numFmtId="176" fontId="19" fillId="0" borderId="1" xfId="2" applyNumberFormat="1" applyFont="1" applyBorder="1">
      <alignment vertical="center"/>
    </xf>
    <xf numFmtId="177" fontId="19" fillId="0" borderId="1" xfId="0" applyNumberFormat="1" applyFont="1" applyBorder="1">
      <alignment vertical="center"/>
    </xf>
    <xf numFmtId="0" fontId="10" fillId="0" borderId="1" xfId="2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80" fontId="11" fillId="0" borderId="1" xfId="3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82" fontId="10" fillId="0" borderId="2" xfId="3" applyNumberFormat="1" applyFont="1" applyFill="1" applyBorder="1" applyAlignment="1">
      <alignment horizontal="center" vertical="center" wrapText="1"/>
    </xf>
    <xf numFmtId="182" fontId="10" fillId="0" borderId="3" xfId="3" applyNumberFormat="1" applyFont="1" applyFill="1" applyBorder="1" applyAlignment="1">
      <alignment horizontal="center" vertical="center" wrapText="1"/>
    </xf>
    <xf numFmtId="43" fontId="10" fillId="0" borderId="2" xfId="3" applyFont="1" applyFill="1" applyBorder="1" applyAlignment="1">
      <alignment horizontal="center" vertical="center" wrapText="1"/>
    </xf>
    <xf numFmtId="43" fontId="10" fillId="0" borderId="3" xfId="3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10" fillId="0" borderId="2" xfId="3" applyNumberFormat="1" applyFont="1" applyFill="1" applyBorder="1" applyAlignment="1">
      <alignment horizontal="center" vertical="center"/>
    </xf>
    <xf numFmtId="176" fontId="10" fillId="0" borderId="3" xfId="3" applyNumberFormat="1" applyFont="1" applyFill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 wrapText="1"/>
    </xf>
    <xf numFmtId="180" fontId="1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180" fontId="10" fillId="0" borderId="2" xfId="3" applyNumberFormat="1" applyFont="1" applyFill="1" applyBorder="1" applyAlignment="1">
      <alignment horizontal="center" vertical="center" wrapText="1"/>
    </xf>
    <xf numFmtId="180" fontId="10" fillId="0" borderId="3" xfId="3" applyNumberFormat="1" applyFont="1" applyFill="1" applyBorder="1" applyAlignment="1">
      <alignment horizontal="center" vertical="center" wrapText="1"/>
    </xf>
    <xf numFmtId="179" fontId="10" fillId="0" borderId="5" xfId="0" applyNumberFormat="1" applyFont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43" fontId="19" fillId="0" borderId="2" xfId="3" applyFont="1" applyBorder="1" applyAlignment="1">
      <alignment horizontal="center" vertical="center" wrapText="1"/>
    </xf>
    <xf numFmtId="43" fontId="19" fillId="0" borderId="3" xfId="3" applyFont="1" applyBorder="1" applyAlignment="1">
      <alignment horizontal="center" vertical="center" wrapText="1"/>
    </xf>
    <xf numFmtId="176" fontId="19" fillId="0" borderId="2" xfId="0" applyNumberFormat="1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19" fillId="0" borderId="1" xfId="3" applyNumberFormat="1" applyFont="1" applyBorder="1" applyAlignment="1">
      <alignment horizontal="center" vertical="center"/>
    </xf>
    <xf numFmtId="176" fontId="19" fillId="0" borderId="1" xfId="3" applyNumberFormat="1" applyFont="1" applyBorder="1" applyAlignment="1">
      <alignment horizontal="center" vertical="center" wrapText="1"/>
    </xf>
    <xf numFmtId="43" fontId="19" fillId="0" borderId="1" xfId="3" applyFont="1" applyBorder="1" applyAlignment="1">
      <alignment horizontal="center" vertical="center" wrapText="1"/>
    </xf>
    <xf numFmtId="43" fontId="19" fillId="0" borderId="1" xfId="3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2" fontId="19" fillId="4" borderId="1" xfId="0" applyNumberFormat="1" applyFont="1" applyFill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176" fontId="21" fillId="0" borderId="1" xfId="3" applyNumberFormat="1" applyFont="1" applyBorder="1" applyAlignment="1">
      <alignment horizontal="center" vertical="center" wrapText="1"/>
    </xf>
    <xf numFmtId="176" fontId="21" fillId="0" borderId="1" xfId="3" applyNumberFormat="1" applyFont="1" applyBorder="1" applyAlignment="1">
      <alignment horizontal="center" vertical="center"/>
    </xf>
    <xf numFmtId="43" fontId="21" fillId="0" borderId="1" xfId="3" applyFont="1" applyBorder="1" applyAlignment="1">
      <alignment horizontal="center" vertical="center" wrapText="1"/>
    </xf>
    <xf numFmtId="43" fontId="21" fillId="0" borderId="1" xfId="3" applyFont="1" applyBorder="1" applyAlignment="1">
      <alignment horizontal="center" vertical="center"/>
    </xf>
    <xf numFmtId="43" fontId="21" fillId="0" borderId="2" xfId="3" applyFont="1" applyBorder="1" applyAlignment="1">
      <alignment horizontal="center" vertical="center" wrapText="1"/>
    </xf>
    <xf numFmtId="43" fontId="21" fillId="0" borderId="3" xfId="3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81" fontId="21" fillId="0" borderId="1" xfId="0" applyNumberFormat="1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82" fontId="21" fillId="4" borderId="1" xfId="0" applyNumberFormat="1" applyFont="1" applyFill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181" fontId="21" fillId="0" borderId="2" xfId="0" applyNumberFormat="1" applyFont="1" applyBorder="1" applyAlignment="1">
      <alignment horizontal="center" vertical="center" wrapText="1"/>
    </xf>
    <xf numFmtId="181" fontId="21" fillId="0" borderId="3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81" fontId="20" fillId="0" borderId="2" xfId="0" applyNumberFormat="1" applyFont="1" applyBorder="1" applyAlignment="1">
      <alignment horizontal="center" vertical="center" wrapText="1"/>
    </xf>
    <xf numFmtId="181" fontId="20" fillId="0" borderId="3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176" fontId="20" fillId="0" borderId="1" xfId="3" applyNumberFormat="1" applyFont="1" applyBorder="1" applyAlignment="1">
      <alignment horizontal="center" vertical="center"/>
    </xf>
    <xf numFmtId="176" fontId="20" fillId="0" borderId="1" xfId="3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81" fontId="20" fillId="0" borderId="1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43" fontId="20" fillId="0" borderId="2" xfId="3" applyFont="1" applyBorder="1" applyAlignment="1">
      <alignment horizontal="center" vertical="center" wrapText="1"/>
    </xf>
    <xf numFmtId="43" fontId="20" fillId="0" borderId="3" xfId="3" applyFont="1" applyBorder="1" applyAlignment="1">
      <alignment horizontal="center" vertical="center" wrapText="1"/>
    </xf>
    <xf numFmtId="176" fontId="20" fillId="0" borderId="2" xfId="0" applyNumberFormat="1" applyFont="1" applyBorder="1" applyAlignment="1">
      <alignment horizontal="center" vertical="center" wrapText="1"/>
    </xf>
    <xf numFmtId="176" fontId="20" fillId="0" borderId="3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182" fontId="20" fillId="4" borderId="1" xfId="0" applyNumberFormat="1" applyFont="1" applyFill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43" fontId="20" fillId="0" borderId="1" xfId="3" applyFont="1" applyBorder="1" applyAlignment="1">
      <alignment horizontal="center" vertical="center" wrapText="1"/>
    </xf>
    <xf numFmtId="43" fontId="20" fillId="0" borderId="1" xfId="3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183" fontId="22" fillId="0" borderId="1" xfId="2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80" fontId="11" fillId="0" borderId="2" xfId="0" applyNumberFormat="1" applyFont="1" applyBorder="1" applyAlignment="1">
      <alignment horizontal="center" vertical="center" wrapText="1"/>
    </xf>
    <xf numFmtId="180" fontId="11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81" fontId="11" fillId="0" borderId="2" xfId="0" applyNumberFormat="1" applyFont="1" applyBorder="1" applyAlignment="1">
      <alignment horizontal="center" vertical="center" wrapText="1"/>
    </xf>
    <xf numFmtId="181" fontId="11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1" fillId="0" borderId="2" xfId="3" applyNumberFormat="1" applyFont="1" applyFill="1" applyBorder="1" applyAlignment="1">
      <alignment horizontal="center" vertical="center"/>
    </xf>
    <xf numFmtId="176" fontId="11" fillId="0" borderId="3" xfId="3" applyNumberFormat="1" applyFont="1" applyFill="1" applyBorder="1" applyAlignment="1">
      <alignment horizontal="center" vertical="center"/>
    </xf>
    <xf numFmtId="180" fontId="11" fillId="0" borderId="1" xfId="3" applyNumberFormat="1" applyFont="1" applyFill="1" applyBorder="1" applyAlignment="1">
      <alignment horizontal="center" vertical="center" wrapText="1"/>
    </xf>
    <xf numFmtId="179" fontId="11" fillId="0" borderId="5" xfId="0" applyNumberFormat="1" applyFont="1" applyBorder="1" applyAlignment="1">
      <alignment horizontal="center" vertical="center"/>
    </xf>
    <xf numFmtId="179" fontId="11" fillId="0" borderId="6" xfId="0" applyNumberFormat="1" applyFont="1" applyBorder="1" applyAlignment="1">
      <alignment horizontal="center" vertical="center"/>
    </xf>
    <xf numFmtId="43" fontId="11" fillId="0" borderId="2" xfId="3" applyFont="1" applyFill="1" applyBorder="1" applyAlignment="1">
      <alignment horizontal="center" vertical="center" wrapText="1"/>
    </xf>
    <xf numFmtId="43" fontId="11" fillId="0" borderId="3" xfId="3" applyFont="1" applyFill="1" applyBorder="1" applyAlignment="1">
      <alignment horizontal="center" vertical="center" wrapText="1"/>
    </xf>
  </cellXfs>
  <cellStyles count="5">
    <cellStyle name="BOM_Level_Below3 4" xfId="1" xr:uid="{8F751382-4DED-4C3E-8F87-99CC5F85DCC4}"/>
    <cellStyle name="常规" xfId="0" builtinId="0"/>
    <cellStyle name="常规 2" xfId="2" xr:uid="{6CDCA37E-3435-4E0A-ADD5-4684AA464F1A}"/>
    <cellStyle name="千位分隔" xfId="3" builtinId="3"/>
    <cellStyle name="样式 1" xfId="4" xr:uid="{24C5B729-E6E5-498B-8639-86B5C3DC0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B55F-FC65-46E8-BD78-06224B37BD8D}">
  <dimension ref="A1:J35"/>
  <sheetViews>
    <sheetView zoomScaleSheetLayoutView="100" workbookViewId="0">
      <selection activeCell="E18" sqref="E18"/>
    </sheetView>
  </sheetViews>
  <sheetFormatPr defaultColWidth="8.625" defaultRowHeight="16.5"/>
  <cols>
    <col min="1" max="1" width="5.125" style="8" customWidth="1"/>
    <col min="2" max="2" width="12.125" style="8" customWidth="1"/>
    <col min="3" max="3" width="17.125" style="8" customWidth="1"/>
    <col min="4" max="5" width="12.75" style="8" customWidth="1"/>
    <col min="6" max="6" width="70.625" style="9" customWidth="1"/>
    <col min="7" max="8" width="8.875" style="9" customWidth="1"/>
    <col min="9" max="9" width="12.875" style="8" customWidth="1"/>
    <col min="10" max="10" width="17.125" style="8" customWidth="1"/>
    <col min="11" max="32" width="9" style="8" bestFit="1" customWidth="1"/>
    <col min="33" max="16384" width="8.625" style="8"/>
  </cols>
  <sheetData>
    <row r="1" spans="1:10" ht="2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s="7" customFormat="1" ht="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7" t="s">
        <v>10</v>
      </c>
    </row>
    <row r="3" spans="1:10">
      <c r="A3" s="11">
        <f t="shared" ref="A3:A27" si="0">ROW()-2</f>
        <v>1</v>
      </c>
      <c r="B3" s="11" t="s">
        <v>11</v>
      </c>
      <c r="C3" s="12"/>
      <c r="D3" s="13"/>
      <c r="E3" s="12" t="s">
        <v>12</v>
      </c>
      <c r="F3" s="14" t="s">
        <v>13</v>
      </c>
      <c r="G3" s="14" t="s">
        <v>14</v>
      </c>
      <c r="H3" s="11"/>
      <c r="I3" s="12"/>
      <c r="J3" s="12"/>
    </row>
    <row r="4" spans="1:10">
      <c r="A4" s="11">
        <f t="shared" si="0"/>
        <v>2</v>
      </c>
      <c r="B4" s="11" t="s">
        <v>11</v>
      </c>
      <c r="C4" s="12"/>
      <c r="D4" s="13"/>
      <c r="E4" s="12" t="s">
        <v>15</v>
      </c>
      <c r="F4" s="15" t="s">
        <v>13</v>
      </c>
      <c r="G4" s="14" t="s">
        <v>14</v>
      </c>
      <c r="H4" s="11"/>
      <c r="I4" s="12"/>
      <c r="J4" s="12"/>
    </row>
    <row r="5" spans="1:10">
      <c r="A5" s="11">
        <f t="shared" si="0"/>
        <v>3</v>
      </c>
      <c r="B5" s="11" t="s">
        <v>11</v>
      </c>
      <c r="C5" s="12"/>
      <c r="D5" s="13"/>
      <c r="E5" s="12" t="s">
        <v>16</v>
      </c>
      <c r="F5" s="14" t="s">
        <v>17</v>
      </c>
      <c r="G5" s="14" t="s">
        <v>14</v>
      </c>
      <c r="H5" s="11"/>
      <c r="I5" s="12"/>
      <c r="J5" s="12"/>
    </row>
    <row r="6" spans="1:10">
      <c r="A6" s="11">
        <f t="shared" si="0"/>
        <v>4</v>
      </c>
      <c r="B6" s="11" t="s">
        <v>11</v>
      </c>
      <c r="C6" s="16"/>
      <c r="D6" s="13"/>
      <c r="E6" s="12" t="s">
        <v>18</v>
      </c>
      <c r="F6" s="14" t="s">
        <v>19</v>
      </c>
      <c r="G6" s="14" t="s">
        <v>14</v>
      </c>
      <c r="H6" s="11"/>
      <c r="I6" s="12"/>
      <c r="J6" s="12"/>
    </row>
    <row r="7" spans="1:10">
      <c r="A7" s="11">
        <f t="shared" si="0"/>
        <v>5</v>
      </c>
      <c r="B7" s="11"/>
      <c r="C7" s="16"/>
      <c r="D7" s="13"/>
      <c r="E7" s="12"/>
      <c r="F7" s="14"/>
      <c r="G7" s="14"/>
      <c r="H7" s="11"/>
      <c r="I7" s="12"/>
      <c r="J7" s="12"/>
    </row>
    <row r="8" spans="1:10">
      <c r="A8" s="11">
        <f t="shared" si="0"/>
        <v>6</v>
      </c>
      <c r="B8" s="11"/>
      <c r="C8" s="16"/>
      <c r="D8" s="13"/>
      <c r="E8" s="12"/>
      <c r="F8" s="14"/>
      <c r="G8" s="14"/>
      <c r="H8" s="11"/>
      <c r="I8" s="12"/>
      <c r="J8" s="12"/>
    </row>
    <row r="9" spans="1:10">
      <c r="A9" s="11">
        <f t="shared" si="0"/>
        <v>7</v>
      </c>
      <c r="B9" s="11"/>
      <c r="C9" s="16"/>
      <c r="D9" s="13"/>
      <c r="E9" s="12"/>
      <c r="F9" s="14"/>
      <c r="G9" s="14"/>
      <c r="H9" s="11"/>
      <c r="I9" s="12"/>
      <c r="J9" s="12"/>
    </row>
    <row r="10" spans="1:10">
      <c r="A10" s="11">
        <f t="shared" si="0"/>
        <v>8</v>
      </c>
      <c r="B10" s="11"/>
      <c r="C10" s="16"/>
      <c r="D10" s="13"/>
      <c r="E10" s="12"/>
      <c r="F10" s="14"/>
      <c r="G10" s="14"/>
      <c r="H10" s="11"/>
      <c r="I10" s="12"/>
      <c r="J10" s="12"/>
    </row>
    <row r="11" spans="1:10">
      <c r="A11" s="11">
        <f t="shared" si="0"/>
        <v>9</v>
      </c>
      <c r="B11" s="11"/>
      <c r="C11" s="16"/>
      <c r="D11" s="13"/>
      <c r="E11" s="12"/>
      <c r="F11" s="14"/>
      <c r="G11" s="14"/>
      <c r="H11" s="11"/>
      <c r="I11" s="12"/>
      <c r="J11" s="12"/>
    </row>
    <row r="12" spans="1:10">
      <c r="A12" s="11">
        <f t="shared" si="0"/>
        <v>10</v>
      </c>
      <c r="B12" s="11"/>
      <c r="C12" s="16"/>
      <c r="D12" s="13"/>
      <c r="E12" s="12"/>
      <c r="F12" s="14"/>
      <c r="G12" s="14"/>
      <c r="H12" s="11"/>
      <c r="I12" s="12"/>
      <c r="J12" s="12"/>
    </row>
    <row r="13" spans="1:10">
      <c r="A13" s="11">
        <f t="shared" si="0"/>
        <v>11</v>
      </c>
      <c r="B13" s="11"/>
      <c r="C13" s="16"/>
      <c r="D13" s="12"/>
      <c r="E13" s="12"/>
      <c r="F13" s="11"/>
      <c r="G13" s="14"/>
      <c r="H13" s="11"/>
      <c r="I13" s="12"/>
      <c r="J13" s="12"/>
    </row>
    <row r="14" spans="1:10">
      <c r="A14" s="11">
        <f t="shared" si="0"/>
        <v>12</v>
      </c>
      <c r="B14" s="11"/>
      <c r="C14" s="16"/>
      <c r="D14" s="12"/>
      <c r="E14" s="12"/>
      <c r="F14" s="11"/>
      <c r="G14" s="14"/>
      <c r="H14" s="11"/>
      <c r="I14" s="12"/>
      <c r="J14" s="12"/>
    </row>
    <row r="15" spans="1:10">
      <c r="A15" s="11">
        <f t="shared" si="0"/>
        <v>13</v>
      </c>
      <c r="B15" s="11"/>
      <c r="C15" s="16"/>
      <c r="D15" s="12"/>
      <c r="E15" s="12"/>
      <c r="F15" s="11"/>
      <c r="G15" s="14"/>
      <c r="H15" s="11"/>
      <c r="I15" s="12"/>
      <c r="J15" s="12"/>
    </row>
    <row r="16" spans="1:10">
      <c r="A16" s="11">
        <f t="shared" si="0"/>
        <v>14</v>
      </c>
      <c r="B16" s="11"/>
      <c r="C16" s="16"/>
      <c r="D16" s="12"/>
      <c r="E16" s="12"/>
      <c r="F16" s="11"/>
      <c r="G16" s="14"/>
      <c r="H16" s="11"/>
      <c r="I16" s="12"/>
      <c r="J16" s="12"/>
    </row>
    <row r="17" spans="1:10">
      <c r="A17" s="11">
        <f t="shared" si="0"/>
        <v>15</v>
      </c>
      <c r="B17" s="11"/>
      <c r="C17" s="16"/>
      <c r="D17" s="12"/>
      <c r="E17" s="12"/>
      <c r="F17" s="11"/>
      <c r="G17" s="14"/>
      <c r="H17" s="11"/>
      <c r="I17" s="12"/>
      <c r="J17" s="12"/>
    </row>
    <row r="18" spans="1:10">
      <c r="A18" s="11">
        <f t="shared" si="0"/>
        <v>16</v>
      </c>
      <c r="B18" s="11"/>
      <c r="C18" s="16"/>
      <c r="D18" s="12"/>
      <c r="E18" s="12"/>
      <c r="F18" s="11"/>
      <c r="G18" s="14"/>
      <c r="H18" s="11"/>
      <c r="I18" s="12"/>
      <c r="J18" s="12"/>
    </row>
    <row r="19" spans="1:10">
      <c r="A19" s="11">
        <f t="shared" si="0"/>
        <v>17</v>
      </c>
      <c r="B19" s="11"/>
      <c r="C19" s="16"/>
      <c r="D19" s="12"/>
      <c r="E19" s="12"/>
      <c r="F19" s="11"/>
      <c r="G19" s="14"/>
      <c r="H19" s="11"/>
      <c r="I19" s="12"/>
      <c r="J19" s="12"/>
    </row>
    <row r="20" spans="1:10">
      <c r="A20" s="11">
        <f t="shared" si="0"/>
        <v>18</v>
      </c>
      <c r="B20" s="11"/>
      <c r="C20" s="16"/>
      <c r="D20" s="12"/>
      <c r="E20" s="12"/>
      <c r="F20" s="11"/>
      <c r="G20" s="14"/>
      <c r="H20" s="11"/>
      <c r="I20" s="12"/>
      <c r="J20" s="12"/>
    </row>
    <row r="21" spans="1:10">
      <c r="A21" s="11">
        <f t="shared" si="0"/>
        <v>19</v>
      </c>
      <c r="B21" s="11"/>
      <c r="C21" s="16"/>
      <c r="D21" s="12"/>
      <c r="E21" s="12"/>
      <c r="F21" s="11"/>
      <c r="G21" s="14"/>
      <c r="H21" s="11"/>
      <c r="I21" s="12"/>
      <c r="J21" s="12"/>
    </row>
    <row r="22" spans="1:10">
      <c r="A22" s="11">
        <f t="shared" si="0"/>
        <v>20</v>
      </c>
      <c r="B22" s="11"/>
      <c r="C22" s="16"/>
      <c r="D22" s="12"/>
      <c r="E22" s="12"/>
      <c r="F22" s="11"/>
      <c r="G22" s="14"/>
      <c r="H22" s="11"/>
      <c r="I22" s="12"/>
      <c r="J22" s="12"/>
    </row>
    <row r="23" spans="1:10">
      <c r="A23" s="11">
        <f t="shared" si="0"/>
        <v>21</v>
      </c>
      <c r="B23" s="11"/>
      <c r="C23" s="16"/>
      <c r="D23" s="12"/>
      <c r="E23" s="12"/>
      <c r="F23" s="11"/>
      <c r="G23" s="14"/>
      <c r="H23" s="11"/>
      <c r="I23" s="12"/>
      <c r="J23" s="12"/>
    </row>
    <row r="24" spans="1:10">
      <c r="A24" s="11">
        <f t="shared" si="0"/>
        <v>22</v>
      </c>
      <c r="B24" s="11"/>
      <c r="C24" s="16"/>
      <c r="D24" s="12"/>
      <c r="E24" s="12"/>
      <c r="F24" s="11"/>
      <c r="G24" s="14"/>
      <c r="H24" s="11"/>
      <c r="I24" s="12"/>
      <c r="J24" s="12"/>
    </row>
    <row r="25" spans="1:10">
      <c r="A25" s="11">
        <f t="shared" si="0"/>
        <v>23</v>
      </c>
      <c r="B25" s="11"/>
      <c r="C25" s="16"/>
      <c r="D25" s="12"/>
      <c r="E25" s="12"/>
      <c r="F25" s="11"/>
      <c r="G25" s="14"/>
      <c r="H25" s="11"/>
      <c r="I25" s="12"/>
      <c r="J25" s="12"/>
    </row>
    <row r="26" spans="1:10">
      <c r="A26" s="11">
        <f t="shared" si="0"/>
        <v>24</v>
      </c>
      <c r="B26" s="11"/>
      <c r="C26" s="12"/>
      <c r="D26" s="12"/>
      <c r="E26" s="12"/>
      <c r="F26" s="11"/>
      <c r="G26" s="14"/>
      <c r="H26" s="11"/>
      <c r="I26" s="12"/>
      <c r="J26" s="12"/>
    </row>
    <row r="27" spans="1:10">
      <c r="A27" s="11">
        <f t="shared" si="0"/>
        <v>25</v>
      </c>
      <c r="B27" s="11"/>
      <c r="C27" s="12"/>
      <c r="D27" s="12"/>
      <c r="E27" s="12"/>
      <c r="F27" s="11"/>
      <c r="G27" s="14"/>
      <c r="H27" s="11"/>
      <c r="I27" s="12"/>
      <c r="J27" s="12"/>
    </row>
    <row r="28" spans="1:10">
      <c r="A28" s="11">
        <f t="shared" ref="A28:A35" si="1">ROW()-2</f>
        <v>26</v>
      </c>
      <c r="B28" s="11"/>
      <c r="C28" s="12"/>
      <c r="D28" s="12"/>
      <c r="E28" s="12"/>
      <c r="F28" s="11"/>
      <c r="G28" s="14"/>
      <c r="H28" s="11"/>
      <c r="I28" s="12"/>
      <c r="J28" s="12"/>
    </row>
    <row r="29" spans="1:10">
      <c r="A29" s="11">
        <f t="shared" si="1"/>
        <v>27</v>
      </c>
      <c r="B29" s="11"/>
      <c r="C29" s="12"/>
      <c r="D29" s="12"/>
      <c r="E29" s="12"/>
      <c r="F29" s="11"/>
      <c r="G29" s="14"/>
      <c r="H29" s="11"/>
      <c r="I29" s="12"/>
      <c r="J29" s="12"/>
    </row>
    <row r="30" spans="1:10">
      <c r="A30" s="11">
        <f t="shared" si="1"/>
        <v>28</v>
      </c>
      <c r="B30" s="11"/>
      <c r="C30" s="12"/>
      <c r="D30" s="12"/>
      <c r="E30" s="12"/>
      <c r="F30" s="11"/>
      <c r="G30" s="14"/>
      <c r="H30" s="11"/>
      <c r="I30" s="12"/>
      <c r="J30" s="12"/>
    </row>
    <row r="31" spans="1:10">
      <c r="A31" s="11">
        <f t="shared" si="1"/>
        <v>29</v>
      </c>
      <c r="B31" s="11"/>
      <c r="C31" s="12"/>
      <c r="D31" s="12"/>
      <c r="E31" s="12"/>
      <c r="F31" s="11"/>
      <c r="G31" s="14"/>
      <c r="H31" s="11"/>
      <c r="I31" s="12"/>
      <c r="J31" s="12"/>
    </row>
    <row r="32" spans="1:10">
      <c r="A32" s="11">
        <f t="shared" si="1"/>
        <v>30</v>
      </c>
      <c r="B32" s="11"/>
      <c r="C32" s="12"/>
      <c r="D32" s="12"/>
      <c r="E32" s="12"/>
      <c r="F32" s="11"/>
      <c r="G32" s="14"/>
      <c r="H32" s="11"/>
      <c r="I32" s="12"/>
      <c r="J32" s="12"/>
    </row>
    <row r="33" spans="1:10">
      <c r="A33" s="11">
        <f t="shared" si="1"/>
        <v>31</v>
      </c>
      <c r="B33" s="11"/>
      <c r="C33" s="12"/>
      <c r="D33" s="12"/>
      <c r="E33" s="12"/>
      <c r="F33" s="11"/>
      <c r="G33" s="14"/>
      <c r="H33" s="11"/>
      <c r="I33" s="12"/>
      <c r="J33" s="12"/>
    </row>
    <row r="34" spans="1:10">
      <c r="A34" s="11">
        <f t="shared" si="1"/>
        <v>32</v>
      </c>
      <c r="B34" s="11"/>
      <c r="C34" s="12"/>
      <c r="D34" s="12"/>
      <c r="E34" s="12"/>
      <c r="F34" s="11"/>
      <c r="G34" s="14"/>
      <c r="H34" s="11"/>
      <c r="I34" s="12"/>
      <c r="J34" s="12"/>
    </row>
    <row r="35" spans="1:10">
      <c r="A35" s="11">
        <f t="shared" si="1"/>
        <v>33</v>
      </c>
      <c r="B35" s="11"/>
      <c r="C35" s="12"/>
      <c r="D35" s="12"/>
      <c r="E35" s="12"/>
      <c r="F35" s="11"/>
      <c r="G35" s="14"/>
      <c r="H35" s="11"/>
      <c r="I35" s="12"/>
      <c r="J35" s="12"/>
    </row>
  </sheetData>
  <mergeCells count="1">
    <mergeCell ref="A1:J1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764C-A11C-4AFF-9057-22FBAFFB57E3}">
  <dimension ref="A1:N11"/>
  <sheetViews>
    <sheetView zoomScaleSheetLayoutView="100" workbookViewId="0">
      <selection activeCell="F20" sqref="F20"/>
    </sheetView>
  </sheetViews>
  <sheetFormatPr defaultRowHeight="16.5"/>
  <cols>
    <col min="1" max="1" width="5.125" style="78" customWidth="1"/>
    <col min="2" max="2" width="12.125" style="78" customWidth="1"/>
    <col min="3" max="3" width="17.125" style="78" customWidth="1"/>
    <col min="4" max="5" width="12.75" style="78" customWidth="1"/>
    <col min="6" max="6" width="48.25" style="89" customWidth="1"/>
    <col min="7" max="8" width="8.875" style="89" customWidth="1"/>
    <col min="9" max="9" width="12.875" style="89" customWidth="1"/>
    <col min="10" max="10" width="5.5" style="90" bestFit="1" customWidth="1"/>
    <col min="11" max="11" width="5.5" style="78" bestFit="1" customWidth="1"/>
    <col min="12" max="12" width="9" style="78"/>
    <col min="13" max="13" width="11.25" style="78" bestFit="1" customWidth="1"/>
    <col min="14" max="16384" width="9" style="78"/>
  </cols>
  <sheetData>
    <row r="1" spans="1:14" ht="2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7"/>
    </row>
    <row r="2" spans="1:14" s="82" customFormat="1" ht="15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79" t="s">
        <v>124</v>
      </c>
      <c r="J2" s="80" t="s">
        <v>10</v>
      </c>
      <c r="K2" s="81" t="s">
        <v>144</v>
      </c>
      <c r="L2" s="17" t="s">
        <v>162</v>
      </c>
      <c r="M2" s="7" t="s">
        <v>164</v>
      </c>
      <c r="N2" s="7" t="s">
        <v>163</v>
      </c>
    </row>
    <row r="3" spans="1:14">
      <c r="A3" s="83">
        <v>1</v>
      </c>
      <c r="B3" s="83" t="s">
        <v>125</v>
      </c>
      <c r="C3" s="84"/>
      <c r="D3" s="85"/>
      <c r="E3" s="84" t="s">
        <v>145</v>
      </c>
      <c r="F3" s="93" t="s">
        <v>146</v>
      </c>
      <c r="G3" s="86" t="s">
        <v>128</v>
      </c>
      <c r="H3" s="83" t="s">
        <v>129</v>
      </c>
      <c r="I3" s="91">
        <f>12.49*1.03+K3+L3</f>
        <v>12.952200000000001</v>
      </c>
      <c r="J3" s="87"/>
      <c r="K3" s="84"/>
      <c r="L3" s="92">
        <f>N3/M3</f>
        <v>8.7499999999999994E-2</v>
      </c>
      <c r="M3" s="8">
        <f>48/0.03*50</f>
        <v>80000</v>
      </c>
      <c r="N3" s="8">
        <v>7000</v>
      </c>
    </row>
    <row r="4" spans="1:14">
      <c r="A4" s="83">
        <v>2</v>
      </c>
      <c r="B4" s="83" t="s">
        <v>125</v>
      </c>
      <c r="C4" s="84"/>
      <c r="D4" s="85"/>
      <c r="E4" s="84" t="s">
        <v>147</v>
      </c>
      <c r="F4" s="93" t="s">
        <v>148</v>
      </c>
      <c r="G4" s="86" t="s">
        <v>128</v>
      </c>
      <c r="H4" s="83" t="s">
        <v>129</v>
      </c>
      <c r="I4" s="91">
        <f>4.6*1.03+K4+L4</f>
        <v>4.8352222222222219</v>
      </c>
      <c r="J4" s="87"/>
      <c r="K4" s="84"/>
      <c r="L4" s="92">
        <f t="shared" ref="L4:L11" si="0">N4/M4</f>
        <v>9.7222222222222224E-2</v>
      </c>
      <c r="M4" s="8">
        <f>48/0.02*30</f>
        <v>72000</v>
      </c>
      <c r="N4" s="8">
        <v>7000</v>
      </c>
    </row>
    <row r="5" spans="1:14">
      <c r="A5" s="83">
        <v>3</v>
      </c>
      <c r="B5" s="83" t="s">
        <v>125</v>
      </c>
      <c r="C5" s="84"/>
      <c r="D5" s="85"/>
      <c r="E5" s="84" t="s">
        <v>149</v>
      </c>
      <c r="F5" s="93" t="s">
        <v>150</v>
      </c>
      <c r="G5" s="86" t="s">
        <v>128</v>
      </c>
      <c r="H5" s="83" t="s">
        <v>129</v>
      </c>
      <c r="I5" s="91">
        <f>1.1*1.03+K5+L5</f>
        <v>1.1913333333333336</v>
      </c>
      <c r="J5" s="87"/>
      <c r="K5" s="84"/>
      <c r="L5" s="92">
        <f t="shared" si="0"/>
        <v>5.8333333333333334E-2</v>
      </c>
      <c r="M5" s="8">
        <f>48/0.02*50</f>
        <v>120000</v>
      </c>
      <c r="N5" s="8">
        <v>7000</v>
      </c>
    </row>
    <row r="6" spans="1:14">
      <c r="A6" s="83">
        <v>4</v>
      </c>
      <c r="B6" s="83" t="s">
        <v>125</v>
      </c>
      <c r="C6" s="84"/>
      <c r="D6" s="85"/>
      <c r="E6" s="84" t="s">
        <v>151</v>
      </c>
      <c r="F6" s="93" t="s">
        <v>152</v>
      </c>
      <c r="G6" s="86" t="s">
        <v>128</v>
      </c>
      <c r="H6" s="83" t="s">
        <v>129</v>
      </c>
      <c r="I6" s="91">
        <f>1.1305*1.03+K6+L6</f>
        <v>1.2227483333333335</v>
      </c>
      <c r="J6" s="87"/>
      <c r="K6" s="84"/>
      <c r="L6" s="92">
        <f t="shared" si="0"/>
        <v>5.8333333333333334E-2</v>
      </c>
      <c r="M6" s="8">
        <f>48/0.02*50</f>
        <v>120000</v>
      </c>
      <c r="N6" s="8">
        <v>7000</v>
      </c>
    </row>
    <row r="7" spans="1:14">
      <c r="A7" s="83">
        <v>5</v>
      </c>
      <c r="B7" s="83" t="s">
        <v>125</v>
      </c>
      <c r="C7" s="84"/>
      <c r="D7" s="85"/>
      <c r="E7" s="84" t="s">
        <v>153</v>
      </c>
      <c r="F7" s="93" t="s">
        <v>152</v>
      </c>
      <c r="G7" s="86" t="s">
        <v>128</v>
      </c>
      <c r="H7" s="83" t="s">
        <v>129</v>
      </c>
      <c r="I7" s="91">
        <f>0.9975*1.03+K7+L7</f>
        <v>1.0857583333333334</v>
      </c>
      <c r="J7" s="87"/>
      <c r="K7" s="84"/>
      <c r="L7" s="92">
        <f t="shared" si="0"/>
        <v>5.8333333333333334E-2</v>
      </c>
      <c r="M7" s="8">
        <f>48/0.02*50</f>
        <v>120000</v>
      </c>
      <c r="N7" s="8">
        <v>7000</v>
      </c>
    </row>
    <row r="8" spans="1:14">
      <c r="A8" s="83">
        <v>6</v>
      </c>
      <c r="B8" s="83" t="s">
        <v>125</v>
      </c>
      <c r="C8" s="84"/>
      <c r="D8" s="85"/>
      <c r="E8" s="84" t="s">
        <v>154</v>
      </c>
      <c r="F8" s="93" t="s">
        <v>155</v>
      </c>
      <c r="G8" s="86" t="s">
        <v>128</v>
      </c>
      <c r="H8" s="83" t="s">
        <v>129</v>
      </c>
      <c r="I8" s="91">
        <f>1*20+3.46*1.03+K8+L8</f>
        <v>30.855466666666668</v>
      </c>
      <c r="J8" s="87"/>
      <c r="K8" s="84"/>
      <c r="L8" s="92">
        <f t="shared" si="0"/>
        <v>7.291666666666667</v>
      </c>
      <c r="M8" s="8">
        <f>48/0.05</f>
        <v>960</v>
      </c>
      <c r="N8" s="8">
        <v>7000</v>
      </c>
    </row>
    <row r="9" spans="1:14">
      <c r="A9" s="83">
        <v>7</v>
      </c>
      <c r="B9" s="83" t="s">
        <v>125</v>
      </c>
      <c r="C9" s="88"/>
      <c r="D9" s="85"/>
      <c r="E9" s="84" t="s">
        <v>156</v>
      </c>
      <c r="F9" s="93" t="s">
        <v>157</v>
      </c>
      <c r="G9" s="86" t="s">
        <v>128</v>
      </c>
      <c r="H9" s="83" t="s">
        <v>129</v>
      </c>
      <c r="I9" s="91">
        <f>1.155*20+18.57*1.03+K9+L9</f>
        <v>46.602100000000007</v>
      </c>
      <c r="J9" s="87"/>
      <c r="K9" s="84"/>
      <c r="L9" s="92">
        <f t="shared" si="0"/>
        <v>4.375</v>
      </c>
      <c r="M9" s="8">
        <v>1600</v>
      </c>
      <c r="N9" s="8">
        <v>7000</v>
      </c>
    </row>
    <row r="10" spans="1:14">
      <c r="A10" s="83">
        <v>8</v>
      </c>
      <c r="B10" s="83" t="s">
        <v>125</v>
      </c>
      <c r="C10" s="88"/>
      <c r="D10" s="85"/>
      <c r="E10" s="84" t="s">
        <v>158</v>
      </c>
      <c r="F10" s="93" t="s">
        <v>159</v>
      </c>
      <c r="G10" s="86" t="s">
        <v>128</v>
      </c>
      <c r="H10" s="83" t="s">
        <v>129</v>
      </c>
      <c r="I10" s="91">
        <f>1.35*20+3.46*1.03+K10+L10</f>
        <v>37.855466666666665</v>
      </c>
      <c r="J10" s="87"/>
      <c r="K10" s="84"/>
      <c r="L10" s="92">
        <f t="shared" si="0"/>
        <v>7.291666666666667</v>
      </c>
      <c r="M10" s="8">
        <v>960</v>
      </c>
      <c r="N10" s="8">
        <v>7000</v>
      </c>
    </row>
    <row r="11" spans="1:14">
      <c r="A11" s="83">
        <v>9</v>
      </c>
      <c r="B11" s="83" t="s">
        <v>125</v>
      </c>
      <c r="C11" s="88"/>
      <c r="D11" s="85"/>
      <c r="E11" s="84" t="s">
        <v>160</v>
      </c>
      <c r="F11" s="93" t="s">
        <v>161</v>
      </c>
      <c r="G11" s="86" t="s">
        <v>128</v>
      </c>
      <c r="H11" s="83" t="s">
        <v>129</v>
      </c>
      <c r="I11" s="91">
        <f>0.7*20+1.12*1.03+K11+L11</f>
        <v>19.528600000000001</v>
      </c>
      <c r="J11" s="87"/>
      <c r="K11" s="84"/>
      <c r="L11" s="92">
        <f t="shared" si="0"/>
        <v>4.375</v>
      </c>
      <c r="M11" s="8">
        <v>1600</v>
      </c>
      <c r="N11" s="8">
        <v>7000</v>
      </c>
    </row>
  </sheetData>
  <mergeCells count="1">
    <mergeCell ref="A1:J1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7982-A2AA-49E0-ADB6-9E60E18AAD19}">
  <dimension ref="A1:V11"/>
  <sheetViews>
    <sheetView tabSelected="1" workbookViewId="0">
      <selection activeCell="O16" sqref="O16"/>
    </sheetView>
  </sheetViews>
  <sheetFormatPr defaultRowHeight="16.5"/>
  <cols>
    <col min="1" max="1" width="3.125" style="65" bestFit="1" customWidth="1"/>
    <col min="2" max="2" width="11.375" style="51" bestFit="1" customWidth="1"/>
    <col min="3" max="3" width="35" style="51" bestFit="1" customWidth="1"/>
    <col min="4" max="4" width="13.375" style="51" bestFit="1" customWidth="1"/>
    <col min="5" max="6" width="5.875" style="51" bestFit="1" customWidth="1"/>
    <col min="7" max="7" width="8" style="51" bestFit="1" customWidth="1"/>
    <col min="8" max="8" width="6.375" style="51" bestFit="1" customWidth="1"/>
    <col min="9" max="9" width="5" style="51" bestFit="1" customWidth="1"/>
    <col min="10" max="10" width="9" style="51"/>
    <col min="11" max="11" width="4.875" style="51" bestFit="1" customWidth="1"/>
    <col min="12" max="12" width="5.5" style="51" bestFit="1" customWidth="1"/>
    <col min="13" max="13" width="4.75" style="51" bestFit="1" customWidth="1"/>
    <col min="14" max="14" width="6.375" style="51" bestFit="1" customWidth="1"/>
    <col min="15" max="15" width="5" style="51" bestFit="1" customWidth="1"/>
    <col min="16" max="16" width="5.5" style="51" bestFit="1" customWidth="1"/>
    <col min="17" max="17" width="5" style="51" bestFit="1" customWidth="1"/>
    <col min="18" max="18" width="6.375" style="51" bestFit="1" customWidth="1"/>
    <col min="19" max="19" width="6" style="51" bestFit="1" customWidth="1"/>
    <col min="20" max="20" width="7.125" style="51" bestFit="1" customWidth="1"/>
    <col min="21" max="21" width="7.125" style="51" customWidth="1"/>
    <col min="22" max="16384" width="9" style="51"/>
  </cols>
  <sheetData>
    <row r="1" spans="1:22" ht="16.5" customHeight="1">
      <c r="A1" s="95" t="s">
        <v>184</v>
      </c>
      <c r="B1" s="191" t="s">
        <v>35</v>
      </c>
      <c r="C1" s="190" t="s">
        <v>165</v>
      </c>
      <c r="D1" s="200" t="s">
        <v>48</v>
      </c>
      <c r="E1" s="205" t="s">
        <v>49</v>
      </c>
      <c r="F1" s="206"/>
      <c r="G1" s="196" t="s">
        <v>193</v>
      </c>
      <c r="H1" s="196" t="s">
        <v>51</v>
      </c>
      <c r="I1" s="192" t="s">
        <v>194</v>
      </c>
      <c r="J1" s="194" t="s">
        <v>53</v>
      </c>
      <c r="K1" s="196" t="s">
        <v>192</v>
      </c>
      <c r="L1" s="198" t="s">
        <v>55</v>
      </c>
      <c r="M1" s="188" t="s">
        <v>120</v>
      </c>
      <c r="N1" s="200" t="s">
        <v>57</v>
      </c>
      <c r="O1" s="188" t="s">
        <v>121</v>
      </c>
      <c r="P1" s="188" t="s">
        <v>122</v>
      </c>
      <c r="Q1" s="196" t="s">
        <v>123</v>
      </c>
      <c r="R1" s="202" t="s">
        <v>61</v>
      </c>
      <c r="S1" s="207" t="s">
        <v>191</v>
      </c>
      <c r="T1" s="204" t="s">
        <v>195</v>
      </c>
      <c r="U1" s="204"/>
      <c r="V1" s="188" t="s">
        <v>73</v>
      </c>
    </row>
    <row r="2" spans="1:22" ht="16.5" customHeight="1">
      <c r="A2" s="94" t="s">
        <v>185</v>
      </c>
      <c r="B2" s="191"/>
      <c r="C2" s="190"/>
      <c r="D2" s="201"/>
      <c r="E2" s="96" t="s">
        <v>64</v>
      </c>
      <c r="F2" s="96" t="s">
        <v>65</v>
      </c>
      <c r="G2" s="197"/>
      <c r="H2" s="197"/>
      <c r="I2" s="193"/>
      <c r="J2" s="195"/>
      <c r="K2" s="197"/>
      <c r="L2" s="199"/>
      <c r="M2" s="189"/>
      <c r="N2" s="201"/>
      <c r="O2" s="189"/>
      <c r="P2" s="189"/>
      <c r="Q2" s="197"/>
      <c r="R2" s="203"/>
      <c r="S2" s="208"/>
      <c r="T2" s="97" t="s">
        <v>196</v>
      </c>
      <c r="U2" s="97" t="s">
        <v>197</v>
      </c>
      <c r="V2" s="189"/>
    </row>
    <row r="3" spans="1:22">
      <c r="A3" s="94">
        <v>1</v>
      </c>
      <c r="B3" s="27" t="s">
        <v>166</v>
      </c>
      <c r="C3" s="27" t="s">
        <v>175</v>
      </c>
      <c r="D3" s="67" t="s">
        <v>186</v>
      </c>
      <c r="E3" s="43">
        <v>9.5999999999999992E-3</v>
      </c>
      <c r="F3" s="43">
        <v>1.0999999999999999E-2</v>
      </c>
      <c r="G3" s="44">
        <v>10.48</v>
      </c>
      <c r="H3" s="76"/>
      <c r="I3" s="44">
        <f t="shared" ref="I3:I5" si="0">F3*G3</f>
        <v>0.11527999999999999</v>
      </c>
      <c r="J3" s="46" t="s">
        <v>69</v>
      </c>
      <c r="K3" s="47">
        <v>80</v>
      </c>
      <c r="L3" s="47">
        <f t="shared" ref="L3:L5" si="1">3600/K3</f>
        <v>45</v>
      </c>
      <c r="M3" s="48">
        <v>8</v>
      </c>
      <c r="N3" s="45">
        <v>48.5</v>
      </c>
      <c r="O3" s="45">
        <v>0.76</v>
      </c>
      <c r="P3" s="45">
        <v>22.5</v>
      </c>
      <c r="Q3" s="44">
        <f t="shared" ref="Q3:Q5" si="2">P3/K3/M3</f>
        <v>3.515625E-2</v>
      </c>
      <c r="R3" s="49">
        <v>5.8200000000000005E-4</v>
      </c>
      <c r="S3" s="50"/>
      <c r="T3" s="50"/>
      <c r="U3" s="50">
        <f>7000/200000</f>
        <v>3.5000000000000003E-2</v>
      </c>
      <c r="V3" s="44">
        <f>(I3+Q3+(N3*O3/K3/M3)/2)*1.11+R3*1.03+T3+U3+S3</f>
        <v>0.23454822875</v>
      </c>
    </row>
    <row r="4" spans="1:22">
      <c r="A4" s="27">
        <v>2</v>
      </c>
      <c r="B4" s="27" t="s">
        <v>167</v>
      </c>
      <c r="C4" s="27" t="s">
        <v>176</v>
      </c>
      <c r="D4" s="67" t="s">
        <v>187</v>
      </c>
      <c r="E4" s="43">
        <v>6.0900000000000003E-2</v>
      </c>
      <c r="F4" s="43">
        <v>6.1100000000000002E-2</v>
      </c>
      <c r="G4" s="44">
        <v>10.3</v>
      </c>
      <c r="H4" s="76"/>
      <c r="I4" s="44">
        <f t="shared" si="0"/>
        <v>0.62933000000000006</v>
      </c>
      <c r="J4" s="46" t="s">
        <v>86</v>
      </c>
      <c r="K4" s="47">
        <v>65.454545454545496</v>
      </c>
      <c r="L4" s="47">
        <f t="shared" si="1"/>
        <v>54.999999999999964</v>
      </c>
      <c r="M4" s="48">
        <v>2</v>
      </c>
      <c r="N4" s="45">
        <v>64</v>
      </c>
      <c r="O4" s="45">
        <v>0.76</v>
      </c>
      <c r="P4" s="45">
        <v>22.5</v>
      </c>
      <c r="Q4" s="44">
        <f t="shared" si="2"/>
        <v>0.17187499999999989</v>
      </c>
      <c r="R4" s="49">
        <v>1.3100000000000001E-2</v>
      </c>
      <c r="S4" s="50"/>
      <c r="T4" s="50"/>
      <c r="U4" s="50">
        <f>7000/17500</f>
        <v>0.4</v>
      </c>
      <c r="V4" s="44">
        <f t="shared" ref="V4:V11" si="3">(I4+Q4+(N4*O4/K4/M4)/2)*1.11+R4*1.03+T4+U4+S4</f>
        <v>1.5090438833333333</v>
      </c>
    </row>
    <row r="5" spans="1:22">
      <c r="A5" s="27">
        <v>3</v>
      </c>
      <c r="B5" s="27" t="s">
        <v>168</v>
      </c>
      <c r="C5" s="27" t="s">
        <v>177</v>
      </c>
      <c r="D5" s="67" t="s">
        <v>187</v>
      </c>
      <c r="E5" s="43">
        <v>7.85E-2</v>
      </c>
      <c r="F5" s="43">
        <v>7.9100000000000004E-2</v>
      </c>
      <c r="G5" s="44">
        <v>10.3</v>
      </c>
      <c r="H5" s="76"/>
      <c r="I5" s="44">
        <f t="shared" si="0"/>
        <v>0.81473000000000007</v>
      </c>
      <c r="J5" s="46" t="s">
        <v>69</v>
      </c>
      <c r="K5" s="47">
        <v>65.454545454545496</v>
      </c>
      <c r="L5" s="47">
        <f t="shared" si="1"/>
        <v>54.999999999999964</v>
      </c>
      <c r="M5" s="48">
        <v>1</v>
      </c>
      <c r="N5" s="45">
        <v>40</v>
      </c>
      <c r="O5" s="45">
        <v>0.76</v>
      </c>
      <c r="P5" s="45">
        <v>22.5</v>
      </c>
      <c r="Q5" s="44">
        <f t="shared" si="2"/>
        <v>0.34374999999999978</v>
      </c>
      <c r="R5" s="49">
        <v>2.9100000000000001E-2</v>
      </c>
      <c r="S5" s="50"/>
      <c r="T5" s="50"/>
      <c r="U5" s="50">
        <f>7000/17500</f>
        <v>0.4</v>
      </c>
      <c r="V5" s="44">
        <f t="shared" si="3"/>
        <v>1.9736524666666666</v>
      </c>
    </row>
    <row r="6" spans="1:22">
      <c r="A6" s="27">
        <v>4</v>
      </c>
      <c r="B6" s="27" t="s">
        <v>169</v>
      </c>
      <c r="C6" s="27" t="s">
        <v>178</v>
      </c>
      <c r="D6" s="67" t="s">
        <v>188</v>
      </c>
      <c r="E6" s="43">
        <v>5.5899999999999998E-2</v>
      </c>
      <c r="F6" s="43">
        <v>6.1899999999999997E-2</v>
      </c>
      <c r="G6" s="44">
        <v>15.9292</v>
      </c>
      <c r="H6" s="76"/>
      <c r="I6" s="44">
        <v>0.98601747999999989</v>
      </c>
      <c r="J6" s="46" t="s">
        <v>69</v>
      </c>
      <c r="K6" s="47">
        <v>60</v>
      </c>
      <c r="L6" s="47">
        <v>60</v>
      </c>
      <c r="M6" s="48">
        <v>2</v>
      </c>
      <c r="N6" s="45">
        <v>48.5</v>
      </c>
      <c r="O6" s="45">
        <v>0.76</v>
      </c>
      <c r="P6" s="45">
        <v>22.5</v>
      </c>
      <c r="Q6" s="44">
        <v>0.1875</v>
      </c>
      <c r="R6" s="49">
        <v>1.3100000000000001E-2</v>
      </c>
      <c r="S6" s="50"/>
      <c r="T6" s="50"/>
      <c r="U6" s="50">
        <f>7000/17500</f>
        <v>0.4</v>
      </c>
      <c r="V6" s="44">
        <f t="shared" si="3"/>
        <v>1.8865749028000001</v>
      </c>
    </row>
    <row r="7" spans="1:22">
      <c r="A7" s="27">
        <v>5</v>
      </c>
      <c r="B7" s="27" t="s">
        <v>170</v>
      </c>
      <c r="C7" s="27" t="s">
        <v>179</v>
      </c>
      <c r="D7" s="67" t="s">
        <v>188</v>
      </c>
      <c r="E7" s="43">
        <v>2.1499999999999998E-2</v>
      </c>
      <c r="F7" s="43">
        <v>2.4E-2</v>
      </c>
      <c r="G7" s="44">
        <v>15.9292</v>
      </c>
      <c r="H7" s="76"/>
      <c r="I7" s="44">
        <v>0.3823008</v>
      </c>
      <c r="J7" s="46" t="s">
        <v>69</v>
      </c>
      <c r="K7" s="47">
        <v>65.454545454545496</v>
      </c>
      <c r="L7" s="47">
        <v>54.999999999999964</v>
      </c>
      <c r="M7" s="48">
        <v>2</v>
      </c>
      <c r="N7" s="45">
        <v>48.5</v>
      </c>
      <c r="O7" s="45">
        <v>0.76</v>
      </c>
      <c r="P7" s="45">
        <v>22.5</v>
      </c>
      <c r="Q7" s="44">
        <v>0.17187499999999989</v>
      </c>
      <c r="R7" s="49">
        <v>1.3100000000000001E-2</v>
      </c>
      <c r="S7" s="50"/>
      <c r="T7" s="50"/>
      <c r="U7" s="50">
        <f>7000/35000</f>
        <v>0.2</v>
      </c>
      <c r="V7" s="44">
        <f t="shared" si="3"/>
        <v>0.98489917966666662</v>
      </c>
    </row>
    <row r="8" spans="1:22">
      <c r="A8" s="27">
        <v>6</v>
      </c>
      <c r="B8" s="27" t="s">
        <v>171</v>
      </c>
      <c r="C8" s="27" t="s">
        <v>180</v>
      </c>
      <c r="D8" s="67" t="s">
        <v>187</v>
      </c>
      <c r="E8" s="43">
        <v>0.08</v>
      </c>
      <c r="F8" s="43">
        <v>8.1100000000000005E-2</v>
      </c>
      <c r="G8" s="44">
        <v>10.3</v>
      </c>
      <c r="H8" s="76"/>
      <c r="I8" s="44">
        <v>0.83533000000000013</v>
      </c>
      <c r="J8" s="46" t="s">
        <v>189</v>
      </c>
      <c r="K8" s="47">
        <v>60</v>
      </c>
      <c r="L8" s="47">
        <v>60</v>
      </c>
      <c r="M8" s="48">
        <v>1</v>
      </c>
      <c r="N8" s="45">
        <v>71.2</v>
      </c>
      <c r="O8" s="45">
        <v>0.76</v>
      </c>
      <c r="P8" s="45">
        <v>22.5</v>
      </c>
      <c r="Q8" s="44">
        <v>0.375</v>
      </c>
      <c r="R8" s="49">
        <v>2.9100000000000001E-2</v>
      </c>
      <c r="S8" s="50"/>
      <c r="T8" s="50"/>
      <c r="U8" s="50">
        <f>7000/17500</f>
        <v>0.4</v>
      </c>
      <c r="V8" s="44">
        <f t="shared" si="3"/>
        <v>2.2739753000000005</v>
      </c>
    </row>
    <row r="9" spans="1:22">
      <c r="A9" s="27">
        <v>7</v>
      </c>
      <c r="B9" s="27" t="s">
        <v>172</v>
      </c>
      <c r="C9" s="27" t="s">
        <v>181</v>
      </c>
      <c r="D9" s="67" t="s">
        <v>187</v>
      </c>
      <c r="E9" s="43">
        <v>2E-3</v>
      </c>
      <c r="F9" s="43">
        <v>1.5E-3</v>
      </c>
      <c r="G9" s="44">
        <v>10.3</v>
      </c>
      <c r="H9" s="76"/>
      <c r="I9" s="44">
        <v>1.5450000000000002E-2</v>
      </c>
      <c r="J9" s="46" t="s">
        <v>69</v>
      </c>
      <c r="K9" s="47">
        <v>80</v>
      </c>
      <c r="L9" s="47">
        <v>45</v>
      </c>
      <c r="M9" s="48">
        <v>8</v>
      </c>
      <c r="N9" s="45">
        <v>48.5</v>
      </c>
      <c r="O9" s="45">
        <v>0.76</v>
      </c>
      <c r="P9" s="45">
        <v>22.5</v>
      </c>
      <c r="Q9" s="44">
        <v>3.515625E-2</v>
      </c>
      <c r="R9" s="49">
        <v>6.8409999999999999E-3</v>
      </c>
      <c r="S9" s="50"/>
      <c r="T9" s="50"/>
      <c r="U9" s="50">
        <f>7000/1050000</f>
        <v>6.6666666666666671E-3</v>
      </c>
      <c r="V9" s="44">
        <f t="shared" si="3"/>
        <v>0.10185036541666669</v>
      </c>
    </row>
    <row r="10" spans="1:22">
      <c r="A10" s="27">
        <v>8</v>
      </c>
      <c r="B10" s="27" t="s">
        <v>173</v>
      </c>
      <c r="C10" s="27" t="s">
        <v>182</v>
      </c>
      <c r="D10" s="67" t="s">
        <v>187</v>
      </c>
      <c r="E10" s="43">
        <v>1E-3</v>
      </c>
      <c r="F10" s="43">
        <v>2E-3</v>
      </c>
      <c r="G10" s="44">
        <v>10.3</v>
      </c>
      <c r="H10" s="76"/>
      <c r="I10" s="44">
        <f t="shared" ref="I10:I11" si="4">F10*G10</f>
        <v>2.06E-2</v>
      </c>
      <c r="J10" s="46" t="s">
        <v>69</v>
      </c>
      <c r="K10" s="47">
        <v>80</v>
      </c>
      <c r="L10" s="47">
        <f t="shared" ref="L10:L11" si="5">3600/K10</f>
        <v>45</v>
      </c>
      <c r="M10" s="48">
        <v>4</v>
      </c>
      <c r="N10" s="45">
        <v>40</v>
      </c>
      <c r="O10" s="45">
        <v>0.76</v>
      </c>
      <c r="P10" s="45">
        <v>22.5</v>
      </c>
      <c r="Q10" s="44">
        <f t="shared" ref="Q10:Q11" si="6">P10/K10/M10</f>
        <v>7.03125E-2</v>
      </c>
      <c r="R10" s="49">
        <v>1.3100000000000001E-4</v>
      </c>
      <c r="S10" s="50"/>
      <c r="T10" s="50"/>
      <c r="U10" s="50">
        <f>7000/500000</f>
        <v>1.4E-2</v>
      </c>
      <c r="V10" s="44">
        <f t="shared" si="3"/>
        <v>0.16777280500000002</v>
      </c>
    </row>
    <row r="11" spans="1:22">
      <c r="A11" s="27">
        <v>9</v>
      </c>
      <c r="B11" s="27" t="s">
        <v>174</v>
      </c>
      <c r="C11" s="27" t="s">
        <v>183</v>
      </c>
      <c r="D11" s="67" t="s">
        <v>190</v>
      </c>
      <c r="E11" s="43">
        <v>0.2114</v>
      </c>
      <c r="F11" s="43">
        <v>0.22339999999999999</v>
      </c>
      <c r="G11" s="44">
        <v>10.3</v>
      </c>
      <c r="H11" s="76"/>
      <c r="I11" s="44">
        <f t="shared" si="4"/>
        <v>2.3010199999999998</v>
      </c>
      <c r="J11" s="46" t="s">
        <v>189</v>
      </c>
      <c r="K11" s="47">
        <v>60</v>
      </c>
      <c r="L11" s="47">
        <f t="shared" si="5"/>
        <v>60</v>
      </c>
      <c r="M11" s="48">
        <v>1</v>
      </c>
      <c r="N11" s="45">
        <v>72.7</v>
      </c>
      <c r="O11" s="45">
        <v>0.76</v>
      </c>
      <c r="P11" s="45">
        <v>22.5</v>
      </c>
      <c r="Q11" s="44">
        <f t="shared" si="6"/>
        <v>0.375</v>
      </c>
      <c r="R11" s="49">
        <v>0.13070000000000001</v>
      </c>
      <c r="S11" s="50"/>
      <c r="T11" s="50"/>
      <c r="U11" s="50">
        <f>7000/4500</f>
        <v>1.5555555555555556</v>
      </c>
      <c r="V11" s="44">
        <f t="shared" si="3"/>
        <v>5.1716397555555558</v>
      </c>
    </row>
  </sheetData>
  <mergeCells count="19">
    <mergeCell ref="G1:G2"/>
    <mergeCell ref="H1:H2"/>
    <mergeCell ref="S1:S2"/>
    <mergeCell ref="V1:V2"/>
    <mergeCell ref="C1:C2"/>
    <mergeCell ref="B1:B2"/>
    <mergeCell ref="I1:I2"/>
    <mergeCell ref="J1:J2"/>
    <mergeCell ref="K1:K2"/>
    <mergeCell ref="L1:L2"/>
    <mergeCell ref="M1:M2"/>
    <mergeCell ref="N1:N2"/>
    <mergeCell ref="Q1:Q2"/>
    <mergeCell ref="R1:R2"/>
    <mergeCell ref="O1:O2"/>
    <mergeCell ref="P1:P2"/>
    <mergeCell ref="T1:U1"/>
    <mergeCell ref="D1:D2"/>
    <mergeCell ref="E1:F1"/>
  </mergeCells>
  <phoneticPr fontId="5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B024-F6AF-42D1-8FB1-135C43BA4F9C}">
  <dimension ref="A1:M7"/>
  <sheetViews>
    <sheetView zoomScaleSheetLayoutView="100" workbookViewId="0">
      <selection activeCell="E14" sqref="E14"/>
    </sheetView>
  </sheetViews>
  <sheetFormatPr defaultRowHeight="14.25"/>
  <cols>
    <col min="1" max="1" width="5.5" style="1" bestFit="1" customWidth="1"/>
    <col min="2" max="2" width="11.625" style="1" bestFit="1" customWidth="1"/>
    <col min="3" max="3" width="22.75" bestFit="1" customWidth="1"/>
    <col min="4" max="4" width="9" style="1"/>
    <col min="7" max="7" width="9.5" style="2" bestFit="1" customWidth="1"/>
    <col min="8" max="9" width="9" style="2"/>
    <col min="13" max="13" width="7.5" bestFit="1" customWidth="1"/>
  </cols>
  <sheetData>
    <row r="1" spans="1:13" ht="24.75" customHeight="1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3">
      <c r="A2" s="100" t="s">
        <v>1</v>
      </c>
      <c r="B2" s="100" t="s">
        <v>21</v>
      </c>
      <c r="C2" s="100" t="s">
        <v>22</v>
      </c>
      <c r="D2" s="100" t="s">
        <v>23</v>
      </c>
      <c r="E2" s="100" t="s">
        <v>24</v>
      </c>
      <c r="F2" s="100" t="s">
        <v>25</v>
      </c>
      <c r="G2" s="102" t="s">
        <v>26</v>
      </c>
      <c r="H2" s="102"/>
      <c r="I2" s="102"/>
      <c r="J2" s="100" t="s">
        <v>10</v>
      </c>
      <c r="K2" s="99" t="s">
        <v>34</v>
      </c>
      <c r="L2" s="100"/>
      <c r="M2" s="100"/>
    </row>
    <row r="3" spans="1:13">
      <c r="A3" s="100"/>
      <c r="B3" s="100"/>
      <c r="C3" s="100"/>
      <c r="D3" s="100"/>
      <c r="E3" s="100"/>
      <c r="F3" s="100"/>
      <c r="G3" s="4" t="s">
        <v>27</v>
      </c>
      <c r="H3" s="4" t="s">
        <v>28</v>
      </c>
      <c r="I3" s="19" t="s">
        <v>29</v>
      </c>
      <c r="J3" s="100"/>
      <c r="K3" s="3" t="s">
        <v>30</v>
      </c>
      <c r="L3" s="3" t="s">
        <v>31</v>
      </c>
      <c r="M3" s="3" t="s">
        <v>32</v>
      </c>
    </row>
    <row r="4" spans="1:13" ht="24.95" customHeight="1">
      <c r="A4" s="3">
        <v>1</v>
      </c>
      <c r="B4" s="3" t="s">
        <v>12</v>
      </c>
      <c r="C4" s="5" t="s">
        <v>13</v>
      </c>
      <c r="D4" s="3" t="s">
        <v>33</v>
      </c>
      <c r="E4" s="5">
        <v>0.98</v>
      </c>
      <c r="F4" s="5">
        <v>1.01</v>
      </c>
      <c r="G4" s="6">
        <f>E4*20+F4*1.03</f>
        <v>20.6403</v>
      </c>
      <c r="H4" s="6">
        <v>6.2857142857142856</v>
      </c>
      <c r="I4" s="20">
        <f>G4+H4</f>
        <v>26.926014285714285</v>
      </c>
      <c r="J4" s="5"/>
      <c r="K4" s="5">
        <v>11000</v>
      </c>
      <c r="L4" s="5">
        <v>1750</v>
      </c>
      <c r="M4" s="18">
        <f>K4/L4</f>
        <v>6.2857142857142856</v>
      </c>
    </row>
    <row r="5" spans="1:13" ht="24.95" customHeight="1">
      <c r="A5" s="3">
        <v>2</v>
      </c>
      <c r="B5" s="3" t="s">
        <v>15</v>
      </c>
      <c r="C5" s="5" t="s">
        <v>13</v>
      </c>
      <c r="D5" s="3" t="s">
        <v>33</v>
      </c>
      <c r="E5" s="5">
        <v>1.01</v>
      </c>
      <c r="F5" s="5">
        <v>0.49</v>
      </c>
      <c r="G5" s="6">
        <f>E5*20+F5*1.03</f>
        <v>20.704699999999999</v>
      </c>
      <c r="H5" s="6">
        <v>6.2857142857142856</v>
      </c>
      <c r="I5" s="20">
        <f>G5+H5</f>
        <v>26.990414285714284</v>
      </c>
      <c r="J5" s="5"/>
      <c r="K5" s="5">
        <v>11000</v>
      </c>
      <c r="L5" s="5">
        <v>1750</v>
      </c>
      <c r="M5" s="18">
        <f>K5/L5</f>
        <v>6.2857142857142856</v>
      </c>
    </row>
    <row r="6" spans="1:13" ht="24.95" customHeight="1">
      <c r="A6" s="3">
        <v>3</v>
      </c>
      <c r="B6" s="3" t="s">
        <v>16</v>
      </c>
      <c r="C6" s="5" t="s">
        <v>17</v>
      </c>
      <c r="D6" s="3" t="s">
        <v>33</v>
      </c>
      <c r="E6" s="5">
        <v>1.68</v>
      </c>
      <c r="F6" s="5">
        <v>2.37</v>
      </c>
      <c r="G6" s="6">
        <f>E6*20+F6*1.03</f>
        <v>36.0411</v>
      </c>
      <c r="H6" s="6">
        <v>14.666666666666666</v>
      </c>
      <c r="I6" s="20">
        <f>G6+H6</f>
        <v>50.707766666666664</v>
      </c>
      <c r="J6" s="5"/>
      <c r="K6" s="5">
        <v>11000</v>
      </c>
      <c r="L6" s="5">
        <v>750</v>
      </c>
      <c r="M6" s="18">
        <f>K6/L6</f>
        <v>14.666666666666666</v>
      </c>
    </row>
    <row r="7" spans="1:13" ht="24.95" customHeight="1">
      <c r="A7" s="3">
        <v>4</v>
      </c>
      <c r="B7" s="3" t="s">
        <v>18</v>
      </c>
      <c r="C7" s="5" t="s">
        <v>19</v>
      </c>
      <c r="D7" s="3" t="s">
        <v>33</v>
      </c>
      <c r="E7" s="5">
        <v>1.71</v>
      </c>
      <c r="F7" s="5">
        <v>1.85</v>
      </c>
      <c r="G7" s="6">
        <f>E7*20+F7*1.03</f>
        <v>36.105500000000006</v>
      </c>
      <c r="H7" s="6">
        <v>14.666666666666666</v>
      </c>
      <c r="I7" s="20">
        <f>G7+H7</f>
        <v>50.772166666666671</v>
      </c>
      <c r="J7" s="5"/>
      <c r="K7" s="5">
        <v>11000</v>
      </c>
      <c r="L7" s="5">
        <v>750</v>
      </c>
      <c r="M7" s="18">
        <f>K7/L7</f>
        <v>14.666666666666666</v>
      </c>
    </row>
  </sheetData>
  <mergeCells count="10">
    <mergeCell ref="K2:M2"/>
    <mergeCell ref="A1:M1"/>
    <mergeCell ref="G2:I2"/>
    <mergeCell ref="A2:A3"/>
    <mergeCell ref="B2:B3"/>
    <mergeCell ref="C2:C3"/>
    <mergeCell ref="D2:D3"/>
    <mergeCell ref="E2:E3"/>
    <mergeCell ref="F2:F3"/>
    <mergeCell ref="J2:J3"/>
  </mergeCells>
  <phoneticPr fontId="5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746D-12A8-4444-A1AF-6377E62E7DD4}">
  <dimension ref="A1:V12"/>
  <sheetViews>
    <sheetView topLeftCell="C1" workbookViewId="0">
      <selection activeCell="S11" sqref="S11:U11"/>
    </sheetView>
  </sheetViews>
  <sheetFormatPr defaultRowHeight="14.25"/>
  <cols>
    <col min="1" max="1" width="5.5" bestFit="1" customWidth="1"/>
    <col min="2" max="2" width="13.875" bestFit="1" customWidth="1"/>
    <col min="3" max="3" width="22.75" bestFit="1" customWidth="1"/>
    <col min="4" max="4" width="20.5" bestFit="1" customWidth="1"/>
    <col min="8" max="8" width="7.125" bestFit="1" customWidth="1"/>
    <col min="9" max="9" width="8.125" bestFit="1" customWidth="1"/>
    <col min="12" max="12" width="6.25" bestFit="1" customWidth="1"/>
    <col min="13" max="13" width="5.75" customWidth="1"/>
    <col min="14" max="14" width="7" customWidth="1"/>
    <col min="15" max="15" width="5.5" customWidth="1"/>
    <col min="16" max="16" width="7.125" customWidth="1"/>
    <col min="17" max="17" width="7.25" customWidth="1"/>
    <col min="18" max="18" width="7.125" customWidth="1"/>
    <col min="19" max="19" width="8.125" customWidth="1"/>
    <col min="20" max="20" width="8.125" style="23" customWidth="1"/>
    <col min="21" max="21" width="6.5" bestFit="1" customWidth="1"/>
  </cols>
  <sheetData>
    <row r="1" spans="1:22" ht="21" customHeight="1">
      <c r="A1" s="103" t="s">
        <v>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2" ht="16.5">
      <c r="A2" s="116" t="s">
        <v>47</v>
      </c>
      <c r="B2" s="116" t="s">
        <v>35</v>
      </c>
      <c r="C2" s="116" t="s">
        <v>36</v>
      </c>
      <c r="D2" s="114" t="s">
        <v>48</v>
      </c>
      <c r="E2" s="125" t="s">
        <v>49</v>
      </c>
      <c r="F2" s="126"/>
      <c r="G2" s="110" t="s">
        <v>50</v>
      </c>
      <c r="H2" s="110" t="s">
        <v>51</v>
      </c>
      <c r="I2" s="119" t="s">
        <v>52</v>
      </c>
      <c r="J2" s="121" t="s">
        <v>53</v>
      </c>
      <c r="K2" s="110" t="s">
        <v>54</v>
      </c>
      <c r="L2" s="112" t="s">
        <v>55</v>
      </c>
      <c r="M2" s="108" t="s">
        <v>56</v>
      </c>
      <c r="N2" s="114" t="s">
        <v>57</v>
      </c>
      <c r="O2" s="108" t="s">
        <v>58</v>
      </c>
      <c r="P2" s="108" t="s">
        <v>59</v>
      </c>
      <c r="Q2" s="110" t="s">
        <v>60</v>
      </c>
      <c r="R2" s="117" t="s">
        <v>61</v>
      </c>
      <c r="S2" s="123" t="s">
        <v>62</v>
      </c>
      <c r="T2" s="104" t="s">
        <v>63</v>
      </c>
      <c r="U2" s="106" t="s">
        <v>85</v>
      </c>
      <c r="V2" s="108" t="s">
        <v>73</v>
      </c>
    </row>
    <row r="3" spans="1:22" ht="16.5">
      <c r="A3" s="116"/>
      <c r="B3" s="116"/>
      <c r="C3" s="116"/>
      <c r="D3" s="115"/>
      <c r="E3" s="26" t="s">
        <v>64</v>
      </c>
      <c r="F3" s="26" t="s">
        <v>65</v>
      </c>
      <c r="G3" s="111"/>
      <c r="H3" s="111"/>
      <c r="I3" s="120"/>
      <c r="J3" s="122"/>
      <c r="K3" s="111"/>
      <c r="L3" s="113"/>
      <c r="M3" s="109"/>
      <c r="N3" s="115"/>
      <c r="O3" s="109"/>
      <c r="P3" s="109"/>
      <c r="Q3" s="111"/>
      <c r="R3" s="118"/>
      <c r="S3" s="124"/>
      <c r="T3" s="105"/>
      <c r="U3" s="107"/>
      <c r="V3" s="109"/>
    </row>
    <row r="4" spans="1:22" ht="16.5">
      <c r="A4" s="27">
        <v>1</v>
      </c>
      <c r="B4" s="27" t="s">
        <v>37</v>
      </c>
      <c r="C4" s="27" t="s">
        <v>38</v>
      </c>
      <c r="D4" s="28" t="s">
        <v>74</v>
      </c>
      <c r="E4" s="29"/>
      <c r="F4" s="30">
        <v>1.1000000000000001E-3</v>
      </c>
      <c r="G4" s="24">
        <v>21.23</v>
      </c>
      <c r="H4" s="24">
        <v>0.95</v>
      </c>
      <c r="I4" s="24">
        <f>F4*G4</f>
        <v>2.3353000000000002E-2</v>
      </c>
      <c r="J4" s="31" t="s">
        <v>75</v>
      </c>
      <c r="K4" s="32">
        <v>102</v>
      </c>
      <c r="L4" s="32">
        <v>35</v>
      </c>
      <c r="M4" s="33">
        <v>5</v>
      </c>
      <c r="N4" s="33">
        <v>39.75</v>
      </c>
      <c r="O4" s="33">
        <v>0.76</v>
      </c>
      <c r="P4" s="33">
        <v>22.5</v>
      </c>
      <c r="Q4" s="24">
        <f t="shared" ref="Q4:Q12" si="0">P4/K4/M4</f>
        <v>4.4117647058823525E-2</v>
      </c>
      <c r="R4" s="24">
        <v>0</v>
      </c>
      <c r="S4" s="25">
        <v>0.01</v>
      </c>
      <c r="T4" s="30">
        <f>8800/4500000</f>
        <v>1.9555555555555554E-3</v>
      </c>
      <c r="U4" s="24">
        <v>0</v>
      </c>
      <c r="V4" s="24">
        <f t="shared" ref="V4:V12" si="1">(I4+Q4+(N4*O4/K4/M4)/2)/H4*1.11+R4*1.03+S4+T4+U4</f>
        <v>0.12539556236670107</v>
      </c>
    </row>
    <row r="5" spans="1:22" ht="16.5">
      <c r="A5" s="27">
        <v>2</v>
      </c>
      <c r="B5" s="27" t="s">
        <v>39</v>
      </c>
      <c r="C5" s="27" t="s">
        <v>40</v>
      </c>
      <c r="D5" s="33" t="s">
        <v>66</v>
      </c>
      <c r="E5" s="30">
        <v>0</v>
      </c>
      <c r="F5" s="30">
        <v>1.5800000000000002E-2</v>
      </c>
      <c r="G5" s="24">
        <v>13.716799999999999</v>
      </c>
      <c r="H5" s="24">
        <v>0.95</v>
      </c>
      <c r="I5" s="24">
        <f>F5*G5/H5</f>
        <v>0.22813204210526319</v>
      </c>
      <c r="J5" s="31" t="s">
        <v>67</v>
      </c>
      <c r="K5" s="24">
        <v>72</v>
      </c>
      <c r="L5" s="32">
        <v>50</v>
      </c>
      <c r="M5" s="33">
        <v>2</v>
      </c>
      <c r="N5" s="33">
        <v>39.75</v>
      </c>
      <c r="O5" s="33">
        <v>0.76</v>
      </c>
      <c r="P5" s="33">
        <v>22.5</v>
      </c>
      <c r="Q5" s="24">
        <f t="shared" si="0"/>
        <v>0.15625</v>
      </c>
      <c r="R5" s="24">
        <v>0</v>
      </c>
      <c r="S5" s="25">
        <v>0.03</v>
      </c>
      <c r="T5" s="30">
        <f>8800/225000</f>
        <v>3.911111111111111E-2</v>
      </c>
      <c r="U5" s="24">
        <v>0</v>
      </c>
      <c r="V5" s="24">
        <f t="shared" si="1"/>
        <v>0.64079368136041881</v>
      </c>
    </row>
    <row r="6" spans="1:22" ht="16.5">
      <c r="A6" s="27">
        <v>3</v>
      </c>
      <c r="B6" s="27" t="s">
        <v>41</v>
      </c>
      <c r="C6" s="27" t="s">
        <v>42</v>
      </c>
      <c r="D6" s="33" t="s">
        <v>68</v>
      </c>
      <c r="E6" s="30">
        <v>2.9000000000000001E-2</v>
      </c>
      <c r="F6" s="30">
        <v>3.0450000000000001E-2</v>
      </c>
      <c r="G6" s="24">
        <v>6.6371681415929196</v>
      </c>
      <c r="H6" s="24">
        <v>0.95</v>
      </c>
      <c r="I6" s="24">
        <f>F6*G6/H6</f>
        <v>0.21273870517000465</v>
      </c>
      <c r="J6" s="31" t="s">
        <v>69</v>
      </c>
      <c r="K6" s="24">
        <v>51.428571428571502</v>
      </c>
      <c r="L6" s="32">
        <v>69.999999999999901</v>
      </c>
      <c r="M6" s="33">
        <v>2</v>
      </c>
      <c r="N6" s="33">
        <v>48.5</v>
      </c>
      <c r="O6" s="33">
        <v>0.76</v>
      </c>
      <c r="P6" s="33">
        <v>22.5</v>
      </c>
      <c r="Q6" s="24">
        <f t="shared" si="0"/>
        <v>0.21874999999999969</v>
      </c>
      <c r="R6" s="24">
        <v>0</v>
      </c>
      <c r="S6" s="25">
        <v>0.10657111111111101</v>
      </c>
      <c r="T6" s="30">
        <f>8800/112500</f>
        <v>7.8222222222222221E-2</v>
      </c>
      <c r="U6" s="24">
        <v>0</v>
      </c>
      <c r="V6" s="24">
        <f t="shared" si="1"/>
        <v>0.89831215376004003</v>
      </c>
    </row>
    <row r="7" spans="1:22" ht="16.5">
      <c r="A7" s="27">
        <v>4</v>
      </c>
      <c r="B7" s="27" t="s">
        <v>43</v>
      </c>
      <c r="C7" s="27" t="s">
        <v>44</v>
      </c>
      <c r="D7" s="34" t="s">
        <v>70</v>
      </c>
      <c r="E7" s="29">
        <v>0.31900000000000001</v>
      </c>
      <c r="F7" s="30">
        <v>0.32300000000000001</v>
      </c>
      <c r="G7" s="24">
        <v>6.7256999999999998</v>
      </c>
      <c r="H7" s="24">
        <v>0.97</v>
      </c>
      <c r="I7" s="24">
        <f>F7*G7</f>
        <v>2.1724011000000001</v>
      </c>
      <c r="J7" s="31" t="s">
        <v>71</v>
      </c>
      <c r="K7" s="32">
        <v>55.384615384615401</v>
      </c>
      <c r="L7" s="32">
        <f>3600/K7</f>
        <v>64.999999999999986</v>
      </c>
      <c r="M7" s="33">
        <v>1</v>
      </c>
      <c r="N7" s="33">
        <v>120.5</v>
      </c>
      <c r="O7" s="33">
        <v>0.76</v>
      </c>
      <c r="P7" s="33">
        <v>22.5</v>
      </c>
      <c r="Q7" s="24">
        <f t="shared" si="0"/>
        <v>0.40624999999999989</v>
      </c>
      <c r="R7" s="24">
        <v>0</v>
      </c>
      <c r="S7" s="25">
        <f>39.3472/200+8.8889/30</f>
        <v>0.49303266666666667</v>
      </c>
      <c r="T7" s="22">
        <f>8800/7200</f>
        <v>1.2222222222222223</v>
      </c>
      <c r="U7" s="24">
        <v>0.5</v>
      </c>
      <c r="V7" s="24">
        <f t="shared" si="1"/>
        <v>6.1121730720504006</v>
      </c>
    </row>
    <row r="8" spans="1:22" ht="16.5">
      <c r="A8" s="27">
        <v>5</v>
      </c>
      <c r="B8" s="27" t="s">
        <v>45</v>
      </c>
      <c r="C8" s="27" t="s">
        <v>46</v>
      </c>
      <c r="D8" s="34" t="s">
        <v>70</v>
      </c>
      <c r="E8" s="29">
        <v>9.0999999999999998E-2</v>
      </c>
      <c r="F8" s="30">
        <v>9.6000000000000002E-2</v>
      </c>
      <c r="G8" s="24">
        <v>6.7256999999999998</v>
      </c>
      <c r="H8" s="24">
        <v>0.97</v>
      </c>
      <c r="I8" s="24">
        <f>F8*G8</f>
        <v>0.6456672</v>
      </c>
      <c r="J8" s="31" t="s">
        <v>72</v>
      </c>
      <c r="K8" s="32">
        <v>65.454545454545496</v>
      </c>
      <c r="L8" s="32">
        <f>3600/K8</f>
        <v>54.999999999999964</v>
      </c>
      <c r="M8" s="33">
        <v>2</v>
      </c>
      <c r="N8" s="33">
        <v>93</v>
      </c>
      <c r="O8" s="33">
        <v>0.76</v>
      </c>
      <c r="P8" s="33">
        <v>22.5</v>
      </c>
      <c r="Q8" s="24">
        <f t="shared" si="0"/>
        <v>0.17187499999999989</v>
      </c>
      <c r="R8" s="24">
        <v>0</v>
      </c>
      <c r="S8" s="25">
        <f>27.543/625+8.8889/250</f>
        <v>7.9624399999999998E-2</v>
      </c>
      <c r="T8" s="22">
        <f>8800/45000</f>
        <v>0.19555555555555557</v>
      </c>
      <c r="U8" s="24">
        <v>0.5</v>
      </c>
      <c r="V8" s="24">
        <f t="shared" si="1"/>
        <v>2.0196393287514312</v>
      </c>
    </row>
    <row r="9" spans="1:22" ht="16.5">
      <c r="A9" s="27">
        <v>6</v>
      </c>
      <c r="B9" s="33" t="s">
        <v>76</v>
      </c>
      <c r="C9" s="27" t="s">
        <v>77</v>
      </c>
      <c r="D9" s="33" t="s">
        <v>83</v>
      </c>
      <c r="E9" s="35">
        <v>1E-3</v>
      </c>
      <c r="F9" s="35">
        <v>1.1000000000000001E-3</v>
      </c>
      <c r="G9" s="24">
        <v>23.716814159291999</v>
      </c>
      <c r="H9" s="24">
        <v>0.97</v>
      </c>
      <c r="I9" s="24">
        <f>F9*G9/H9</f>
        <v>2.689535626311464E-2</v>
      </c>
      <c r="J9" s="33" t="s">
        <v>84</v>
      </c>
      <c r="K9" s="24">
        <v>80</v>
      </c>
      <c r="L9" s="32">
        <v>45</v>
      </c>
      <c r="M9" s="33">
        <v>8</v>
      </c>
      <c r="N9" s="33">
        <v>20.2</v>
      </c>
      <c r="O9" s="33">
        <v>0.76</v>
      </c>
      <c r="P9" s="33">
        <v>22.5</v>
      </c>
      <c r="Q9" s="24">
        <f t="shared" si="0"/>
        <v>3.515625E-2</v>
      </c>
      <c r="R9" s="24">
        <v>0</v>
      </c>
      <c r="S9" s="25">
        <v>2.8303333333333301E-3</v>
      </c>
      <c r="T9" s="30">
        <f>8800/3600000</f>
        <v>2.4444444444444444E-3</v>
      </c>
      <c r="U9" s="24">
        <v>0</v>
      </c>
      <c r="V9" s="24">
        <f t="shared" si="1"/>
        <v>9.0007092676805872E-2</v>
      </c>
    </row>
    <row r="10" spans="1:22" ht="16.5">
      <c r="A10" s="27">
        <v>7</v>
      </c>
      <c r="B10" s="33" t="s">
        <v>78</v>
      </c>
      <c r="C10" s="27" t="s">
        <v>79</v>
      </c>
      <c r="D10" s="28" t="s">
        <v>70</v>
      </c>
      <c r="E10" s="29">
        <v>1.4E-2</v>
      </c>
      <c r="F10" s="30">
        <v>1.6E-2</v>
      </c>
      <c r="G10" s="24">
        <v>6.7256999999999998</v>
      </c>
      <c r="H10" s="24">
        <v>0.97</v>
      </c>
      <c r="I10" s="24">
        <f>F10*G10</f>
        <v>0.1076112</v>
      </c>
      <c r="J10" s="31" t="s">
        <v>86</v>
      </c>
      <c r="K10" s="32">
        <v>65.454545454545496</v>
      </c>
      <c r="L10" s="32">
        <f>3600/K10</f>
        <v>54.999999999999964</v>
      </c>
      <c r="M10" s="33">
        <v>2</v>
      </c>
      <c r="N10" s="33">
        <v>40.75</v>
      </c>
      <c r="O10" s="33">
        <v>0.76</v>
      </c>
      <c r="P10" s="33">
        <v>22.5</v>
      </c>
      <c r="Q10" s="24">
        <f t="shared" si="0"/>
        <v>0.17187499999999989</v>
      </c>
      <c r="R10" s="24">
        <v>0</v>
      </c>
      <c r="S10" s="25">
        <f>0.0131/2+0.12/100+8.4124/400</f>
        <v>2.8781000000000001E-2</v>
      </c>
      <c r="T10" s="21">
        <f>35/400</f>
        <v>8.7499999999999994E-2</v>
      </c>
      <c r="U10" s="24"/>
      <c r="V10" s="24">
        <f t="shared" si="1"/>
        <v>0.5714661317869415</v>
      </c>
    </row>
    <row r="11" spans="1:22" ht="16.5">
      <c r="A11" s="27">
        <v>8</v>
      </c>
      <c r="B11" s="33" t="s">
        <v>80</v>
      </c>
      <c r="C11" s="27" t="s">
        <v>81</v>
      </c>
      <c r="D11" s="28" t="s">
        <v>70</v>
      </c>
      <c r="E11" s="29">
        <v>0.26700000000000002</v>
      </c>
      <c r="F11" s="30">
        <v>0.27</v>
      </c>
      <c r="G11" s="24">
        <v>6.7256999999999998</v>
      </c>
      <c r="H11" s="24">
        <v>0.97</v>
      </c>
      <c r="I11" s="24">
        <f>F11*G11</f>
        <v>1.815939</v>
      </c>
      <c r="J11" s="31" t="s">
        <v>71</v>
      </c>
      <c r="K11" s="32">
        <v>60</v>
      </c>
      <c r="L11" s="32">
        <f>3600/K11</f>
        <v>60</v>
      </c>
      <c r="M11" s="33">
        <v>1</v>
      </c>
      <c r="N11" s="33">
        <v>121.5</v>
      </c>
      <c r="O11" s="33">
        <v>0.76</v>
      </c>
      <c r="P11" s="33">
        <v>22.5</v>
      </c>
      <c r="Q11" s="24">
        <f t="shared" si="0"/>
        <v>0.375</v>
      </c>
      <c r="R11" s="24">
        <v>0</v>
      </c>
      <c r="S11" s="25">
        <v>0.4</v>
      </c>
      <c r="T11" s="21">
        <v>1.2</v>
      </c>
      <c r="U11" s="36">
        <v>0.5</v>
      </c>
      <c r="V11" s="24">
        <f t="shared" si="1"/>
        <v>5.4877188556701029</v>
      </c>
    </row>
    <row r="12" spans="1:22" ht="16.5">
      <c r="A12" s="27">
        <v>9</v>
      </c>
      <c r="B12" s="33" t="s">
        <v>82</v>
      </c>
      <c r="C12" s="27" t="s">
        <v>81</v>
      </c>
      <c r="D12" s="28" t="s">
        <v>70</v>
      </c>
      <c r="E12" s="29">
        <v>0.26700000000000002</v>
      </c>
      <c r="F12" s="30">
        <v>0.27</v>
      </c>
      <c r="G12" s="24">
        <v>6.7256999999999998</v>
      </c>
      <c r="H12" s="24">
        <v>0.97</v>
      </c>
      <c r="I12" s="24">
        <f>F12*G12</f>
        <v>1.815939</v>
      </c>
      <c r="J12" s="31" t="s">
        <v>71</v>
      </c>
      <c r="K12" s="32">
        <v>60</v>
      </c>
      <c r="L12" s="32">
        <f>3600/K12</f>
        <v>60</v>
      </c>
      <c r="M12" s="33">
        <v>1</v>
      </c>
      <c r="N12" s="33">
        <v>121.5</v>
      </c>
      <c r="O12" s="33">
        <v>0.76</v>
      </c>
      <c r="P12" s="33">
        <v>22.5</v>
      </c>
      <c r="Q12" s="24">
        <f t="shared" si="0"/>
        <v>0.375</v>
      </c>
      <c r="R12" s="24">
        <v>0</v>
      </c>
      <c r="S12" s="25">
        <v>0.4</v>
      </c>
      <c r="T12" s="21">
        <v>1.2</v>
      </c>
      <c r="U12" s="36">
        <v>0.5</v>
      </c>
      <c r="V12" s="24">
        <f t="shared" si="1"/>
        <v>5.4877188556701029</v>
      </c>
    </row>
  </sheetData>
  <mergeCells count="22">
    <mergeCell ref="S2:S3"/>
    <mergeCell ref="D2:D3"/>
    <mergeCell ref="E2:F2"/>
    <mergeCell ref="G2:G3"/>
    <mergeCell ref="H2:H3"/>
    <mergeCell ref="P2:P3"/>
    <mergeCell ref="A1:V1"/>
    <mergeCell ref="T2:T3"/>
    <mergeCell ref="U2:U3"/>
    <mergeCell ref="V2:V3"/>
    <mergeCell ref="K2:K3"/>
    <mergeCell ref="L2:L3"/>
    <mergeCell ref="M2:M3"/>
    <mergeCell ref="N2:N3"/>
    <mergeCell ref="O2:O3"/>
    <mergeCell ref="C2:C3"/>
    <mergeCell ref="B2:B3"/>
    <mergeCell ref="A2:A3"/>
    <mergeCell ref="Q2:Q3"/>
    <mergeCell ref="R2:R3"/>
    <mergeCell ref="I2:I3"/>
    <mergeCell ref="J2:J3"/>
  </mergeCells>
  <phoneticPr fontId="5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DB73-C17A-4BBE-9E90-775CDA768EB2}">
  <dimension ref="A1:V8"/>
  <sheetViews>
    <sheetView workbookViewId="0">
      <selection activeCell="G26" sqref="G26"/>
    </sheetView>
  </sheetViews>
  <sheetFormatPr defaultRowHeight="14.25"/>
  <cols>
    <col min="1" max="1" width="3.625" bestFit="1" customWidth="1"/>
    <col min="2" max="2" width="10.5" bestFit="1" customWidth="1"/>
    <col min="3" max="3" width="19.5" bestFit="1" customWidth="1"/>
    <col min="8" max="8" width="7.375" bestFit="1" customWidth="1"/>
    <col min="9" max="9" width="8.125" bestFit="1" customWidth="1"/>
    <col min="11" max="11" width="5.5" customWidth="1"/>
    <col min="12" max="12" width="5.75" customWidth="1"/>
    <col min="13" max="13" width="5.375" customWidth="1"/>
    <col min="14" max="14" width="6.125" customWidth="1"/>
    <col min="15" max="15" width="5.625" customWidth="1"/>
    <col min="16" max="16" width="6.75" customWidth="1"/>
    <col min="17" max="17" width="6.375" customWidth="1"/>
    <col min="18" max="18" width="7.375" bestFit="1" customWidth="1"/>
    <col min="19" max="19" width="8.125" bestFit="1" customWidth="1"/>
    <col min="20" max="20" width="8.625" bestFit="1" customWidth="1"/>
    <col min="21" max="21" width="6.875" customWidth="1"/>
  </cols>
  <sheetData>
    <row r="1" spans="1:22" ht="17.25">
      <c r="A1" s="136" t="s">
        <v>105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2" ht="16.5">
      <c r="A2" s="37" t="s">
        <v>88</v>
      </c>
      <c r="B2" s="146" t="s">
        <v>89</v>
      </c>
      <c r="C2" s="143" t="s">
        <v>90</v>
      </c>
      <c r="D2" s="143" t="s">
        <v>48</v>
      </c>
      <c r="E2" s="144" t="s">
        <v>49</v>
      </c>
      <c r="F2" s="145"/>
      <c r="G2" s="138" t="s">
        <v>50</v>
      </c>
      <c r="H2" s="129" t="s">
        <v>91</v>
      </c>
      <c r="I2" s="147" t="s">
        <v>52</v>
      </c>
      <c r="J2" s="131" t="s">
        <v>53</v>
      </c>
      <c r="K2" s="132" t="s">
        <v>54</v>
      </c>
      <c r="L2" s="133" t="s">
        <v>55</v>
      </c>
      <c r="M2" s="137" t="s">
        <v>56</v>
      </c>
      <c r="N2" s="143" t="s">
        <v>57</v>
      </c>
      <c r="O2" s="137" t="s">
        <v>58</v>
      </c>
      <c r="P2" s="137" t="s">
        <v>59</v>
      </c>
      <c r="Q2" s="138" t="s">
        <v>60</v>
      </c>
      <c r="R2" s="139" t="s">
        <v>61</v>
      </c>
      <c r="S2" s="140" t="s">
        <v>62</v>
      </c>
      <c r="T2" s="141" t="s">
        <v>63</v>
      </c>
      <c r="U2" s="127" t="s">
        <v>92</v>
      </c>
      <c r="V2" s="135" t="s">
        <v>93</v>
      </c>
    </row>
    <row r="3" spans="1:22" ht="16.5">
      <c r="A3" s="38" t="s">
        <v>94</v>
      </c>
      <c r="B3" s="146"/>
      <c r="C3" s="143"/>
      <c r="D3" s="143" t="s">
        <v>48</v>
      </c>
      <c r="E3" s="39" t="s">
        <v>64</v>
      </c>
      <c r="F3" s="40" t="s">
        <v>65</v>
      </c>
      <c r="G3" s="138"/>
      <c r="H3" s="130"/>
      <c r="I3" s="147"/>
      <c r="J3" s="131"/>
      <c r="K3" s="132"/>
      <c r="L3" s="134"/>
      <c r="M3" s="137"/>
      <c r="N3" s="143"/>
      <c r="O3" s="137"/>
      <c r="P3" s="137"/>
      <c r="Q3" s="138"/>
      <c r="R3" s="139"/>
      <c r="S3" s="139"/>
      <c r="T3" s="142"/>
      <c r="U3" s="128"/>
      <c r="V3" s="135"/>
    </row>
    <row r="4" spans="1:22">
      <c r="A4" s="41">
        <v>1</v>
      </c>
      <c r="B4" s="41" t="s">
        <v>95</v>
      </c>
      <c r="C4" s="41" t="s">
        <v>96</v>
      </c>
      <c r="D4" s="42" t="s">
        <v>97</v>
      </c>
      <c r="E4" s="43"/>
      <c r="F4" s="43">
        <v>8.0000000000000002E-3</v>
      </c>
      <c r="G4" s="44">
        <v>6.7256999999999998</v>
      </c>
      <c r="H4" s="45"/>
      <c r="I4" s="44">
        <f>F4*G4</f>
        <v>5.3805600000000002E-2</v>
      </c>
      <c r="J4" s="46" t="s">
        <v>98</v>
      </c>
      <c r="K4" s="45">
        <v>80</v>
      </c>
      <c r="L4" s="47">
        <v>45</v>
      </c>
      <c r="M4" s="48">
        <v>2</v>
      </c>
      <c r="N4" s="45">
        <v>67.599999999999994</v>
      </c>
      <c r="O4" s="45">
        <v>0.76</v>
      </c>
      <c r="P4" s="45">
        <v>22.5</v>
      </c>
      <c r="Q4" s="44">
        <f>P4/K4/M4</f>
        <v>0.140625</v>
      </c>
      <c r="R4" s="49"/>
      <c r="S4" s="50">
        <v>1.9690249999999999E-2</v>
      </c>
      <c r="T4" s="50">
        <v>3.1784558483587612E-2</v>
      </c>
      <c r="U4" s="50"/>
      <c r="V4" s="44">
        <f>(I4+Q4+(N4*O4/K4/M4)/2)*1.11+R4*1.03+T4+U4</f>
        <v>0.42581302448358765</v>
      </c>
    </row>
    <row r="5" spans="1:22">
      <c r="A5" s="41">
        <v>2</v>
      </c>
      <c r="B5" s="41" t="s">
        <v>99</v>
      </c>
      <c r="C5" s="41" t="s">
        <v>100</v>
      </c>
      <c r="D5" s="42" t="s">
        <v>97</v>
      </c>
      <c r="E5" s="43"/>
      <c r="F5" s="43">
        <v>2.5000000000000001E-2</v>
      </c>
      <c r="G5" s="44">
        <v>6.7256999999999998</v>
      </c>
      <c r="H5" s="45"/>
      <c r="I5" s="44">
        <f>F5*G5</f>
        <v>0.1681425</v>
      </c>
      <c r="J5" s="46" t="s">
        <v>98</v>
      </c>
      <c r="K5" s="45">
        <v>80</v>
      </c>
      <c r="L5" s="47">
        <v>45</v>
      </c>
      <c r="M5" s="48">
        <v>2</v>
      </c>
      <c r="N5" s="45">
        <v>67.599999999999994</v>
      </c>
      <c r="O5" s="45">
        <v>0.76</v>
      </c>
      <c r="P5" s="45">
        <v>22.5</v>
      </c>
      <c r="Q5" s="44">
        <f>P5/K5/M5</f>
        <v>0.140625</v>
      </c>
      <c r="R5" s="49"/>
      <c r="S5" s="50">
        <v>1.9690249999999999E-2</v>
      </c>
      <c r="T5" s="50">
        <v>3.1784558483587612E-2</v>
      </c>
      <c r="U5" s="50"/>
      <c r="V5" s="44">
        <f>(I5+Q5+(N5*O5/K5/M5)/2)*1.11+R5*1.03+T5+U5</f>
        <v>0.55272698348358762</v>
      </c>
    </row>
    <row r="6" spans="1:22">
      <c r="A6" s="41">
        <v>3</v>
      </c>
      <c r="B6" s="41" t="s">
        <v>101</v>
      </c>
      <c r="C6" s="41" t="s">
        <v>102</v>
      </c>
      <c r="D6" s="42" t="s">
        <v>97</v>
      </c>
      <c r="E6" s="43"/>
      <c r="F6" s="43">
        <v>0.30599999999999999</v>
      </c>
      <c r="G6" s="44">
        <v>6.7256999999999998</v>
      </c>
      <c r="H6" s="45"/>
      <c r="I6" s="44">
        <f>F6*G6</f>
        <v>2.0580642</v>
      </c>
      <c r="J6" s="46" t="s">
        <v>103</v>
      </c>
      <c r="K6" s="45">
        <f>3600/L6</f>
        <v>60</v>
      </c>
      <c r="L6" s="47">
        <v>60</v>
      </c>
      <c r="M6" s="48">
        <v>1</v>
      </c>
      <c r="N6" s="45">
        <v>121.5</v>
      </c>
      <c r="O6" s="45">
        <v>0.76</v>
      </c>
      <c r="P6" s="45">
        <v>22.5</v>
      </c>
      <c r="Q6" s="44">
        <f>P6/K6/M6</f>
        <v>0.375</v>
      </c>
      <c r="R6" s="49"/>
      <c r="S6" s="50">
        <v>0.22503142857142858</v>
      </c>
      <c r="T6" s="50">
        <v>1.937344517094864</v>
      </c>
      <c r="U6" s="50"/>
      <c r="V6" s="44">
        <f>(I6+Q6+(N6*O6/K6/M6)/2)*1.11+R6*1.03+T6+U6</f>
        <v>5.492190779094865</v>
      </c>
    </row>
    <row r="7" spans="1:22">
      <c r="A7" s="41">
        <v>4</v>
      </c>
      <c r="B7" s="41" t="s">
        <v>104</v>
      </c>
      <c r="C7" s="41" t="s">
        <v>44</v>
      </c>
      <c r="D7" s="42" t="s">
        <v>97</v>
      </c>
      <c r="E7" s="43"/>
      <c r="F7" s="43">
        <v>0.32300000000000001</v>
      </c>
      <c r="G7" s="44">
        <v>6.7256999999999998</v>
      </c>
      <c r="H7" s="45"/>
      <c r="I7" s="44">
        <f>F7*G7</f>
        <v>2.1724011000000001</v>
      </c>
      <c r="J7" s="46" t="s">
        <v>103</v>
      </c>
      <c r="K7" s="45">
        <v>55</v>
      </c>
      <c r="L7" s="47">
        <v>65</v>
      </c>
      <c r="M7" s="48">
        <v>1</v>
      </c>
      <c r="N7" s="45">
        <v>121.5</v>
      </c>
      <c r="O7" s="45">
        <v>0.76</v>
      </c>
      <c r="P7" s="45">
        <v>22.5</v>
      </c>
      <c r="Q7" s="44">
        <f>P7/K7/M7</f>
        <v>0.40909090909090912</v>
      </c>
      <c r="R7" s="49"/>
      <c r="S7" s="50">
        <v>0.22503142857142858</v>
      </c>
      <c r="T7" s="50">
        <v>1.937344517094864</v>
      </c>
      <c r="U7" s="50">
        <v>0.5</v>
      </c>
      <c r="V7" s="44">
        <f>(I7+Q7+(N7*O7/K7/M7)/2)*1.11+R7*1.03+T7+U7</f>
        <v>6.2345951926403194</v>
      </c>
    </row>
    <row r="8" spans="1:22">
      <c r="A8" s="41">
        <v>5</v>
      </c>
      <c r="B8" s="41" t="s">
        <v>106</v>
      </c>
      <c r="C8" s="41" t="s">
        <v>107</v>
      </c>
      <c r="D8" s="42" t="s">
        <v>74</v>
      </c>
      <c r="E8" s="43"/>
      <c r="F8" s="43">
        <v>1.3625E-3</v>
      </c>
      <c r="G8" s="44">
        <v>21.236000000000001</v>
      </c>
      <c r="H8" s="45">
        <v>0.98</v>
      </c>
      <c r="I8" s="44">
        <f>F8*G8/H8</f>
        <v>2.9524540816326529E-2</v>
      </c>
      <c r="J8" s="46" t="s">
        <v>69</v>
      </c>
      <c r="K8" s="45">
        <v>80</v>
      </c>
      <c r="L8" s="47">
        <v>45</v>
      </c>
      <c r="M8" s="48">
        <v>2</v>
      </c>
      <c r="N8" s="45">
        <v>48.5</v>
      </c>
      <c r="O8" s="45">
        <v>0.76</v>
      </c>
      <c r="P8" s="45">
        <v>22.5</v>
      </c>
      <c r="Q8" s="44">
        <f>P8/K8/M8</f>
        <v>0.140625</v>
      </c>
      <c r="R8" s="49"/>
      <c r="S8" s="50">
        <f>7.8761/300</f>
        <v>2.6253666666666668E-2</v>
      </c>
      <c r="T8" s="50">
        <f>8800/1.03/201600</f>
        <v>4.2379411311450149E-2</v>
      </c>
      <c r="U8" s="50"/>
      <c r="V8" s="44">
        <f>(I8+Q8+(N8*O8/K8/M8)/2)*1.11+R8*1.03+S8+T8+U8</f>
        <v>0.38535719328423923</v>
      </c>
    </row>
  </sheetData>
  <mergeCells count="21">
    <mergeCell ref="V2:V3"/>
    <mergeCell ref="A1:V1"/>
    <mergeCell ref="O2:O3"/>
    <mergeCell ref="P2:P3"/>
    <mergeCell ref="Q2:Q3"/>
    <mergeCell ref="R2:R3"/>
    <mergeCell ref="S2:S3"/>
    <mergeCell ref="T2:T3"/>
    <mergeCell ref="C2:C3"/>
    <mergeCell ref="N2:N3"/>
    <mergeCell ref="E2:F2"/>
    <mergeCell ref="G2:G3"/>
    <mergeCell ref="B2:B3"/>
    <mergeCell ref="M2:M3"/>
    <mergeCell ref="D2:D3"/>
    <mergeCell ref="I2:I3"/>
    <mergeCell ref="U2:U3"/>
    <mergeCell ref="H2:H3"/>
    <mergeCell ref="J2:J3"/>
    <mergeCell ref="K2:K3"/>
    <mergeCell ref="L2:L3"/>
  </mergeCells>
  <phoneticPr fontId="5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2464-CD7D-4A10-881D-4E4CD70A6EB8}">
  <dimension ref="A1:U8"/>
  <sheetViews>
    <sheetView workbookViewId="0">
      <selection sqref="A1:U3"/>
    </sheetView>
  </sheetViews>
  <sheetFormatPr defaultRowHeight="16.5"/>
  <cols>
    <col min="1" max="1" width="3.75" style="65" bestFit="1" customWidth="1"/>
    <col min="2" max="2" width="13.75" style="51" bestFit="1" customWidth="1"/>
    <col min="3" max="3" width="17.5" style="51" bestFit="1" customWidth="1"/>
    <col min="4" max="4" width="17.625" style="51" bestFit="1" customWidth="1"/>
    <col min="5" max="6" width="7.375" style="51" bestFit="1" customWidth="1"/>
    <col min="7" max="7" width="9.125" style="51" customWidth="1"/>
    <col min="8" max="8" width="5.75" style="51" customWidth="1"/>
    <col min="9" max="9" width="13.875" style="51" bestFit="1" customWidth="1"/>
    <col min="10" max="10" width="7.125" style="51" customWidth="1"/>
    <col min="11" max="11" width="6.5" style="51" bestFit="1" customWidth="1"/>
    <col min="12" max="12" width="5.375" style="51" customWidth="1"/>
    <col min="13" max="13" width="7.5" style="51" bestFit="1" customWidth="1"/>
    <col min="14" max="14" width="6.125" style="51" customWidth="1"/>
    <col min="15" max="15" width="6.625" style="51" customWidth="1"/>
    <col min="16" max="16" width="8.25" style="51" bestFit="1" customWidth="1"/>
    <col min="17" max="17" width="7.5" style="51" bestFit="1" customWidth="1"/>
    <col min="18" max="18" width="5.75" style="51" customWidth="1"/>
    <col min="19" max="19" width="5.875" style="51" customWidth="1"/>
    <col min="20" max="20" width="6.125" style="51" customWidth="1"/>
    <col min="21" max="21" width="12.25" style="51" customWidth="1"/>
    <col min="22" max="16384" width="9" style="51"/>
  </cols>
  <sheetData>
    <row r="1" spans="1:21">
      <c r="A1" s="157" t="s">
        <v>105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1:21">
      <c r="A2" s="52" t="s">
        <v>88</v>
      </c>
      <c r="B2" s="158" t="s">
        <v>89</v>
      </c>
      <c r="C2" s="159" t="s">
        <v>90</v>
      </c>
      <c r="D2" s="159" t="s">
        <v>48</v>
      </c>
      <c r="E2" s="160" t="s">
        <v>49</v>
      </c>
      <c r="F2" s="161"/>
      <c r="G2" s="156" t="s">
        <v>50</v>
      </c>
      <c r="H2" s="156" t="s">
        <v>52</v>
      </c>
      <c r="I2" s="162" t="s">
        <v>53</v>
      </c>
      <c r="J2" s="155" t="s">
        <v>54</v>
      </c>
      <c r="K2" s="163" t="s">
        <v>55</v>
      </c>
      <c r="L2" s="165" t="s">
        <v>56</v>
      </c>
      <c r="M2" s="159" t="s">
        <v>57</v>
      </c>
      <c r="N2" s="165" t="s">
        <v>58</v>
      </c>
      <c r="O2" s="165" t="s">
        <v>59</v>
      </c>
      <c r="P2" s="156" t="s">
        <v>60</v>
      </c>
      <c r="Q2" s="149" t="s">
        <v>61</v>
      </c>
      <c r="R2" s="148" t="s">
        <v>62</v>
      </c>
      <c r="S2" s="150" t="s">
        <v>63</v>
      </c>
      <c r="T2" s="152" t="s">
        <v>92</v>
      </c>
      <c r="U2" s="154" t="s">
        <v>93</v>
      </c>
    </row>
    <row r="3" spans="1:21">
      <c r="A3" s="53" t="s">
        <v>94</v>
      </c>
      <c r="B3" s="158"/>
      <c r="C3" s="159"/>
      <c r="D3" s="159" t="s">
        <v>48</v>
      </c>
      <c r="E3" s="54" t="s">
        <v>64</v>
      </c>
      <c r="F3" s="55" t="s">
        <v>65</v>
      </c>
      <c r="G3" s="156"/>
      <c r="H3" s="156"/>
      <c r="I3" s="162"/>
      <c r="J3" s="155"/>
      <c r="K3" s="164"/>
      <c r="L3" s="165"/>
      <c r="M3" s="159"/>
      <c r="N3" s="165"/>
      <c r="O3" s="165"/>
      <c r="P3" s="156"/>
      <c r="Q3" s="149"/>
      <c r="R3" s="149"/>
      <c r="S3" s="151"/>
      <c r="T3" s="153"/>
      <c r="U3" s="154"/>
    </row>
    <row r="4" spans="1:21">
      <c r="A4" s="27">
        <v>1</v>
      </c>
      <c r="B4" s="33" t="s">
        <v>108</v>
      </c>
      <c r="C4" s="33" t="s">
        <v>44</v>
      </c>
      <c r="D4" s="56" t="s">
        <v>70</v>
      </c>
      <c r="E4" s="57"/>
      <c r="F4" s="58">
        <v>0.32100000000000001</v>
      </c>
      <c r="G4" s="59">
        <v>6.7256999999999998</v>
      </c>
      <c r="H4" s="59">
        <f>F4*G4</f>
        <v>2.1589497</v>
      </c>
      <c r="I4" s="60" t="s">
        <v>71</v>
      </c>
      <c r="J4" s="61">
        <v>55</v>
      </c>
      <c r="K4" s="61">
        <f>3600/J4</f>
        <v>65.454545454545453</v>
      </c>
      <c r="L4" s="56">
        <v>1</v>
      </c>
      <c r="M4" s="62">
        <v>121.5</v>
      </c>
      <c r="N4" s="62">
        <v>0.76</v>
      </c>
      <c r="O4" s="62">
        <v>22.5</v>
      </c>
      <c r="P4" s="59">
        <f>O4/J4/L4</f>
        <v>0.40909090909090912</v>
      </c>
      <c r="Q4" s="63"/>
      <c r="R4" s="25">
        <f>39.3472/200+8.8889/30</f>
        <v>0.49303266666666667</v>
      </c>
      <c r="S4" s="22">
        <f>8800/7200</f>
        <v>1.2222222222222223</v>
      </c>
      <c r="T4" s="25"/>
      <c r="U4" s="59">
        <f>(H4+P4+(M4*N4/J4/L4)/2)*1.11+Q4*1.03+R4+S4+T4</f>
        <v>5.4975745104343439</v>
      </c>
    </row>
    <row r="5" spans="1:21">
      <c r="A5" s="27">
        <v>2</v>
      </c>
      <c r="B5" s="33" t="s">
        <v>109</v>
      </c>
      <c r="C5" s="33" t="s">
        <v>110</v>
      </c>
      <c r="D5" s="64" t="s">
        <v>70</v>
      </c>
      <c r="E5" s="57">
        <v>0.33</v>
      </c>
      <c r="F5" s="58">
        <v>0.33600000000000002</v>
      </c>
      <c r="G5" s="59">
        <v>6.7256999999999998</v>
      </c>
      <c r="H5" s="59">
        <f>F5*G5</f>
        <v>2.2598351999999999</v>
      </c>
      <c r="I5" s="60" t="s">
        <v>71</v>
      </c>
      <c r="J5" s="61">
        <v>55.384615384615401</v>
      </c>
      <c r="K5" s="61">
        <f>3600/J5</f>
        <v>64.999999999999986</v>
      </c>
      <c r="L5" s="56">
        <v>1</v>
      </c>
      <c r="M5" s="62">
        <v>121.5</v>
      </c>
      <c r="N5" s="62">
        <v>0.76</v>
      </c>
      <c r="O5" s="62">
        <v>22.5</v>
      </c>
      <c r="P5" s="59">
        <f>O5/J5/L5</f>
        <v>0.40624999999999989</v>
      </c>
      <c r="Q5" s="63"/>
      <c r="R5" s="25">
        <f>39.3472/200+8.8889/30</f>
        <v>0.49303266666666667</v>
      </c>
      <c r="S5" s="22">
        <f>8800/7200</f>
        <v>1.2222222222222223</v>
      </c>
      <c r="T5" s="25"/>
      <c r="U5" s="59">
        <f>(H5+P5+(M5*N5/J5/L5)/2)*1.11+Q5*1.03+R5+S5+T5</f>
        <v>5.5999332108888895</v>
      </c>
    </row>
    <row r="6" spans="1:21">
      <c r="A6" s="27">
        <v>3</v>
      </c>
      <c r="B6" s="33" t="s">
        <v>111</v>
      </c>
      <c r="C6" s="33" t="s">
        <v>112</v>
      </c>
      <c r="D6" s="64" t="s">
        <v>70</v>
      </c>
      <c r="E6" s="57">
        <v>0.33500000000000002</v>
      </c>
      <c r="F6" s="58">
        <v>0.34100000000000003</v>
      </c>
      <c r="G6" s="59">
        <v>6.7256999999999998</v>
      </c>
      <c r="H6" s="59">
        <f>F6*G6</f>
        <v>2.2934637000000002</v>
      </c>
      <c r="I6" s="60" t="s">
        <v>71</v>
      </c>
      <c r="J6" s="61">
        <v>55.384615384615401</v>
      </c>
      <c r="K6" s="61">
        <f>3600/J6</f>
        <v>64.999999999999986</v>
      </c>
      <c r="L6" s="56">
        <v>1</v>
      </c>
      <c r="M6" s="62">
        <v>121.5</v>
      </c>
      <c r="N6" s="62">
        <v>0.76</v>
      </c>
      <c r="O6" s="62">
        <v>22.5</v>
      </c>
      <c r="P6" s="59">
        <f>O6/J6/L6</f>
        <v>0.40624999999999989</v>
      </c>
      <c r="Q6" s="63"/>
      <c r="R6" s="25">
        <f>39.3472/200+8.8889/30</f>
        <v>0.49303266666666667</v>
      </c>
      <c r="S6" s="22">
        <f>8800/7200</f>
        <v>1.2222222222222223</v>
      </c>
      <c r="T6" s="66">
        <v>0.14000000000000001</v>
      </c>
      <c r="U6" s="59">
        <f>(H6+P6+(M6*N6/J6/L6)/2)*1.11+Q6*1.03+R6+S6+T6</f>
        <v>5.7772608458888888</v>
      </c>
    </row>
    <row r="7" spans="1:21">
      <c r="A7" s="27">
        <v>4</v>
      </c>
      <c r="B7" s="33" t="s">
        <v>113</v>
      </c>
      <c r="C7" s="33" t="s">
        <v>44</v>
      </c>
      <c r="D7" s="34" t="s">
        <v>70</v>
      </c>
      <c r="E7" s="29">
        <v>0.31900000000000001</v>
      </c>
      <c r="F7" s="30">
        <v>0.32300000000000001</v>
      </c>
      <c r="G7" s="24">
        <v>6.7256999999999998</v>
      </c>
      <c r="H7" s="24">
        <f>F7*G7</f>
        <v>2.1724011000000001</v>
      </c>
      <c r="I7" s="31" t="s">
        <v>71</v>
      </c>
      <c r="J7" s="32">
        <v>55.384615384615401</v>
      </c>
      <c r="K7" s="32">
        <f>3600/J7</f>
        <v>64.999999999999986</v>
      </c>
      <c r="L7" s="27">
        <v>1</v>
      </c>
      <c r="M7" s="62">
        <v>121.5</v>
      </c>
      <c r="N7" s="33">
        <v>0.76</v>
      </c>
      <c r="O7" s="33">
        <v>22.5</v>
      </c>
      <c r="P7" s="24">
        <f>O7/J7/L7</f>
        <v>0.40624999999999989</v>
      </c>
      <c r="Q7" s="24"/>
      <c r="R7" s="25">
        <f>39.3472/200+8.8889/30</f>
        <v>0.49303266666666667</v>
      </c>
      <c r="S7" s="22">
        <f>8800/7200</f>
        <v>1.2222222222222223</v>
      </c>
      <c r="T7" s="24">
        <v>0.5</v>
      </c>
      <c r="U7" s="59">
        <f>(H7+P7+(M7*N7/J7/L7)/2)*1.11+Q7*1.03+R7+S7+T7</f>
        <v>6.0028813598888888</v>
      </c>
    </row>
    <row r="8" spans="1:21">
      <c r="A8" s="27">
        <v>5</v>
      </c>
      <c r="B8" s="33" t="s">
        <v>114</v>
      </c>
      <c r="C8" s="33" t="s">
        <v>44</v>
      </c>
      <c r="D8" s="34" t="s">
        <v>70</v>
      </c>
      <c r="E8" s="29">
        <v>0.31900000000000001</v>
      </c>
      <c r="F8" s="30">
        <v>0.32300000000000001</v>
      </c>
      <c r="G8" s="24">
        <v>6.7256999999999998</v>
      </c>
      <c r="H8" s="24">
        <f>F8*G8</f>
        <v>2.1724011000000001</v>
      </c>
      <c r="I8" s="31" t="s">
        <v>71</v>
      </c>
      <c r="J8" s="32">
        <v>55.384615384615401</v>
      </c>
      <c r="K8" s="32">
        <f>3600/J8</f>
        <v>64.999999999999986</v>
      </c>
      <c r="L8" s="27">
        <v>1</v>
      </c>
      <c r="M8" s="62">
        <v>121.5</v>
      </c>
      <c r="N8" s="33">
        <v>0.76</v>
      </c>
      <c r="O8" s="33">
        <v>22.5</v>
      </c>
      <c r="P8" s="24">
        <f>O8/J8/L8</f>
        <v>0.40624999999999989</v>
      </c>
      <c r="Q8" s="24"/>
      <c r="R8" s="25">
        <f>39.3472/200+8.8889/30</f>
        <v>0.49303266666666667</v>
      </c>
      <c r="S8" s="22">
        <f>8800/7200</f>
        <v>1.2222222222222223</v>
      </c>
      <c r="T8" s="24">
        <v>0.5</v>
      </c>
      <c r="U8" s="59">
        <f>(H8+P8+(M8*N8/J8/L8)/2)*1.11+Q8*1.03+R8+S8+T8</f>
        <v>6.0028813598888888</v>
      </c>
    </row>
  </sheetData>
  <mergeCells count="20">
    <mergeCell ref="A1:U1"/>
    <mergeCell ref="B2:B3"/>
    <mergeCell ref="C2:C3"/>
    <mergeCell ref="D2:D3"/>
    <mergeCell ref="E2:F2"/>
    <mergeCell ref="G2:G3"/>
    <mergeCell ref="H2:H3"/>
    <mergeCell ref="I2:I3"/>
    <mergeCell ref="K2:K3"/>
    <mergeCell ref="L2:L3"/>
    <mergeCell ref="M2:M3"/>
    <mergeCell ref="N2:N3"/>
    <mergeCell ref="O2:O3"/>
    <mergeCell ref="Q2:Q3"/>
    <mergeCell ref="R2:R3"/>
    <mergeCell ref="S2:S3"/>
    <mergeCell ref="T2:T3"/>
    <mergeCell ref="U2:U3"/>
    <mergeCell ref="J2:J3"/>
    <mergeCell ref="P2:P3"/>
  </mergeCells>
  <phoneticPr fontId="5" type="noConversion"/>
  <pageMargins left="0.7" right="0.7" top="0.75" bottom="0.75" header="0.3" footer="0.3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A854-CD87-4987-AC02-339866AB9170}">
  <dimension ref="A1:V4"/>
  <sheetViews>
    <sheetView workbookViewId="0">
      <selection activeCell="L11" sqref="L11"/>
    </sheetView>
  </sheetViews>
  <sheetFormatPr defaultRowHeight="17.25"/>
  <cols>
    <col min="1" max="1" width="3.25" style="71" bestFit="1" customWidth="1"/>
    <col min="2" max="2" width="9.5" style="71" bestFit="1" customWidth="1"/>
    <col min="3" max="3" width="13.125" style="71" bestFit="1" customWidth="1"/>
    <col min="4" max="4" width="17.625" style="71" bestFit="1" customWidth="1"/>
    <col min="5" max="6" width="6" style="71" bestFit="1" customWidth="1"/>
    <col min="7" max="7" width="7.75" style="71" customWidth="1"/>
    <col min="8" max="8" width="7.125" style="71" bestFit="1" customWidth="1"/>
    <col min="9" max="9" width="6.625" style="71" bestFit="1" customWidth="1"/>
    <col min="10" max="10" width="8.125" style="71" bestFit="1" customWidth="1"/>
    <col min="11" max="11" width="5.625" style="71" bestFit="1" customWidth="1"/>
    <col min="12" max="12" width="5.25" style="71" bestFit="1" customWidth="1"/>
    <col min="13" max="13" width="5.625" style="71" customWidth="1"/>
    <col min="14" max="14" width="6" style="71" bestFit="1" customWidth="1"/>
    <col min="15" max="15" width="5" style="71" bestFit="1" customWidth="1"/>
    <col min="16" max="16" width="5.125" style="71" bestFit="1" customWidth="1"/>
    <col min="17" max="17" width="5" style="71" bestFit="1" customWidth="1"/>
    <col min="18" max="18" width="7.125" style="71" bestFit="1" customWidth="1"/>
    <col min="19" max="19" width="6.625" style="71" bestFit="1" customWidth="1"/>
    <col min="20" max="20" width="7.125" style="71" bestFit="1" customWidth="1"/>
    <col min="21" max="21" width="9" style="71"/>
    <col min="22" max="22" width="10.25" style="71" customWidth="1"/>
    <col min="23" max="16384" width="9" style="71"/>
  </cols>
  <sheetData>
    <row r="1" spans="1:22">
      <c r="A1" s="157" t="s">
        <v>105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1:22" ht="16.5" customHeight="1">
      <c r="A2" s="68" t="s">
        <v>117</v>
      </c>
      <c r="B2" s="180" t="s">
        <v>89</v>
      </c>
      <c r="C2" s="169" t="s">
        <v>90</v>
      </c>
      <c r="D2" s="169" t="s">
        <v>48</v>
      </c>
      <c r="E2" s="181" t="s">
        <v>49</v>
      </c>
      <c r="F2" s="182"/>
      <c r="G2" s="175" t="s">
        <v>50</v>
      </c>
      <c r="H2" s="178" t="s">
        <v>118</v>
      </c>
      <c r="I2" s="185" t="s">
        <v>52</v>
      </c>
      <c r="J2" s="170" t="s">
        <v>53</v>
      </c>
      <c r="K2" s="174" t="s">
        <v>54</v>
      </c>
      <c r="L2" s="166" t="s">
        <v>55</v>
      </c>
      <c r="M2" s="168" t="s">
        <v>120</v>
      </c>
      <c r="N2" s="169" t="s">
        <v>57</v>
      </c>
      <c r="O2" s="168" t="s">
        <v>121</v>
      </c>
      <c r="P2" s="168" t="s">
        <v>122</v>
      </c>
      <c r="Q2" s="175" t="s">
        <v>123</v>
      </c>
      <c r="R2" s="171" t="s">
        <v>61</v>
      </c>
      <c r="S2" s="172" t="s">
        <v>62</v>
      </c>
      <c r="T2" s="183" t="s">
        <v>63</v>
      </c>
      <c r="U2" s="176" t="s">
        <v>119</v>
      </c>
      <c r="V2" s="173" t="s">
        <v>93</v>
      </c>
    </row>
    <row r="3" spans="1:22">
      <c r="A3" s="69" t="s">
        <v>94</v>
      </c>
      <c r="B3" s="180"/>
      <c r="C3" s="169"/>
      <c r="D3" s="169" t="s">
        <v>48</v>
      </c>
      <c r="E3" s="70" t="s">
        <v>64</v>
      </c>
      <c r="F3" s="70" t="s">
        <v>65</v>
      </c>
      <c r="G3" s="175"/>
      <c r="H3" s="179"/>
      <c r="I3" s="185"/>
      <c r="J3" s="170"/>
      <c r="K3" s="174"/>
      <c r="L3" s="167"/>
      <c r="M3" s="168"/>
      <c r="N3" s="169"/>
      <c r="O3" s="168"/>
      <c r="P3" s="168"/>
      <c r="Q3" s="175"/>
      <c r="R3" s="171"/>
      <c r="S3" s="171"/>
      <c r="T3" s="184"/>
      <c r="U3" s="177"/>
      <c r="V3" s="173"/>
    </row>
    <row r="4" spans="1:22">
      <c r="A4" s="72">
        <v>1</v>
      </c>
      <c r="B4" s="73" t="s">
        <v>115</v>
      </c>
      <c r="C4" s="73" t="s">
        <v>116</v>
      </c>
      <c r="D4" s="67" t="s">
        <v>70</v>
      </c>
      <c r="E4" s="43">
        <v>0.31900000000000001</v>
      </c>
      <c r="F4" s="43">
        <v>0.32300000000000001</v>
      </c>
      <c r="G4" s="44">
        <v>6.7256999999999998</v>
      </c>
      <c r="H4" s="44"/>
      <c r="I4" s="44">
        <f>F4*G4</f>
        <v>2.1724011000000001</v>
      </c>
      <c r="J4" s="46" t="s">
        <v>71</v>
      </c>
      <c r="K4" s="47">
        <v>55.384615384615401</v>
      </c>
      <c r="L4" s="47">
        <f>3600/K4</f>
        <v>64.999999999999986</v>
      </c>
      <c r="M4" s="48">
        <v>1</v>
      </c>
      <c r="N4" s="45">
        <v>120.5</v>
      </c>
      <c r="O4" s="45">
        <v>0.76</v>
      </c>
      <c r="P4" s="45">
        <v>22.5</v>
      </c>
      <c r="Q4" s="44">
        <f>P4/K4/M4</f>
        <v>0.40624999999999989</v>
      </c>
      <c r="R4" s="49"/>
      <c r="S4" s="50">
        <f>39.3472/200+8.8889/30</f>
        <v>0.49303266666666667</v>
      </c>
      <c r="T4" s="50">
        <f>35/30</f>
        <v>1.1666666666666667</v>
      </c>
      <c r="U4" s="50"/>
      <c r="V4" s="44">
        <f>(I4+Q4+(N4*O4/K4/M4)/2)*1.11+R4*1.03+S4+T4+U4</f>
        <v>5.4397099710000001</v>
      </c>
    </row>
  </sheetData>
  <mergeCells count="21">
    <mergeCell ref="D2:D3"/>
    <mergeCell ref="E2:F2"/>
    <mergeCell ref="G2:G3"/>
    <mergeCell ref="T2:T3"/>
    <mergeCell ref="I2:I3"/>
    <mergeCell ref="A1:V1"/>
    <mergeCell ref="L2:L3"/>
    <mergeCell ref="M2:M3"/>
    <mergeCell ref="N2:N3"/>
    <mergeCell ref="O2:O3"/>
    <mergeCell ref="J2:J3"/>
    <mergeCell ref="R2:R3"/>
    <mergeCell ref="S2:S3"/>
    <mergeCell ref="V2:V3"/>
    <mergeCell ref="K2:K3"/>
    <mergeCell ref="P2:P3"/>
    <mergeCell ref="Q2:Q3"/>
    <mergeCell ref="U2:U3"/>
    <mergeCell ref="H2:H3"/>
    <mergeCell ref="B2:B3"/>
    <mergeCell ref="C2:C3"/>
  </mergeCells>
  <phoneticPr fontId="5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72B1A-C2B3-42FE-AEBF-58FB32439AAD}">
  <dimension ref="A1:J6"/>
  <sheetViews>
    <sheetView workbookViewId="0">
      <selection sqref="A1:J2"/>
    </sheetView>
  </sheetViews>
  <sheetFormatPr defaultRowHeight="14.25"/>
  <cols>
    <col min="1" max="1" width="5.5" bestFit="1" customWidth="1"/>
    <col min="2" max="2" width="9.25" bestFit="1" customWidth="1"/>
    <col min="3" max="3" width="13.25" bestFit="1" customWidth="1"/>
    <col min="4" max="4" width="9.25" bestFit="1" customWidth="1"/>
    <col min="5" max="5" width="17.5" bestFit="1" customWidth="1"/>
    <col min="6" max="6" width="39.375" bestFit="1" customWidth="1"/>
    <col min="9" max="9" width="10.75" bestFit="1" customWidth="1"/>
  </cols>
  <sheetData>
    <row r="1" spans="1:10" ht="2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124</v>
      </c>
      <c r="J2" s="17" t="s">
        <v>10</v>
      </c>
    </row>
    <row r="3" spans="1:10" ht="33">
      <c r="A3" s="11">
        <v>1</v>
      </c>
      <c r="B3" s="11" t="s">
        <v>125</v>
      </c>
      <c r="C3" s="12"/>
      <c r="D3" s="13"/>
      <c r="E3" s="74" t="s">
        <v>126</v>
      </c>
      <c r="F3" s="75" t="s">
        <v>127</v>
      </c>
      <c r="G3" s="75" t="s">
        <v>128</v>
      </c>
      <c r="H3" s="11" t="s">
        <v>129</v>
      </c>
      <c r="I3" s="12">
        <f>47.11*1.03</f>
        <v>48.523299999999999</v>
      </c>
      <c r="J3" s="12"/>
    </row>
    <row r="4" spans="1:10" ht="16.5">
      <c r="A4" s="11">
        <v>2</v>
      </c>
      <c r="B4" s="11" t="s">
        <v>125</v>
      </c>
      <c r="C4" s="12"/>
      <c r="D4" s="13"/>
      <c r="E4" s="12" t="s">
        <v>130</v>
      </c>
      <c r="F4" s="14" t="s">
        <v>131</v>
      </c>
      <c r="G4" s="75" t="s">
        <v>128</v>
      </c>
      <c r="H4" s="11" t="s">
        <v>129</v>
      </c>
      <c r="I4" s="12">
        <v>453.98230000000001</v>
      </c>
      <c r="J4" s="12"/>
    </row>
    <row r="5" spans="1:10" ht="16.5">
      <c r="A5" s="11">
        <v>3</v>
      </c>
      <c r="B5" s="11" t="s">
        <v>125</v>
      </c>
      <c r="C5" s="12"/>
      <c r="D5" s="13"/>
      <c r="E5" s="12" t="s">
        <v>132</v>
      </c>
      <c r="F5" s="14" t="s">
        <v>133</v>
      </c>
      <c r="G5" s="75" t="s">
        <v>128</v>
      </c>
      <c r="H5" s="11" t="s">
        <v>129</v>
      </c>
      <c r="I5" s="12">
        <v>949.55751999999995</v>
      </c>
      <c r="J5" s="12"/>
    </row>
    <row r="6" spans="1:10" ht="16.5">
      <c r="A6" s="11">
        <v>4</v>
      </c>
      <c r="B6" s="11" t="s">
        <v>125</v>
      </c>
      <c r="C6" s="12"/>
      <c r="D6" s="13"/>
      <c r="E6" s="12" t="s">
        <v>134</v>
      </c>
      <c r="F6" s="14" t="s">
        <v>135</v>
      </c>
      <c r="G6" s="75" t="s">
        <v>128</v>
      </c>
      <c r="H6" s="11" t="s">
        <v>129</v>
      </c>
      <c r="I6" s="12">
        <v>510.61946</v>
      </c>
      <c r="J6" s="12"/>
    </row>
  </sheetData>
  <mergeCells count="1">
    <mergeCell ref="A1:J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1AB1-7352-43A1-964A-D080E4617120}">
  <dimension ref="A1:V4"/>
  <sheetViews>
    <sheetView workbookViewId="0">
      <selection activeCell="G31" sqref="G31"/>
    </sheetView>
  </sheetViews>
  <sheetFormatPr defaultRowHeight="14.25"/>
  <cols>
    <col min="1" max="1" width="5.75" bestFit="1" customWidth="1"/>
    <col min="2" max="2" width="11.625" bestFit="1" customWidth="1"/>
    <col min="3" max="3" width="36.5" bestFit="1" customWidth="1"/>
    <col min="4" max="4" width="7.125" bestFit="1" customWidth="1"/>
    <col min="5" max="6" width="5.5" bestFit="1" customWidth="1"/>
    <col min="7" max="7" width="9.375" customWidth="1"/>
    <col min="8" max="8" width="7.375" bestFit="1" customWidth="1"/>
    <col min="9" max="9" width="8.125" bestFit="1" customWidth="1"/>
    <col min="10" max="10" width="12.125" bestFit="1" customWidth="1"/>
    <col min="11" max="11" width="5.625" customWidth="1"/>
    <col min="12" max="12" width="6.375" bestFit="1" customWidth="1"/>
    <col min="13" max="13" width="5.5" customWidth="1"/>
    <col min="14" max="14" width="7.375" bestFit="1" customWidth="1"/>
    <col min="15" max="15" width="5.5" customWidth="1"/>
    <col min="16" max="16" width="5.625" customWidth="1"/>
    <col min="17" max="17" width="6" customWidth="1"/>
    <col min="18" max="18" width="7.375" bestFit="1" customWidth="1"/>
    <col min="19" max="20" width="5.25" customWidth="1"/>
    <col min="21" max="21" width="6" customWidth="1"/>
  </cols>
  <sheetData>
    <row r="1" spans="1:22">
      <c r="A1" s="103" t="s">
        <v>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2" ht="16.5">
      <c r="A2" s="116" t="s">
        <v>47</v>
      </c>
      <c r="B2" s="116" t="s">
        <v>35</v>
      </c>
      <c r="C2" s="116" t="s">
        <v>36</v>
      </c>
      <c r="D2" s="114" t="s">
        <v>48</v>
      </c>
      <c r="E2" s="125" t="s">
        <v>49</v>
      </c>
      <c r="F2" s="126"/>
      <c r="G2" s="110" t="s">
        <v>50</v>
      </c>
      <c r="H2" s="110" t="s">
        <v>51</v>
      </c>
      <c r="I2" s="119" t="s">
        <v>52</v>
      </c>
      <c r="J2" s="121" t="s">
        <v>53</v>
      </c>
      <c r="K2" s="110" t="s">
        <v>54</v>
      </c>
      <c r="L2" s="112" t="s">
        <v>55</v>
      </c>
      <c r="M2" s="108" t="s">
        <v>56</v>
      </c>
      <c r="N2" s="114" t="s">
        <v>57</v>
      </c>
      <c r="O2" s="108" t="s">
        <v>58</v>
      </c>
      <c r="P2" s="108" t="s">
        <v>59</v>
      </c>
      <c r="Q2" s="110" t="s">
        <v>60</v>
      </c>
      <c r="R2" s="117" t="s">
        <v>61</v>
      </c>
      <c r="S2" s="123" t="s">
        <v>62</v>
      </c>
      <c r="T2" s="104" t="s">
        <v>63</v>
      </c>
      <c r="U2" s="106" t="s">
        <v>85</v>
      </c>
      <c r="V2" s="108" t="s">
        <v>73</v>
      </c>
    </row>
    <row r="3" spans="1:22" ht="16.5">
      <c r="A3" s="116"/>
      <c r="B3" s="116"/>
      <c r="C3" s="116"/>
      <c r="D3" s="115"/>
      <c r="E3" s="26" t="s">
        <v>64</v>
      </c>
      <c r="F3" s="26" t="s">
        <v>65</v>
      </c>
      <c r="G3" s="111"/>
      <c r="H3" s="111"/>
      <c r="I3" s="120"/>
      <c r="J3" s="122"/>
      <c r="K3" s="111"/>
      <c r="L3" s="113"/>
      <c r="M3" s="109"/>
      <c r="N3" s="115"/>
      <c r="O3" s="109"/>
      <c r="P3" s="109"/>
      <c r="Q3" s="111"/>
      <c r="R3" s="118"/>
      <c r="S3" s="124"/>
      <c r="T3" s="105"/>
      <c r="U3" s="107"/>
      <c r="V3" s="109"/>
    </row>
    <row r="4" spans="1:22" ht="16.5">
      <c r="A4" s="27">
        <v>1</v>
      </c>
      <c r="B4" s="33" t="s">
        <v>136</v>
      </c>
      <c r="C4" s="33" t="s">
        <v>137</v>
      </c>
      <c r="D4" s="48" t="s">
        <v>138</v>
      </c>
      <c r="E4" s="43"/>
      <c r="F4" s="43">
        <v>0.309</v>
      </c>
      <c r="G4" s="44">
        <v>6.73</v>
      </c>
      <c r="H4" s="76">
        <v>1</v>
      </c>
      <c r="I4" s="44">
        <f>F4*G4/H4</f>
        <v>2.0795699999999999</v>
      </c>
      <c r="J4" s="46" t="s">
        <v>139</v>
      </c>
      <c r="K4" s="45">
        <v>65</v>
      </c>
      <c r="L4" s="47">
        <f>3600/K4</f>
        <v>55.384615384615387</v>
      </c>
      <c r="M4" s="48">
        <v>1</v>
      </c>
      <c r="N4" s="45">
        <v>111.35</v>
      </c>
      <c r="O4" s="45">
        <v>0.76</v>
      </c>
      <c r="P4" s="45">
        <v>22.5</v>
      </c>
      <c r="Q4" s="44">
        <f>P4/K4/M4</f>
        <v>0.34615384615384615</v>
      </c>
      <c r="R4" s="49"/>
      <c r="S4" s="50">
        <v>0.4</v>
      </c>
      <c r="T4" s="50">
        <v>1.17</v>
      </c>
      <c r="U4" s="50">
        <v>0.5</v>
      </c>
      <c r="V4" s="44">
        <f>(I4+Q4+(N4*O4/K4/M4)/2)*1.11+R4*1.03+S4+T4+U4</f>
        <v>5.485129315384615</v>
      </c>
    </row>
  </sheetData>
  <mergeCells count="22">
    <mergeCell ref="P2:P3"/>
    <mergeCell ref="Q2:Q3"/>
    <mergeCell ref="R2:R3"/>
    <mergeCell ref="S2:S3"/>
    <mergeCell ref="N2:N3"/>
    <mergeCell ref="O2:O3"/>
    <mergeCell ref="A1:V1"/>
    <mergeCell ref="A2:A3"/>
    <mergeCell ref="B2:B3"/>
    <mergeCell ref="C2:C3"/>
    <mergeCell ref="D2:D3"/>
    <mergeCell ref="T2:T3"/>
    <mergeCell ref="U2:U3"/>
    <mergeCell ref="K2:K3"/>
    <mergeCell ref="L2:L3"/>
    <mergeCell ref="M2:M3"/>
    <mergeCell ref="E2:F2"/>
    <mergeCell ref="G2:G3"/>
    <mergeCell ref="H2:H3"/>
    <mergeCell ref="I2:I3"/>
    <mergeCell ref="J2:J3"/>
    <mergeCell ref="V2:V3"/>
  </mergeCells>
  <phoneticPr fontId="5" type="noConversion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179C2-AF7E-408A-A3BA-61FFF3EF4FBF}">
  <dimension ref="A1:V5"/>
  <sheetViews>
    <sheetView workbookViewId="0">
      <selection activeCell="D2" sqref="D2:V3"/>
    </sheetView>
  </sheetViews>
  <sheetFormatPr defaultRowHeight="14.25"/>
  <cols>
    <col min="1" max="1" width="5.75" bestFit="1" customWidth="1"/>
    <col min="2" max="2" width="10.5" bestFit="1" customWidth="1"/>
    <col min="3" max="3" width="14.625" bestFit="1" customWidth="1"/>
    <col min="4" max="4" width="17.625" bestFit="1" customWidth="1"/>
    <col min="5" max="6" width="5.875" bestFit="1" customWidth="1"/>
    <col min="7" max="7" width="9" customWidth="1"/>
    <col min="8" max="8" width="7.375" bestFit="1" customWidth="1"/>
    <col min="9" max="9" width="8.125" bestFit="1" customWidth="1"/>
    <col min="10" max="10" width="13.875" bestFit="1" customWidth="1"/>
    <col min="11" max="11" width="5.875" customWidth="1"/>
    <col min="12" max="12" width="6.375" bestFit="1" customWidth="1"/>
    <col min="13" max="13" width="5.625" customWidth="1"/>
    <col min="14" max="14" width="7.375" bestFit="1" customWidth="1"/>
    <col min="15" max="15" width="5.5" customWidth="1"/>
    <col min="16" max="16" width="6.125" customWidth="1"/>
    <col min="17" max="17" width="5.25" customWidth="1"/>
    <col min="18" max="18" width="7.375" bestFit="1" customWidth="1"/>
    <col min="19" max="19" width="8.125" bestFit="1" customWidth="1"/>
    <col min="20" max="20" width="6" customWidth="1"/>
    <col min="21" max="21" width="6.75" customWidth="1"/>
    <col min="22" max="22" width="9" customWidth="1"/>
  </cols>
  <sheetData>
    <row r="1" spans="1:22" ht="17.25">
      <c r="A1" s="136" t="s">
        <v>87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</row>
    <row r="2" spans="1:22" ht="16.5">
      <c r="A2" s="116" t="s">
        <v>47</v>
      </c>
      <c r="B2" s="116" t="s">
        <v>35</v>
      </c>
      <c r="C2" s="116" t="s">
        <v>36</v>
      </c>
      <c r="D2" s="114" t="s">
        <v>48</v>
      </c>
      <c r="E2" s="125" t="s">
        <v>49</v>
      </c>
      <c r="F2" s="126"/>
      <c r="G2" s="110" t="s">
        <v>50</v>
      </c>
      <c r="H2" s="110" t="s">
        <v>51</v>
      </c>
      <c r="I2" s="119" t="s">
        <v>52</v>
      </c>
      <c r="J2" s="121" t="s">
        <v>53</v>
      </c>
      <c r="K2" s="110" t="s">
        <v>54</v>
      </c>
      <c r="L2" s="112" t="s">
        <v>55</v>
      </c>
      <c r="M2" s="108" t="s">
        <v>56</v>
      </c>
      <c r="N2" s="114" t="s">
        <v>57</v>
      </c>
      <c r="O2" s="108" t="s">
        <v>58</v>
      </c>
      <c r="P2" s="108" t="s">
        <v>59</v>
      </c>
      <c r="Q2" s="110" t="s">
        <v>60</v>
      </c>
      <c r="R2" s="117" t="s">
        <v>61</v>
      </c>
      <c r="S2" s="123" t="s">
        <v>62</v>
      </c>
      <c r="T2" s="104" t="s">
        <v>63</v>
      </c>
      <c r="U2" s="106" t="s">
        <v>85</v>
      </c>
      <c r="V2" s="108" t="s">
        <v>73</v>
      </c>
    </row>
    <row r="3" spans="1:22" ht="16.5">
      <c r="A3" s="116"/>
      <c r="B3" s="116"/>
      <c r="C3" s="116"/>
      <c r="D3" s="115"/>
      <c r="E3" s="26" t="s">
        <v>64</v>
      </c>
      <c r="F3" s="26" t="s">
        <v>65</v>
      </c>
      <c r="G3" s="111"/>
      <c r="H3" s="111"/>
      <c r="I3" s="120"/>
      <c r="J3" s="122"/>
      <c r="K3" s="111"/>
      <c r="L3" s="113"/>
      <c r="M3" s="109"/>
      <c r="N3" s="115"/>
      <c r="O3" s="109"/>
      <c r="P3" s="109"/>
      <c r="Q3" s="111"/>
      <c r="R3" s="118"/>
      <c r="S3" s="124"/>
      <c r="T3" s="105"/>
      <c r="U3" s="107"/>
      <c r="V3" s="109"/>
    </row>
    <row r="4" spans="1:22">
      <c r="A4" s="77">
        <v>1</v>
      </c>
      <c r="B4" s="48" t="s">
        <v>140</v>
      </c>
      <c r="C4" s="48" t="s">
        <v>102</v>
      </c>
      <c r="D4" s="67" t="s">
        <v>70</v>
      </c>
      <c r="E4" s="43">
        <v>0.28100000000000003</v>
      </c>
      <c r="F4" s="43">
        <v>0.28999999999999998</v>
      </c>
      <c r="G4" s="44">
        <v>6.7256999999999998</v>
      </c>
      <c r="H4" s="76"/>
      <c r="I4" s="44">
        <f>F4*G4</f>
        <v>1.9504529999999998</v>
      </c>
      <c r="J4" s="46" t="s">
        <v>71</v>
      </c>
      <c r="K4" s="47">
        <v>55.384615384615401</v>
      </c>
      <c r="L4" s="47">
        <f>3600/K4</f>
        <v>64.999999999999986</v>
      </c>
      <c r="M4" s="48">
        <v>1</v>
      </c>
      <c r="N4" s="45">
        <v>120.5</v>
      </c>
      <c r="O4" s="45">
        <v>0.76</v>
      </c>
      <c r="P4" s="45">
        <v>22.5</v>
      </c>
      <c r="Q4" s="44">
        <f>P4/K4/M4</f>
        <v>0.40624999999999989</v>
      </c>
      <c r="R4" s="49">
        <v>0.14204765342960299</v>
      </c>
      <c r="S4" s="50">
        <v>0.4</v>
      </c>
      <c r="T4" s="50">
        <v>1.2</v>
      </c>
      <c r="U4" s="50">
        <v>0.5</v>
      </c>
      <c r="V4" s="44">
        <f>(I4+Q4+(N4*O4/K4/M4)/2)*1.11+R4*1.03+S4+T4+U4</f>
        <v>5.7799573296991573</v>
      </c>
    </row>
    <row r="5" spans="1:22">
      <c r="A5" s="77">
        <v>2</v>
      </c>
      <c r="B5" s="48" t="s">
        <v>141</v>
      </c>
      <c r="C5" s="48" t="s">
        <v>143</v>
      </c>
      <c r="D5" s="67" t="s">
        <v>142</v>
      </c>
      <c r="E5" s="43">
        <v>1.67E-2</v>
      </c>
      <c r="F5" s="43">
        <v>2.1000000000000001E-2</v>
      </c>
      <c r="G5" s="44">
        <v>8.7611000000000008</v>
      </c>
      <c r="H5" s="76"/>
      <c r="I5" s="44">
        <f>F5*G5</f>
        <v>0.18398310000000004</v>
      </c>
      <c r="J5" s="46" t="s">
        <v>86</v>
      </c>
      <c r="K5" s="47">
        <v>51.428571428571402</v>
      </c>
      <c r="L5" s="47">
        <f>3600/K5</f>
        <v>70.000000000000043</v>
      </c>
      <c r="M5" s="48">
        <v>2</v>
      </c>
      <c r="N5" s="45">
        <v>67</v>
      </c>
      <c r="O5" s="45">
        <v>0.76</v>
      </c>
      <c r="P5" s="45">
        <v>22.5</v>
      </c>
      <c r="Q5" s="44">
        <f>P5/K5/M5</f>
        <v>0.21875000000000011</v>
      </c>
      <c r="R5" s="49">
        <v>1.307E-3</v>
      </c>
      <c r="S5" s="50">
        <v>1.9690249999999999E-2</v>
      </c>
      <c r="T5" s="50">
        <v>3.1784558483587612E-2</v>
      </c>
      <c r="U5" s="50"/>
      <c r="V5" s="44">
        <f>(I5+Q5+(N5*O5/K5/M5)/2)*1.11+R5*1.03+S5+T5+U5</f>
        <v>0.77461059281692135</v>
      </c>
    </row>
  </sheetData>
  <mergeCells count="22">
    <mergeCell ref="V2:V3"/>
    <mergeCell ref="Q2:Q3"/>
    <mergeCell ref="R2:R3"/>
    <mergeCell ref="S2:S3"/>
    <mergeCell ref="T2:T3"/>
    <mergeCell ref="U2:U3"/>
    <mergeCell ref="A1:V1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phoneticPr fontId="5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报价需求</vt:lpstr>
      <vt:lpstr>报价明细</vt:lpstr>
      <vt:lpstr>2024.2.26</vt:lpstr>
      <vt:lpstr>2024.4.2</vt:lpstr>
      <vt:lpstr>2024.4.30</vt:lpstr>
      <vt:lpstr>2024.6.3</vt:lpstr>
      <vt:lpstr>2024.8.12</vt:lpstr>
      <vt:lpstr>2024.8.15</vt:lpstr>
      <vt:lpstr>2024.9.29</vt:lpstr>
      <vt:lpstr>2024.10.29</vt:lpstr>
      <vt:lpstr>2024.10.30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Administrator</cp:lastModifiedBy>
  <dcterms:created xsi:type="dcterms:W3CDTF">2016-12-02T08:54:00Z</dcterms:created>
  <dcterms:modified xsi:type="dcterms:W3CDTF">2024-11-09T01:32:18Z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29AEF73088B7427482C01A339AEDEC25</vt:lpwstr>
  </property>
</Properties>
</file>