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ktop\冲压车间委外加工\"/>
    </mc:Choice>
  </mc:AlternateContent>
  <xr:revisionPtr revIDLastSave="0" documentId="13_ncr:1_{B9A4ECD9-602A-4E7A-951F-A8254362D5A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汇总" sheetId="14" r:id="rId1"/>
    <sheet name="冲压工序费" sheetId="12" r:id="rId2"/>
    <sheet name="包工包料" sheetId="11" r:id="rId3"/>
    <sheet name="待料加工" sheetId="13" r:id="rId4"/>
    <sheet name="Sheet5" sheetId="15" r:id="rId5"/>
    <sheet name="Sheet2" sheetId="7" state="hidden" r:id="rId6"/>
  </sheets>
  <calcPr calcId="191029"/>
</workbook>
</file>

<file path=xl/calcChain.xml><?xml version="1.0" encoding="utf-8"?>
<calcChain xmlns="http://schemas.openxmlformats.org/spreadsheetml/2006/main">
  <c r="L6" i="14" l="1"/>
  <c r="L4" i="14"/>
  <c r="L5" i="14"/>
  <c r="L7" i="14"/>
  <c r="L8" i="14"/>
  <c r="L9" i="14"/>
  <c r="H4" i="14"/>
  <c r="H5" i="14"/>
  <c r="K5" i="14" s="1"/>
  <c r="P6" i="14" s="1"/>
  <c r="H6" i="14"/>
  <c r="H7" i="14"/>
  <c r="H8" i="14"/>
  <c r="H9" i="14"/>
  <c r="H3" i="14"/>
  <c r="K3" i="14" s="1"/>
  <c r="V4" i="13"/>
  <c r="T52" i="13"/>
  <c r="O52" i="13"/>
  <c r="N52" i="13"/>
  <c r="T47" i="13"/>
  <c r="R47" i="13"/>
  <c r="Y46" i="13"/>
  <c r="V46" i="13"/>
  <c r="T46" i="13"/>
  <c r="R46" i="13"/>
  <c r="O46" i="13"/>
  <c r="N46" i="13"/>
  <c r="M46" i="13"/>
  <c r="G46" i="13"/>
  <c r="F46" i="13"/>
  <c r="T45" i="13"/>
  <c r="O45" i="13"/>
  <c r="N45" i="13"/>
  <c r="T40" i="13"/>
  <c r="R40" i="13"/>
  <c r="Y39" i="13"/>
  <c r="V39" i="13"/>
  <c r="T39" i="13"/>
  <c r="R39" i="13"/>
  <c r="O39" i="13"/>
  <c r="N39" i="13"/>
  <c r="M39" i="13"/>
  <c r="G39" i="13"/>
  <c r="F39" i="13"/>
  <c r="T38" i="13"/>
  <c r="O38" i="13"/>
  <c r="N38" i="13"/>
  <c r="T33" i="13"/>
  <c r="R33" i="13"/>
  <c r="Y32" i="13"/>
  <c r="V32" i="13"/>
  <c r="T32" i="13"/>
  <c r="R32" i="13"/>
  <c r="O32" i="13"/>
  <c r="N32" i="13"/>
  <c r="M32" i="13"/>
  <c r="G32" i="13"/>
  <c r="F32" i="13"/>
  <c r="T31" i="13"/>
  <c r="O31" i="13"/>
  <c r="N31" i="13"/>
  <c r="T27" i="13"/>
  <c r="R27" i="13"/>
  <c r="T26" i="13"/>
  <c r="R26" i="13"/>
  <c r="Y25" i="13"/>
  <c r="V25" i="13"/>
  <c r="T25" i="13"/>
  <c r="R25" i="13"/>
  <c r="O25" i="13"/>
  <c r="N25" i="13"/>
  <c r="M25" i="13"/>
  <c r="T24" i="13"/>
  <c r="O24" i="13"/>
  <c r="N24" i="13"/>
  <c r="T19" i="13"/>
  <c r="R19" i="13"/>
  <c r="Y18" i="13"/>
  <c r="V18" i="13"/>
  <c r="T18" i="13"/>
  <c r="R18" i="13"/>
  <c r="O18" i="13"/>
  <c r="N18" i="13"/>
  <c r="M18" i="13"/>
  <c r="K18" i="13"/>
  <c r="T17" i="13"/>
  <c r="O17" i="13"/>
  <c r="N17" i="13"/>
  <c r="T16" i="13"/>
  <c r="R16" i="13"/>
  <c r="T15" i="13"/>
  <c r="R15" i="13"/>
  <c r="T14" i="13"/>
  <c r="R14" i="13"/>
  <c r="T13" i="13"/>
  <c r="R13" i="13"/>
  <c r="T12" i="13"/>
  <c r="Y11" i="13"/>
  <c r="V11" i="13"/>
  <c r="T11" i="13"/>
  <c r="R11" i="13"/>
  <c r="O11" i="13"/>
  <c r="N11" i="13"/>
  <c r="M11" i="13"/>
  <c r="T10" i="13"/>
  <c r="O10" i="13"/>
  <c r="N10" i="13"/>
  <c r="T9" i="13"/>
  <c r="R9" i="13"/>
  <c r="T8" i="13"/>
  <c r="R8" i="13"/>
  <c r="T7" i="13"/>
  <c r="R7" i="13"/>
  <c r="T6" i="13"/>
  <c r="R6" i="13"/>
  <c r="T5" i="13"/>
  <c r="Y4" i="13"/>
  <c r="T4" i="13"/>
  <c r="R4" i="13"/>
  <c r="O4" i="13"/>
  <c r="N4" i="13"/>
  <c r="M4" i="13"/>
  <c r="S52" i="11"/>
  <c r="N52" i="11"/>
  <c r="S47" i="11"/>
  <c r="Q47" i="11"/>
  <c r="X46" i="11"/>
  <c r="U46" i="11"/>
  <c r="S46" i="11"/>
  <c r="Q46" i="11"/>
  <c r="N46" i="11"/>
  <c r="M46" i="11"/>
  <c r="K46" i="11"/>
  <c r="G46" i="11"/>
  <c r="F46" i="11"/>
  <c r="S45" i="11"/>
  <c r="N45" i="11"/>
  <c r="S40" i="11"/>
  <c r="Q40" i="11"/>
  <c r="X39" i="11"/>
  <c r="U39" i="11"/>
  <c r="S39" i="11"/>
  <c r="Q39" i="11"/>
  <c r="N39" i="11"/>
  <c r="M39" i="11"/>
  <c r="K39" i="11"/>
  <c r="G39" i="11"/>
  <c r="F39" i="11"/>
  <c r="S38" i="11"/>
  <c r="N38" i="11"/>
  <c r="S33" i="11"/>
  <c r="Q33" i="11"/>
  <c r="X32" i="11"/>
  <c r="U32" i="11"/>
  <c r="S32" i="11"/>
  <c r="Q32" i="11"/>
  <c r="N32" i="11"/>
  <c r="M32" i="11"/>
  <c r="K32" i="11"/>
  <c r="G32" i="11"/>
  <c r="F32" i="11"/>
  <c r="S31" i="11"/>
  <c r="N31" i="11"/>
  <c r="S27" i="11"/>
  <c r="Q27" i="11"/>
  <c r="S26" i="11"/>
  <c r="Q26" i="11"/>
  <c r="X25" i="11"/>
  <c r="U25" i="11"/>
  <c r="S25" i="11"/>
  <c r="Q25" i="11"/>
  <c r="N25" i="11"/>
  <c r="M25" i="11"/>
  <c r="K25" i="11"/>
  <c r="G25" i="11"/>
  <c r="F25" i="11"/>
  <c r="S24" i="11"/>
  <c r="N24" i="11"/>
  <c r="S19" i="11"/>
  <c r="Q19" i="11"/>
  <c r="X18" i="11"/>
  <c r="U18" i="11"/>
  <c r="S18" i="11"/>
  <c r="Q18" i="11"/>
  <c r="N18" i="11"/>
  <c r="M18" i="11"/>
  <c r="K18" i="11"/>
  <c r="G18" i="11"/>
  <c r="F18" i="11"/>
  <c r="S17" i="11"/>
  <c r="N17" i="11"/>
  <c r="S16" i="11"/>
  <c r="Q16" i="11"/>
  <c r="S15" i="11"/>
  <c r="Q15" i="11"/>
  <c r="S14" i="11"/>
  <c r="Q14" i="11"/>
  <c r="S13" i="11"/>
  <c r="Q13" i="11"/>
  <c r="S12" i="11"/>
  <c r="X11" i="11"/>
  <c r="U11" i="11"/>
  <c r="S11" i="11"/>
  <c r="Q11" i="11"/>
  <c r="N11" i="11"/>
  <c r="M11" i="11"/>
  <c r="K11" i="11"/>
  <c r="G11" i="11"/>
  <c r="F11" i="11"/>
  <c r="S10" i="11"/>
  <c r="N10" i="11"/>
  <c r="S9" i="11"/>
  <c r="Q9" i="11"/>
  <c r="S8" i="11"/>
  <c r="Q8" i="11"/>
  <c r="S7" i="11"/>
  <c r="Q7" i="11"/>
  <c r="S6" i="11"/>
  <c r="Q6" i="11"/>
  <c r="S5" i="11"/>
  <c r="X4" i="11"/>
  <c r="U4" i="11"/>
  <c r="S4" i="11"/>
  <c r="Q4" i="11"/>
  <c r="N4" i="11"/>
  <c r="M4" i="11"/>
  <c r="K4" i="11"/>
  <c r="G4" i="11"/>
  <c r="F4" i="11"/>
  <c r="M10" i="14"/>
  <c r="M9" i="14"/>
  <c r="K9" i="14"/>
  <c r="G9" i="14"/>
  <c r="F9" i="14"/>
  <c r="E9" i="14"/>
  <c r="M8" i="14"/>
  <c r="K8" i="14"/>
  <c r="G8" i="14"/>
  <c r="F8" i="14"/>
  <c r="E8" i="14"/>
  <c r="M7" i="14"/>
  <c r="K7" i="14"/>
  <c r="G7" i="14"/>
  <c r="F7" i="14"/>
  <c r="E7" i="14"/>
  <c r="M6" i="14"/>
  <c r="K6" i="14"/>
  <c r="G6" i="14"/>
  <c r="F6" i="14"/>
  <c r="E6" i="14"/>
  <c r="M5" i="14"/>
  <c r="G5" i="14"/>
  <c r="F5" i="14"/>
  <c r="E5" i="14"/>
  <c r="M4" i="14"/>
  <c r="K4" i="14"/>
  <c r="G4" i="14"/>
  <c r="F4" i="14"/>
  <c r="E4" i="14"/>
  <c r="M3" i="14"/>
  <c r="L3" i="14"/>
  <c r="G3" i="14"/>
  <c r="F3" i="14"/>
  <c r="E3" i="14"/>
  <c r="K10" i="14" l="1"/>
  <c r="L10" i="14" l="1"/>
  <c r="N10" i="1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吴英格</author>
  </authors>
  <commentList>
    <comment ref="K5" authorId="0" shapeId="0" xr:uid="{00000000-0006-0000-0200-000001000000}">
      <text>
        <r>
          <rPr>
            <b/>
            <sz val="9"/>
            <rFont val="宋体"/>
            <family val="3"/>
            <charset val="134"/>
          </rPr>
          <t>吴英格:</t>
        </r>
        <r>
          <rPr>
            <sz val="9"/>
            <rFont val="宋体"/>
            <family val="3"/>
            <charset val="134"/>
          </rPr>
          <t xml:space="preserve">
车间提报重量</t>
        </r>
      </text>
    </comment>
  </commentList>
</comments>
</file>

<file path=xl/sharedStrings.xml><?xml version="1.0" encoding="utf-8"?>
<sst xmlns="http://schemas.openxmlformats.org/spreadsheetml/2006/main" count="384" uniqueCount="146">
  <si>
    <t>序号</t>
  </si>
  <si>
    <t>QAD号</t>
  </si>
  <si>
    <t>产品名称</t>
  </si>
  <si>
    <t>材料规格</t>
  </si>
  <si>
    <t>包工包料费用（未税）</t>
  </si>
  <si>
    <t>带料加工费用（未税）</t>
  </si>
  <si>
    <t>月均用量</t>
  </si>
  <si>
    <t>加工费</t>
  </si>
  <si>
    <t>废料收益</t>
  </si>
  <si>
    <t>结算加工费</t>
  </si>
  <si>
    <t>调整后单价</t>
  </si>
  <si>
    <t>调整后加工费</t>
  </si>
  <si>
    <t>包工包料总费用</t>
  </si>
  <si>
    <t>SCS0004402</t>
  </si>
  <si>
    <t>B40左侧地锁支架</t>
  </si>
  <si>
    <t>ST12*1</t>
  </si>
  <si>
    <t>SCS0004394</t>
  </si>
  <si>
    <t>B40右侧地锁支架</t>
  </si>
  <si>
    <t>SHT0012113</t>
  </si>
  <si>
    <t>副边罩壳固定钣金</t>
  </si>
  <si>
    <t>440*2</t>
  </si>
  <si>
    <t>SHT0001972</t>
  </si>
  <si>
    <t>罩壳前固定片</t>
  </si>
  <si>
    <t>590*2</t>
  </si>
  <si>
    <t>SHT0011978</t>
  </si>
  <si>
    <t>调角器手柄钣金左</t>
  </si>
  <si>
    <t>440*2.5</t>
  </si>
  <si>
    <t>SHT0010721</t>
  </si>
  <si>
    <t>调角器左手柄</t>
  </si>
  <si>
    <t>590*2.5</t>
  </si>
  <si>
    <t>SHT0010720</t>
  </si>
  <si>
    <t>调角器右手柄</t>
  </si>
  <si>
    <t>类别</t>
  </si>
  <si>
    <t>冲压机</t>
  </si>
  <si>
    <t>工序费</t>
  </si>
  <si>
    <t>冲床</t>
  </si>
  <si>
    <t>16T</t>
  </si>
  <si>
    <t>25T</t>
  </si>
  <si>
    <t>40T</t>
  </si>
  <si>
    <t>45T</t>
  </si>
  <si>
    <t>60T</t>
  </si>
  <si>
    <t>63T</t>
  </si>
  <si>
    <t>65t</t>
  </si>
  <si>
    <t>80T</t>
  </si>
  <si>
    <t>100T</t>
  </si>
  <si>
    <t>110T</t>
  </si>
  <si>
    <t>125T</t>
  </si>
  <si>
    <t>160T</t>
  </si>
  <si>
    <t>200T</t>
  </si>
  <si>
    <t>250T</t>
  </si>
  <si>
    <t>315T</t>
  </si>
  <si>
    <t>350T</t>
  </si>
  <si>
    <t>400T</t>
  </si>
  <si>
    <t>液压机</t>
  </si>
  <si>
    <t>500T</t>
  </si>
  <si>
    <t>焊接</t>
  </si>
  <si>
    <t>1CM</t>
  </si>
  <si>
    <t>焊螺母</t>
  </si>
  <si>
    <t>1个</t>
  </si>
  <si>
    <t>泊头捷润供货冲压件目标价格核算明细表</t>
  </si>
  <si>
    <t>序</t>
  </si>
  <si>
    <t>名称</t>
  </si>
  <si>
    <t>图片</t>
  </si>
  <si>
    <t>材质</t>
  </si>
  <si>
    <t>下料尺寸</t>
  </si>
  <si>
    <t>未税单价</t>
  </si>
  <si>
    <t>重量</t>
  </si>
  <si>
    <t>材料费</t>
  </si>
  <si>
    <t>加工成本</t>
  </si>
  <si>
    <t>系数</t>
  </si>
  <si>
    <t>不含税单价</t>
  </si>
  <si>
    <t>未税模具费</t>
  </si>
  <si>
    <t>摊销件数</t>
  </si>
  <si>
    <t>含模摊未税单价</t>
  </si>
  <si>
    <t>号</t>
  </si>
  <si>
    <t>长mm</t>
  </si>
  <si>
    <t>宽mm</t>
  </si>
  <si>
    <t>厚mm</t>
  </si>
  <si>
    <t>材料</t>
  </si>
  <si>
    <t>废铁</t>
  </si>
  <si>
    <t>毛重</t>
  </si>
  <si>
    <t>净重</t>
  </si>
  <si>
    <t>工序</t>
  </si>
  <si>
    <t>吨位</t>
  </si>
  <si>
    <t>出件数</t>
  </si>
  <si>
    <t>合计</t>
  </si>
  <si>
    <t>ST12</t>
  </si>
  <si>
    <t>落料</t>
  </si>
  <si>
    <t>成型</t>
  </si>
  <si>
    <t>200T油压机</t>
  </si>
  <si>
    <t>打字</t>
  </si>
  <si>
    <t>切边冲孔</t>
  </si>
  <si>
    <t>冲孔</t>
  </si>
  <si>
    <t>切断</t>
  </si>
  <si>
    <t>合计：</t>
  </si>
  <si>
    <t>加工费合计：</t>
  </si>
  <si>
    <t>SAPH440</t>
  </si>
  <si>
    <t>SPFH590</t>
  </si>
  <si>
    <t>不含税单价-加工费（减废料收益）</t>
  </si>
  <si>
    <t>第二部分钣金件价格汇总</t>
  </si>
  <si>
    <t>项目</t>
  </si>
  <si>
    <t>图号</t>
  </si>
  <si>
    <t>零件名称</t>
  </si>
  <si>
    <t>数量</t>
  </si>
  <si>
    <t>厂家</t>
  </si>
  <si>
    <t>初始报价</t>
  </si>
  <si>
    <t>商定报价</t>
  </si>
  <si>
    <t>模具总费用</t>
  </si>
  <si>
    <t>模摊方式</t>
  </si>
  <si>
    <t>单件报价</t>
  </si>
  <si>
    <t>模摊费</t>
  </si>
  <si>
    <t>含模摊价</t>
  </si>
  <si>
    <t>9月16日轻卡减震新增</t>
  </si>
  <si>
    <t>SLT0010539</t>
  </si>
  <si>
    <t>减震器上盖板</t>
  </si>
  <si>
    <t>SPFH590 /T=3.0</t>
  </si>
  <si>
    <t>南皮利达</t>
  </si>
  <si>
    <t>预付30%，剩余70%摊销10万件产品</t>
  </si>
  <si>
    <t>SLT0010545</t>
  </si>
  <si>
    <t>减震器下底板</t>
  </si>
  <si>
    <t>统帅轻卡1880项目</t>
  </si>
  <si>
    <t>SLT0010599</t>
  </si>
  <si>
    <t>副驾靠背左侧装车钣金焊接总成</t>
  </si>
  <si>
    <t>ASSY-
QStE500 2.5</t>
  </si>
  <si>
    <t>文安恒德</t>
  </si>
  <si>
    <t>100%摊销10万件产品</t>
  </si>
  <si>
    <t>平台化-轻卡减震座椅</t>
  </si>
  <si>
    <t>SLT0010230</t>
  </si>
  <si>
    <t>驾驶员座垫右侧安装板总成</t>
  </si>
  <si>
    <t>SLT0010222</t>
  </si>
  <si>
    <t>驾驶员左侧调角器下连接板焊接总成</t>
  </si>
  <si>
    <t>ASSY-
QStE500 3.5</t>
  </si>
  <si>
    <t>SLT0010686</t>
  </si>
  <si>
    <t>驾驶员座垫右侧安装板</t>
  </si>
  <si>
    <t>QStE500 2.5</t>
  </si>
  <si>
    <t>SLT0010540</t>
  </si>
  <si>
    <t>滚轮下滑槽</t>
  </si>
  <si>
    <t>SAPH440 /T=3.0</t>
  </si>
  <si>
    <t>航天宏达</t>
  </si>
  <si>
    <t>SLT0010557</t>
  </si>
  <si>
    <r>
      <rPr>
        <sz val="8"/>
        <color indexed="8"/>
        <rFont val="宋体"/>
        <family val="3"/>
        <charset val="134"/>
      </rPr>
      <t>外绞架</t>
    </r>
    <r>
      <rPr>
        <sz val="8"/>
        <color indexed="10"/>
        <rFont val="宋体"/>
        <family val="3"/>
        <charset val="134"/>
      </rPr>
      <t>支撑板</t>
    </r>
    <r>
      <rPr>
        <sz val="8"/>
        <color indexed="8"/>
        <rFont val="宋体"/>
        <family val="3"/>
        <charset val="134"/>
      </rPr>
      <t>组件</t>
    </r>
  </si>
  <si>
    <t>SPFH590/T=6.0</t>
  </si>
  <si>
    <t>SLT0010556</t>
  </si>
  <si>
    <t>内绞架支撑板组件</t>
  </si>
  <si>
    <t>SLT0010564</t>
  </si>
  <si>
    <t>滚轮上滑槽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</si>
</sst>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8" formatCode="0.00_ "/>
    <numFmt numFmtId="179" formatCode="0_);[Red]\(0\)"/>
    <numFmt numFmtId="180" formatCode="0.00_);[Red]\(0.00\)"/>
    <numFmt numFmtId="181" formatCode="0.0000_);[Red]\(0.0000\)"/>
    <numFmt numFmtId="182" formatCode="0.0_);[Red]\(0.0\)"/>
    <numFmt numFmtId="183" formatCode="0.000_);[Red]\(0.000\)"/>
    <numFmt numFmtId="184" formatCode="0.0000_ "/>
    <numFmt numFmtId="185" formatCode="0_ "/>
    <numFmt numFmtId="186" formatCode="0.0000"/>
    <numFmt numFmtId="187" formatCode="0.000_ "/>
  </numFmts>
  <fonts count="25" x14ac:knownFonts="1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8"/>
      <color indexed="8"/>
      <name val="等线"/>
      <family val="3"/>
      <charset val="134"/>
    </font>
    <font>
      <b/>
      <sz val="8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</font>
    <font>
      <sz val="8"/>
      <color indexed="8"/>
      <name val="等线"/>
      <family val="3"/>
      <charset val="134"/>
    </font>
    <font>
      <sz val="14"/>
      <color theme="1"/>
      <name val="宋体"/>
      <family val="3"/>
      <charset val="134"/>
      <scheme val="minor"/>
    </font>
    <font>
      <sz val="10"/>
      <color indexed="8"/>
      <name val="宋体"/>
      <family val="3"/>
      <charset val="134"/>
    </font>
    <font>
      <sz val="10"/>
      <name val="宋体"/>
      <family val="3"/>
      <charset val="134"/>
    </font>
    <font>
      <sz val="11"/>
      <name val="宋体"/>
      <family val="3"/>
      <charset val="134"/>
    </font>
    <font>
      <strike/>
      <sz val="10"/>
      <name val="宋体"/>
      <family val="3"/>
      <charset val="134"/>
    </font>
    <font>
      <strike/>
      <sz val="11"/>
      <color theme="1"/>
      <name val="宋体"/>
      <family val="3"/>
      <charset val="134"/>
      <scheme val="minor"/>
    </font>
    <font>
      <sz val="10"/>
      <color indexed="8"/>
      <name val="等线"/>
      <family val="3"/>
      <charset val="134"/>
    </font>
    <font>
      <strike/>
      <sz val="10"/>
      <color indexed="8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9"/>
      <name val="Arial"/>
      <family val="2"/>
    </font>
    <font>
      <sz val="12"/>
      <name val="宋体"/>
      <family val="3"/>
      <charset val="134"/>
    </font>
    <font>
      <sz val="8"/>
      <color indexed="8"/>
      <name val="宋体"/>
      <family val="3"/>
      <charset val="134"/>
    </font>
    <font>
      <sz val="8"/>
      <color indexed="10"/>
      <name val="宋体"/>
      <family val="3"/>
      <charset val="134"/>
    </font>
    <font>
      <b/>
      <sz val="9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11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18" fillId="0" borderId="2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/>
    <xf numFmtId="0" fontId="19" fillId="0" borderId="0"/>
    <xf numFmtId="0" fontId="19" fillId="0" borderId="0"/>
  </cellStyleXfs>
  <cellXfs count="128">
    <xf numFmtId="0" fontId="0" fillId="0" borderId="0" xfId="0">
      <alignment vertical="center"/>
    </xf>
    <xf numFmtId="178" fontId="2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5" fillId="0" borderId="2" xfId="9" applyFont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>
      <alignment horizontal="center" vertical="center"/>
    </xf>
    <xf numFmtId="0" fontId="5" fillId="0" borderId="2" xfId="2" applyNumberFormat="1" applyFont="1" applyFill="1" applyBorder="1" applyAlignment="1" applyProtection="1">
      <alignment horizontal="center" vertical="center" wrapText="1"/>
      <protection locked="0"/>
    </xf>
    <xf numFmtId="2" fontId="6" fillId="0" borderId="2" xfId="0" applyNumberFormat="1" applyFont="1" applyBorder="1" applyAlignment="1">
      <alignment horizontal="center" vertical="center"/>
    </xf>
    <xf numFmtId="179" fontId="6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179" fontId="6" fillId="0" borderId="2" xfId="0" applyNumberFormat="1" applyFont="1" applyBorder="1" applyAlignment="1">
      <alignment horizontal="center" vertical="center"/>
    </xf>
    <xf numFmtId="179" fontId="6" fillId="0" borderId="2" xfId="0" applyNumberFormat="1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0" fontId="5" fillId="0" borderId="2" xfId="4" applyFont="1" applyBorder="1" applyAlignment="1">
      <alignment horizontal="center" vertical="center" wrapText="1"/>
    </xf>
    <xf numFmtId="49" fontId="5" fillId="0" borderId="2" xfId="4" applyNumberFormat="1" applyFont="1" applyBorder="1" applyAlignment="1">
      <alignment horizontal="center" vertical="center" wrapText="1"/>
    </xf>
    <xf numFmtId="2" fontId="6" fillId="2" borderId="2" xfId="0" applyNumberFormat="1" applyFont="1" applyFill="1" applyBorder="1" applyAlignment="1">
      <alignment horizontal="center" vertical="center"/>
    </xf>
    <xf numFmtId="2" fontId="4" fillId="0" borderId="2" xfId="0" applyNumberFormat="1" applyFont="1" applyBorder="1" applyAlignment="1">
      <alignment horizontal="center" vertical="center" wrapText="1"/>
    </xf>
    <xf numFmtId="0" fontId="1" fillId="0" borderId="0" xfId="4">
      <alignment vertical="center"/>
    </xf>
    <xf numFmtId="180" fontId="0" fillId="0" borderId="0" xfId="0" applyNumberFormat="1">
      <alignment vertical="center"/>
    </xf>
    <xf numFmtId="181" fontId="0" fillId="0" borderId="0" xfId="0" applyNumberFormat="1">
      <alignment vertical="center"/>
    </xf>
    <xf numFmtId="0" fontId="1" fillId="0" borderId="3" xfId="4" applyBorder="1" applyAlignment="1">
      <alignment horizontal="center" vertical="center"/>
    </xf>
    <xf numFmtId="0" fontId="1" fillId="0" borderId="2" xfId="4" applyBorder="1" applyAlignment="1">
      <alignment horizontal="center" vertical="center" wrapText="1" shrinkToFit="1"/>
    </xf>
    <xf numFmtId="0" fontId="1" fillId="0" borderId="4" xfId="4" applyBorder="1" applyAlignment="1">
      <alignment horizontal="center" vertical="center"/>
    </xf>
    <xf numFmtId="0" fontId="9" fillId="0" borderId="2" xfId="4" applyFont="1" applyBorder="1" applyAlignment="1">
      <alignment vertical="center" wrapText="1"/>
    </xf>
    <xf numFmtId="182" fontId="10" fillId="0" borderId="2" xfId="2" applyNumberFormat="1" applyFont="1" applyFill="1" applyBorder="1" applyAlignment="1" applyProtection="1">
      <alignment horizontal="center" vertical="center" wrapText="1"/>
      <protection locked="0"/>
    </xf>
    <xf numFmtId="0" fontId="11" fillId="0" borderId="2" xfId="4" applyFont="1" applyBorder="1" applyAlignment="1">
      <alignment vertical="center" wrapText="1"/>
    </xf>
    <xf numFmtId="0" fontId="12" fillId="0" borderId="2" xfId="4" applyFont="1" applyBorder="1" applyAlignment="1">
      <alignment vertical="center" wrapText="1"/>
    </xf>
    <xf numFmtId="0" fontId="12" fillId="0" borderId="2" xfId="4" applyFont="1" applyBorder="1" applyAlignment="1">
      <alignment horizontal="center" vertical="center" wrapText="1"/>
    </xf>
    <xf numFmtId="179" fontId="10" fillId="0" borderId="2" xfId="2" applyNumberFormat="1" applyFont="1" applyFill="1" applyBorder="1" applyAlignment="1" applyProtection="1">
      <alignment horizontal="center" vertical="center" wrapText="1"/>
      <protection locked="0"/>
    </xf>
    <xf numFmtId="180" fontId="1" fillId="0" borderId="3" xfId="4" applyNumberFormat="1" applyBorder="1" applyAlignment="1">
      <alignment horizontal="center" vertical="center"/>
    </xf>
    <xf numFmtId="183" fontId="1" fillId="0" borderId="3" xfId="4" applyNumberFormat="1" applyBorder="1" applyAlignment="1">
      <alignment horizontal="center" vertical="center" shrinkToFit="1"/>
    </xf>
    <xf numFmtId="180" fontId="9" fillId="0" borderId="2" xfId="7" applyNumberFormat="1" applyFont="1" applyBorder="1">
      <alignment vertical="center"/>
    </xf>
    <xf numFmtId="183" fontId="9" fillId="4" borderId="2" xfId="7" applyNumberFormat="1" applyFont="1" applyFill="1" applyBorder="1">
      <alignment vertical="center"/>
    </xf>
    <xf numFmtId="183" fontId="9" fillId="5" borderId="2" xfId="4" applyNumberFormat="1" applyFont="1" applyFill="1" applyBorder="1" applyAlignment="1">
      <alignment vertical="center" wrapText="1"/>
    </xf>
    <xf numFmtId="183" fontId="9" fillId="0" borderId="2" xfId="2" applyNumberFormat="1" applyFont="1" applyFill="1" applyBorder="1" applyAlignment="1" applyProtection="1">
      <alignment vertical="center" wrapText="1"/>
      <protection locked="0"/>
    </xf>
    <xf numFmtId="178" fontId="9" fillId="0" borderId="2" xfId="2" applyNumberFormat="1" applyFont="1" applyFill="1" applyBorder="1" applyAlignment="1" applyProtection="1">
      <alignment horizontal="center" vertical="center" wrapText="1"/>
      <protection locked="0"/>
    </xf>
    <xf numFmtId="0" fontId="13" fillId="0" borderId="2" xfId="0" applyFont="1" applyBorder="1">
      <alignment vertical="center"/>
    </xf>
    <xf numFmtId="180" fontId="14" fillId="0" borderId="3" xfId="4" applyNumberFormat="1" applyFont="1" applyBorder="1" applyAlignment="1">
      <alignment horizontal="center" vertical="center" wrapText="1"/>
    </xf>
    <xf numFmtId="180" fontId="11" fillId="0" borderId="2" xfId="7" applyNumberFormat="1" applyFont="1" applyBorder="1">
      <alignment vertical="center"/>
    </xf>
    <xf numFmtId="184" fontId="11" fillId="0" borderId="2" xfId="7" applyNumberFormat="1" applyFont="1" applyBorder="1">
      <alignment vertical="center"/>
    </xf>
    <xf numFmtId="184" fontId="11" fillId="0" borderId="2" xfId="2" applyNumberFormat="1" applyFont="1" applyFill="1" applyBorder="1" applyAlignment="1" applyProtection="1">
      <alignment vertical="center" wrapText="1"/>
      <protection locked="0"/>
    </xf>
    <xf numFmtId="181" fontId="15" fillId="5" borderId="3" xfId="4" applyNumberFormat="1" applyFont="1" applyFill="1" applyBorder="1" applyAlignment="1">
      <alignment horizontal="center" vertical="center" wrapText="1"/>
    </xf>
    <xf numFmtId="178" fontId="1" fillId="3" borderId="2" xfId="4" applyNumberFormat="1" applyFill="1" applyBorder="1" applyAlignment="1">
      <alignment horizontal="center" vertical="center"/>
    </xf>
    <xf numFmtId="183" fontId="9" fillId="0" borderId="2" xfId="7" applyNumberFormat="1" applyFont="1" applyBorder="1">
      <alignment vertical="center"/>
    </xf>
    <xf numFmtId="180" fontId="1" fillId="0" borderId="3" xfId="4" applyNumberFormat="1" applyBorder="1" applyAlignment="1">
      <alignment horizontal="center" vertical="center" wrapText="1"/>
    </xf>
    <xf numFmtId="180" fontId="1" fillId="0" borderId="3" xfId="4" applyNumberFormat="1" applyBorder="1" applyAlignment="1">
      <alignment horizontal="center" vertical="center" shrinkToFit="1"/>
    </xf>
    <xf numFmtId="0" fontId="13" fillId="4" borderId="2" xfId="0" applyFont="1" applyFill="1" applyBorder="1" applyAlignment="1">
      <alignment horizontal="center" vertical="center"/>
    </xf>
    <xf numFmtId="180" fontId="1" fillId="0" borderId="2" xfId="4" applyNumberFormat="1" applyBorder="1">
      <alignment vertical="center"/>
    </xf>
    <xf numFmtId="0" fontId="1" fillId="0" borderId="2" xfId="4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180" fontId="1" fillId="3" borderId="2" xfId="4" applyNumberFormat="1" applyFill="1" applyBorder="1" applyAlignment="1">
      <alignment horizontal="center" vertical="center"/>
    </xf>
    <xf numFmtId="0" fontId="1" fillId="0" borderId="0" xfId="4" applyAlignment="1">
      <alignment horizontal="center" vertical="center"/>
    </xf>
    <xf numFmtId="9" fontId="1" fillId="0" borderId="0" xfId="1" applyFont="1">
      <alignment vertical="center"/>
    </xf>
    <xf numFmtId="10" fontId="1" fillId="0" borderId="0" xfId="1" applyNumberFormat="1" applyFont="1">
      <alignment vertical="center"/>
    </xf>
    <xf numFmtId="0" fontId="0" fillId="4" borderId="9" xfId="0" applyFill="1" applyBorder="1" applyAlignment="1">
      <alignment horizontal="center" vertical="center"/>
    </xf>
    <xf numFmtId="181" fontId="16" fillId="0" borderId="3" xfId="4" applyNumberFormat="1" applyFont="1" applyBorder="1">
      <alignment vertical="center"/>
    </xf>
    <xf numFmtId="181" fontId="16" fillId="0" borderId="5" xfId="4" applyNumberFormat="1" applyFont="1" applyBorder="1">
      <alignment vertical="center"/>
    </xf>
    <xf numFmtId="181" fontId="16" fillId="0" borderId="4" xfId="4" applyNumberFormat="1" applyFont="1" applyBorder="1">
      <alignment vertical="center"/>
    </xf>
    <xf numFmtId="0" fontId="1" fillId="0" borderId="0" xfId="6" applyAlignment="1">
      <alignment horizontal="center" vertical="center"/>
    </xf>
    <xf numFmtId="0" fontId="1" fillId="0" borderId="0" xfId="6">
      <alignment vertical="center"/>
    </xf>
    <xf numFmtId="0" fontId="17" fillId="0" borderId="2" xfId="6" applyFont="1" applyBorder="1" applyAlignment="1">
      <alignment horizontal="center" vertical="center"/>
    </xf>
    <xf numFmtId="0" fontId="1" fillId="0" borderId="2" xfId="6" applyBorder="1" applyAlignment="1">
      <alignment horizontal="center" vertical="center"/>
    </xf>
    <xf numFmtId="178" fontId="10" fillId="3" borderId="2" xfId="6" applyNumberFormat="1" applyFont="1" applyFill="1" applyBorder="1" applyAlignment="1">
      <alignment horizontal="center" vertical="center"/>
    </xf>
    <xf numFmtId="0" fontId="10" fillId="3" borderId="2" xfId="6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>
      <alignment vertical="center"/>
    </xf>
    <xf numFmtId="186" fontId="0" fillId="0" borderId="2" xfId="0" applyNumberFormat="1" applyBorder="1">
      <alignment vertical="center"/>
    </xf>
    <xf numFmtId="187" fontId="0" fillId="0" borderId="2" xfId="0" applyNumberFormat="1" applyBorder="1">
      <alignment vertical="center"/>
    </xf>
    <xf numFmtId="2" fontId="0" fillId="0" borderId="2" xfId="0" applyNumberFormat="1" applyBorder="1">
      <alignment vertical="center"/>
    </xf>
    <xf numFmtId="0" fontId="1" fillId="0" borderId="2" xfId="0" applyFont="1" applyBorder="1">
      <alignment vertical="center"/>
    </xf>
    <xf numFmtId="0" fontId="1" fillId="3" borderId="2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" fontId="0" fillId="0" borderId="0" xfId="0" applyNumberFormat="1">
      <alignment vertical="center"/>
    </xf>
    <xf numFmtId="187" fontId="0" fillId="4" borderId="2" xfId="0" applyNumberFormat="1" applyFill="1" applyBorder="1">
      <alignment vertical="center"/>
    </xf>
    <xf numFmtId="1" fontId="0" fillId="0" borderId="2" xfId="0" applyNumberFormat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7" fillId="0" borderId="1" xfId="4" applyFont="1" applyBorder="1" applyAlignment="1">
      <alignment horizontal="center" vertical="center"/>
    </xf>
    <xf numFmtId="0" fontId="1" fillId="0" borderId="2" xfId="4" applyBorder="1" applyAlignment="1">
      <alignment horizontal="center" vertical="center" wrapText="1" shrinkToFit="1"/>
    </xf>
    <xf numFmtId="180" fontId="1" fillId="0" borderId="6" xfId="4" applyNumberFormat="1" applyBorder="1" applyAlignment="1">
      <alignment horizontal="center" vertical="center"/>
    </xf>
    <xf numFmtId="180" fontId="1" fillId="0" borderId="7" xfId="4" applyNumberFormat="1" applyBorder="1" applyAlignment="1">
      <alignment horizontal="center" vertical="center"/>
    </xf>
    <xf numFmtId="183" fontId="1" fillId="0" borderId="6" xfId="4" applyNumberFormat="1" applyBorder="1" applyAlignment="1">
      <alignment horizontal="center" vertical="center" shrinkToFit="1"/>
    </xf>
    <xf numFmtId="183" fontId="1" fillId="0" borderId="8" xfId="4" applyNumberFormat="1" applyBorder="1" applyAlignment="1">
      <alignment horizontal="center" vertical="center" shrinkToFit="1"/>
    </xf>
    <xf numFmtId="183" fontId="1" fillId="0" borderId="7" xfId="4" applyNumberFormat="1" applyBorder="1" applyAlignment="1">
      <alignment horizontal="center" vertical="center" shrinkToFit="1"/>
    </xf>
    <xf numFmtId="180" fontId="1" fillId="0" borderId="8" xfId="4" applyNumberFormat="1" applyBorder="1" applyAlignment="1">
      <alignment horizontal="center" vertical="center"/>
    </xf>
    <xf numFmtId="0" fontId="1" fillId="3" borderId="2" xfId="4" applyFill="1" applyBorder="1" applyAlignment="1">
      <alignment horizontal="center" vertical="center" wrapText="1"/>
    </xf>
    <xf numFmtId="178" fontId="1" fillId="3" borderId="2" xfId="4" applyNumberFormat="1" applyFill="1" applyBorder="1" applyAlignment="1">
      <alignment horizontal="center" vertical="center"/>
    </xf>
    <xf numFmtId="0" fontId="1" fillId="0" borderId="3" xfId="4" applyBorder="1" applyAlignment="1">
      <alignment horizontal="center" vertical="center"/>
    </xf>
    <xf numFmtId="0" fontId="1" fillId="0" borderId="5" xfId="4" applyBorder="1" applyAlignment="1">
      <alignment horizontal="center" vertical="center"/>
    </xf>
    <xf numFmtId="0" fontId="1" fillId="0" borderId="4" xfId="4" applyBorder="1" applyAlignment="1">
      <alignment horizontal="center" vertical="center"/>
    </xf>
    <xf numFmtId="0" fontId="8" fillId="0" borderId="3" xfId="4" applyFont="1" applyBorder="1" applyAlignment="1">
      <alignment horizontal="center" vertical="center" wrapText="1"/>
    </xf>
    <xf numFmtId="0" fontId="8" fillId="0" borderId="5" xfId="4" applyFont="1" applyBorder="1" applyAlignment="1">
      <alignment horizontal="center" vertical="center" wrapText="1"/>
    </xf>
    <xf numFmtId="0" fontId="8" fillId="0" borderId="4" xfId="4" applyFont="1" applyBorder="1" applyAlignment="1">
      <alignment horizontal="center" vertical="center" wrapText="1"/>
    </xf>
    <xf numFmtId="0" fontId="1" fillId="0" borderId="3" xfId="4" applyBorder="1" applyAlignment="1">
      <alignment horizontal="center" vertical="center" wrapText="1"/>
    </xf>
    <xf numFmtId="0" fontId="1" fillId="0" borderId="5" xfId="4" applyBorder="1" applyAlignment="1">
      <alignment horizontal="center" vertical="center" wrapText="1"/>
    </xf>
    <xf numFmtId="0" fontId="1" fillId="0" borderId="3" xfId="4" applyBorder="1" applyAlignment="1">
      <alignment horizontal="center" vertical="center" shrinkToFit="1"/>
    </xf>
    <xf numFmtId="0" fontId="1" fillId="0" borderId="4" xfId="4" applyBorder="1" applyAlignment="1">
      <alignment horizontal="center" vertical="center" shrinkToFit="1"/>
    </xf>
    <xf numFmtId="0" fontId="1" fillId="0" borderId="5" xfId="4" applyBorder="1" applyAlignment="1">
      <alignment horizontal="center" vertical="center" shrinkToFit="1"/>
    </xf>
    <xf numFmtId="180" fontId="1" fillId="0" borderId="3" xfId="4" applyNumberFormat="1" applyBorder="1" applyAlignment="1">
      <alignment horizontal="center" vertical="center"/>
    </xf>
    <xf numFmtId="180" fontId="1" fillId="0" borderId="5" xfId="4" applyNumberFormat="1" applyBorder="1" applyAlignment="1">
      <alignment horizontal="center" vertical="center"/>
    </xf>
    <xf numFmtId="180" fontId="1" fillId="0" borderId="4" xfId="4" applyNumberFormat="1" applyBorder="1" applyAlignment="1">
      <alignment horizontal="center" vertical="center"/>
    </xf>
    <xf numFmtId="9" fontId="16" fillId="0" borderId="2" xfId="3" applyFont="1" applyBorder="1" applyAlignment="1">
      <alignment horizontal="center" vertical="center"/>
    </xf>
    <xf numFmtId="181" fontId="1" fillId="0" borderId="3" xfId="4" applyNumberFormat="1" applyBorder="1" applyAlignment="1">
      <alignment horizontal="center" vertical="center" wrapText="1"/>
    </xf>
    <xf numFmtId="181" fontId="1" fillId="0" borderId="5" xfId="4" applyNumberFormat="1" applyBorder="1" applyAlignment="1">
      <alignment horizontal="center" vertical="center" wrapText="1"/>
    </xf>
    <xf numFmtId="181" fontId="16" fillId="0" borderId="3" xfId="4" applyNumberFormat="1" applyFont="1" applyBorder="1" applyAlignment="1">
      <alignment horizontal="center" vertical="center"/>
    </xf>
    <xf numFmtId="181" fontId="16" fillId="0" borderId="5" xfId="4" applyNumberFormat="1" applyFont="1" applyBorder="1" applyAlignment="1">
      <alignment horizontal="center" vertical="center"/>
    </xf>
    <xf numFmtId="181" fontId="16" fillId="0" borderId="4" xfId="4" applyNumberFormat="1" applyFont="1" applyBorder="1" applyAlignment="1">
      <alignment horizontal="center" vertical="center"/>
    </xf>
    <xf numFmtId="185" fontId="16" fillId="0" borderId="2" xfId="4" applyNumberFormat="1" applyFont="1" applyBorder="1" applyAlignment="1">
      <alignment horizontal="center" vertical="center"/>
    </xf>
    <xf numFmtId="0" fontId="1" fillId="0" borderId="2" xfId="4" applyBorder="1" applyAlignment="1">
      <alignment horizontal="center" vertical="center" wrapText="1"/>
    </xf>
    <xf numFmtId="185" fontId="16" fillId="0" borderId="3" xfId="4" applyNumberFormat="1" applyFont="1" applyBorder="1" applyAlignment="1">
      <alignment horizontal="center" vertical="center"/>
    </xf>
    <xf numFmtId="185" fontId="16" fillId="0" borderId="5" xfId="4" applyNumberFormat="1" applyFont="1" applyBorder="1" applyAlignment="1">
      <alignment horizontal="center" vertical="center"/>
    </xf>
    <xf numFmtId="185" fontId="16" fillId="0" borderId="4" xfId="4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78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</cellXfs>
  <cellStyles count="11">
    <cellStyle name="BOM_Level_Below3" xfId="2" xr:uid="{00000000-0005-0000-0000-000031000000}"/>
    <cellStyle name="百分比" xfId="1" builtinId="5"/>
    <cellStyle name="百分比 2" xfId="3" xr:uid="{00000000-0005-0000-0000-000032000000}"/>
    <cellStyle name="常规" xfId="0" builtinId="0"/>
    <cellStyle name="常规 2" xfId="4" xr:uid="{00000000-0005-0000-0000-000033000000}"/>
    <cellStyle name="常规 2 10" xfId="5" xr:uid="{00000000-0005-0000-0000-000034000000}"/>
    <cellStyle name="常规 2 3" xfId="6" xr:uid="{00000000-0005-0000-0000-000035000000}"/>
    <cellStyle name="常规 3" xfId="7" xr:uid="{00000000-0005-0000-0000-000036000000}"/>
    <cellStyle name="常规 6" xfId="8" xr:uid="{00000000-0005-0000-0000-000037000000}"/>
    <cellStyle name="样式 1" xfId="9" xr:uid="{00000000-0005-0000-0000-000038000000}"/>
    <cellStyle name="样式 1 5 2" xfId="10" xr:uid="{00000000-0005-0000-0000-000039000000}"/>
  </cellStyles>
  <dxfs count="7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53340</xdr:colOff>
      <xdr:row>33</xdr:row>
      <xdr:rowOff>60960</xdr:rowOff>
    </xdr:from>
    <xdr:to>
      <xdr:col>3</xdr:col>
      <xdr:colOff>533340</xdr:colOff>
      <xdr:row>35</xdr:row>
      <xdr:rowOff>42441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42795" y="5785485"/>
          <a:ext cx="479425" cy="323850"/>
        </a:xfrm>
        <a:prstGeom prst="rect">
          <a:avLst/>
        </a:prstGeom>
      </xdr:spPr>
    </xdr:pic>
    <xdr:clientData/>
  </xdr:twoCellAnchor>
  <xdr:twoCellAnchor editAs="oneCell">
    <xdr:from>
      <xdr:col>3</xdr:col>
      <xdr:colOff>38100</xdr:colOff>
      <xdr:row>17</xdr:row>
      <xdr:rowOff>152400</xdr:rowOff>
    </xdr:from>
    <xdr:to>
      <xdr:col>3</xdr:col>
      <xdr:colOff>578100</xdr:colOff>
      <xdr:row>22</xdr:row>
      <xdr:rowOff>127000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27555" y="3133725"/>
          <a:ext cx="539750" cy="831850"/>
        </a:xfrm>
        <a:prstGeom prst="rect">
          <a:avLst/>
        </a:prstGeom>
      </xdr:spPr>
    </xdr:pic>
    <xdr:clientData/>
  </xdr:twoCellAnchor>
  <xdr:twoCellAnchor editAs="oneCell">
    <xdr:from>
      <xdr:col>3</xdr:col>
      <xdr:colOff>60961</xdr:colOff>
      <xdr:row>3</xdr:row>
      <xdr:rowOff>76200</xdr:rowOff>
    </xdr:from>
    <xdr:to>
      <xdr:col>3</xdr:col>
      <xdr:colOff>556260</xdr:colOff>
      <xdr:row>9</xdr:row>
      <xdr:rowOff>58920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050415" y="657225"/>
          <a:ext cx="495300" cy="1010920"/>
        </a:xfrm>
        <a:prstGeom prst="rect">
          <a:avLst/>
        </a:prstGeom>
      </xdr:spPr>
    </xdr:pic>
    <xdr:clientData/>
  </xdr:twoCellAnchor>
  <xdr:twoCellAnchor editAs="oneCell">
    <xdr:from>
      <xdr:col>3</xdr:col>
      <xdr:colOff>38101</xdr:colOff>
      <xdr:row>24</xdr:row>
      <xdr:rowOff>83820</xdr:rowOff>
    </xdr:from>
    <xdr:to>
      <xdr:col>3</xdr:col>
      <xdr:colOff>518160</xdr:colOff>
      <xdr:row>30</xdr:row>
      <xdr:rowOff>66540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027555" y="4265295"/>
          <a:ext cx="480060" cy="1010920"/>
        </a:xfrm>
        <a:prstGeom prst="rect">
          <a:avLst/>
        </a:prstGeom>
      </xdr:spPr>
    </xdr:pic>
    <xdr:clientData/>
  </xdr:twoCellAnchor>
  <xdr:twoCellAnchor editAs="oneCell">
    <xdr:from>
      <xdr:col>3</xdr:col>
      <xdr:colOff>30481</xdr:colOff>
      <xdr:row>38</xdr:row>
      <xdr:rowOff>83820</xdr:rowOff>
    </xdr:from>
    <xdr:to>
      <xdr:col>3</xdr:col>
      <xdr:colOff>548640</xdr:colOff>
      <xdr:row>44</xdr:row>
      <xdr:rowOff>66540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019935" y="6665595"/>
          <a:ext cx="518160" cy="101092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53340</xdr:colOff>
      <xdr:row>33</xdr:row>
      <xdr:rowOff>60960</xdr:rowOff>
    </xdr:from>
    <xdr:to>
      <xdr:col>3</xdr:col>
      <xdr:colOff>533340</xdr:colOff>
      <xdr:row>35</xdr:row>
      <xdr:rowOff>42441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42795" y="6002655"/>
          <a:ext cx="479425" cy="323850"/>
        </a:xfrm>
        <a:prstGeom prst="rect">
          <a:avLst/>
        </a:prstGeom>
      </xdr:spPr>
    </xdr:pic>
    <xdr:clientData/>
  </xdr:twoCellAnchor>
  <xdr:twoCellAnchor editAs="oneCell">
    <xdr:from>
      <xdr:col>3</xdr:col>
      <xdr:colOff>38100</xdr:colOff>
      <xdr:row>17</xdr:row>
      <xdr:rowOff>152400</xdr:rowOff>
    </xdr:from>
    <xdr:to>
      <xdr:col>3</xdr:col>
      <xdr:colOff>578100</xdr:colOff>
      <xdr:row>22</xdr:row>
      <xdr:rowOff>127000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27555" y="3350895"/>
          <a:ext cx="539750" cy="831850"/>
        </a:xfrm>
        <a:prstGeom prst="rect">
          <a:avLst/>
        </a:prstGeom>
      </xdr:spPr>
    </xdr:pic>
    <xdr:clientData/>
  </xdr:twoCellAnchor>
  <xdr:twoCellAnchor editAs="oneCell">
    <xdr:from>
      <xdr:col>3</xdr:col>
      <xdr:colOff>30480</xdr:colOff>
      <xdr:row>24</xdr:row>
      <xdr:rowOff>76200</xdr:rowOff>
    </xdr:from>
    <xdr:to>
      <xdr:col>3</xdr:col>
      <xdr:colOff>594360</xdr:colOff>
      <xdr:row>30</xdr:row>
      <xdr:rowOff>58920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019935" y="4474845"/>
          <a:ext cx="563880" cy="1010920"/>
        </a:xfrm>
        <a:prstGeom prst="rect">
          <a:avLst/>
        </a:prstGeom>
      </xdr:spPr>
    </xdr:pic>
    <xdr:clientData/>
  </xdr:twoCellAnchor>
  <xdr:twoCellAnchor editAs="oneCell">
    <xdr:from>
      <xdr:col>3</xdr:col>
      <xdr:colOff>45721</xdr:colOff>
      <xdr:row>3</xdr:row>
      <xdr:rowOff>83820</xdr:rowOff>
    </xdr:from>
    <xdr:to>
      <xdr:col>3</xdr:col>
      <xdr:colOff>563880</xdr:colOff>
      <xdr:row>9</xdr:row>
      <xdr:rowOff>66540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035175" y="882015"/>
          <a:ext cx="518160" cy="1010920"/>
        </a:xfrm>
        <a:prstGeom prst="rect">
          <a:avLst/>
        </a:prstGeom>
      </xdr:spPr>
    </xdr:pic>
    <xdr:clientData/>
  </xdr:twoCellAnchor>
  <xdr:twoCellAnchor editAs="oneCell">
    <xdr:from>
      <xdr:col>3</xdr:col>
      <xdr:colOff>30481</xdr:colOff>
      <xdr:row>38</xdr:row>
      <xdr:rowOff>83820</xdr:rowOff>
    </xdr:from>
    <xdr:to>
      <xdr:col>3</xdr:col>
      <xdr:colOff>548640</xdr:colOff>
      <xdr:row>44</xdr:row>
      <xdr:rowOff>66540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019935" y="6882765"/>
          <a:ext cx="518160" cy="10223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0"/>
  <sheetViews>
    <sheetView tabSelected="1" topLeftCell="B1" workbookViewId="0">
      <selection activeCell="K14" sqref="K14"/>
    </sheetView>
  </sheetViews>
  <sheetFormatPr defaultColWidth="9" defaultRowHeight="14.4" x14ac:dyDescent="0.25"/>
  <cols>
    <col min="2" max="2" width="13.109375" customWidth="1"/>
    <col min="3" max="3" width="19.44140625" customWidth="1"/>
    <col min="4" max="4" width="9.5546875" customWidth="1"/>
    <col min="5" max="5" width="12.88671875" customWidth="1"/>
    <col min="6" max="6" width="8.88671875" customWidth="1"/>
    <col min="7" max="7" width="11.88671875" customWidth="1"/>
    <col min="8" max="9" width="10.6640625" customWidth="1"/>
    <col min="10" max="10" width="9.88671875" customWidth="1"/>
    <col min="11" max="12" width="13.5546875" customWidth="1"/>
    <col min="13" max="13" width="16.88671875" customWidth="1"/>
    <col min="15" max="15" width="12.33203125" customWidth="1"/>
  </cols>
  <sheetData>
    <row r="1" spans="1:16" ht="30" customHeight="1" x14ac:dyDescent="0.25">
      <c r="A1" s="80" t="s">
        <v>0</v>
      </c>
      <c r="B1" s="81" t="s">
        <v>1</v>
      </c>
      <c r="C1" s="81" t="s">
        <v>2</v>
      </c>
      <c r="D1" s="82" t="s">
        <v>3</v>
      </c>
      <c r="E1" s="81" t="s">
        <v>4</v>
      </c>
      <c r="F1" s="77" t="s">
        <v>5</v>
      </c>
      <c r="G1" s="78"/>
      <c r="H1" s="78"/>
      <c r="I1" s="79"/>
      <c r="J1" s="84" t="s">
        <v>6</v>
      </c>
    </row>
    <row r="2" spans="1:16" ht="30" customHeight="1" x14ac:dyDescent="0.25">
      <c r="A2" s="80"/>
      <c r="B2" s="81"/>
      <c r="C2" s="81"/>
      <c r="D2" s="83"/>
      <c r="E2" s="81"/>
      <c r="F2" s="65" t="s">
        <v>7</v>
      </c>
      <c r="G2" s="64" t="s">
        <v>8</v>
      </c>
      <c r="H2" s="64" t="s">
        <v>9</v>
      </c>
      <c r="I2" s="72" t="s">
        <v>10</v>
      </c>
      <c r="J2" s="85"/>
      <c r="K2" s="73" t="s">
        <v>7</v>
      </c>
      <c r="L2" s="73" t="s">
        <v>11</v>
      </c>
      <c r="M2" s="73" t="s">
        <v>12</v>
      </c>
    </row>
    <row r="3" spans="1:16" ht="19.8" customHeight="1" x14ac:dyDescent="0.25">
      <c r="A3" s="66">
        <v>1</v>
      </c>
      <c r="B3" s="67" t="s">
        <v>13</v>
      </c>
      <c r="C3" s="67" t="s">
        <v>14</v>
      </c>
      <c r="D3" s="67" t="s">
        <v>15</v>
      </c>
      <c r="E3" s="68">
        <f>包工包料!X4</f>
        <v>0.28764716400000001</v>
      </c>
      <c r="F3" s="67">
        <f>待料加工!T10</f>
        <v>0.20499999999999999</v>
      </c>
      <c r="G3" s="68">
        <f>待料加工!O10</f>
        <v>1.4999999999999999E-2</v>
      </c>
      <c r="H3" s="69">
        <f>F3*1.12-G3</f>
        <v>0.21460000000000001</v>
      </c>
      <c r="I3" s="69">
        <v>0.21460000000000001</v>
      </c>
      <c r="J3" s="66">
        <v>8000</v>
      </c>
      <c r="K3">
        <f t="shared" ref="K3:K9" si="0">H3*J3</f>
        <v>1716.8000000000002</v>
      </c>
      <c r="L3">
        <f>I3*J3</f>
        <v>1716.8000000000002</v>
      </c>
      <c r="M3" s="74">
        <f t="shared" ref="M3:M9" si="1">E3*J3</f>
        <v>2301.1773119999998</v>
      </c>
      <c r="N3">
        <v>0.79</v>
      </c>
    </row>
    <row r="4" spans="1:16" ht="19.8" customHeight="1" x14ac:dyDescent="0.25">
      <c r="A4" s="66">
        <v>2</v>
      </c>
      <c r="B4" s="67" t="s">
        <v>16</v>
      </c>
      <c r="C4" s="67" t="s">
        <v>17</v>
      </c>
      <c r="D4" s="67" t="s">
        <v>15</v>
      </c>
      <c r="E4" s="68">
        <f>包工包料!X11</f>
        <v>0.28764716400000001</v>
      </c>
      <c r="F4" s="67">
        <f>待料加工!T17</f>
        <v>0.20499999999999999</v>
      </c>
      <c r="G4" s="68">
        <f>待料加工!O17</f>
        <v>1.4999999999999999E-2</v>
      </c>
      <c r="H4" s="69">
        <f t="shared" ref="H4:H9" si="2">F4*1.12-G4</f>
        <v>0.21460000000000001</v>
      </c>
      <c r="I4" s="69">
        <v>0.21460000000000001</v>
      </c>
      <c r="J4" s="66">
        <v>8000</v>
      </c>
      <c r="K4">
        <f t="shared" si="0"/>
        <v>1716.8000000000002</v>
      </c>
      <c r="L4">
        <f t="shared" ref="L4:L9" si="3">I4*J4</f>
        <v>1716.8000000000002</v>
      </c>
      <c r="M4" s="74">
        <f t="shared" si="1"/>
        <v>2301.1773119999998</v>
      </c>
      <c r="N4">
        <v>0.79800000000000004</v>
      </c>
    </row>
    <row r="5" spans="1:16" ht="19.8" customHeight="1" x14ac:dyDescent="0.25">
      <c r="A5" s="66">
        <v>3</v>
      </c>
      <c r="B5" s="67" t="s">
        <v>18</v>
      </c>
      <c r="C5" s="67" t="s">
        <v>19</v>
      </c>
      <c r="D5" s="67" t="s">
        <v>20</v>
      </c>
      <c r="E5" s="68">
        <f>包工包料!X18</f>
        <v>0.29595148799999998</v>
      </c>
      <c r="F5" s="67">
        <f>待料加工!T24</f>
        <v>0.08</v>
      </c>
      <c r="G5" s="68">
        <f>待料加工!O24</f>
        <v>0.13379250000000001</v>
      </c>
      <c r="H5" s="69">
        <f t="shared" si="2"/>
        <v>-4.4192499999999996E-2</v>
      </c>
      <c r="I5" s="75">
        <v>0.02</v>
      </c>
      <c r="J5" s="66">
        <v>1000</v>
      </c>
      <c r="K5">
        <f t="shared" si="0"/>
        <v>-44.192499999999995</v>
      </c>
      <c r="L5">
        <f t="shared" si="3"/>
        <v>20</v>
      </c>
      <c r="M5" s="74">
        <f t="shared" si="1"/>
        <v>295.95148799999998</v>
      </c>
      <c r="N5">
        <v>0.49199999999999999</v>
      </c>
    </row>
    <row r="6" spans="1:16" ht="19.8" customHeight="1" x14ac:dyDescent="0.25">
      <c r="A6" s="66">
        <v>5</v>
      </c>
      <c r="B6" s="67" t="s">
        <v>21</v>
      </c>
      <c r="C6" s="67" t="s">
        <v>22</v>
      </c>
      <c r="D6" s="67" t="s">
        <v>23</v>
      </c>
      <c r="E6" s="68">
        <f>包工包料!X25</f>
        <v>0.30897744640000002</v>
      </c>
      <c r="F6" s="70">
        <f>待料加工!T31</f>
        <v>0.12</v>
      </c>
      <c r="G6" s="68">
        <f>待料加工!O31</f>
        <v>0.02</v>
      </c>
      <c r="H6" s="69">
        <f t="shared" si="2"/>
        <v>0.11440000000000002</v>
      </c>
      <c r="I6" s="75">
        <v>9.3002500000000016E-2</v>
      </c>
      <c r="J6" s="66">
        <v>3000</v>
      </c>
      <c r="K6">
        <f t="shared" si="0"/>
        <v>343.20000000000005</v>
      </c>
      <c r="L6">
        <f t="shared" si="3"/>
        <v>279.00750000000005</v>
      </c>
      <c r="M6" s="74">
        <f t="shared" si="1"/>
        <v>926.9323392</v>
      </c>
      <c r="N6">
        <v>0.72299999999999998</v>
      </c>
      <c r="P6">
        <f>(K6+K5)/J6</f>
        <v>9.9669166666666684E-2</v>
      </c>
    </row>
    <row r="7" spans="1:16" ht="19.8" customHeight="1" x14ac:dyDescent="0.25">
      <c r="A7" s="66">
        <v>6</v>
      </c>
      <c r="B7" s="67" t="s">
        <v>24</v>
      </c>
      <c r="C7" s="67" t="s">
        <v>25</v>
      </c>
      <c r="D7" s="67" t="s">
        <v>26</v>
      </c>
      <c r="E7" s="68">
        <f>包工包料!X32</f>
        <v>0.39158168437500002</v>
      </c>
      <c r="F7" s="67">
        <f>待料加工!T38</f>
        <v>0.08</v>
      </c>
      <c r="G7" s="68">
        <f>待料加工!O38</f>
        <v>1.4E-2</v>
      </c>
      <c r="H7" s="69">
        <f t="shared" si="2"/>
        <v>7.5600000000000014E-2</v>
      </c>
      <c r="I7" s="69">
        <v>7.5600000000000014E-2</v>
      </c>
      <c r="J7" s="66">
        <v>2000</v>
      </c>
      <c r="K7">
        <f t="shared" si="0"/>
        <v>151.20000000000002</v>
      </c>
      <c r="L7">
        <f t="shared" si="3"/>
        <v>151.20000000000002</v>
      </c>
      <c r="M7" s="74">
        <f t="shared" si="1"/>
        <v>783.16336875000002</v>
      </c>
      <c r="N7">
        <v>0.72299999999999998</v>
      </c>
    </row>
    <row r="8" spans="1:16" ht="24" customHeight="1" x14ac:dyDescent="0.25">
      <c r="A8" s="66">
        <v>7</v>
      </c>
      <c r="B8" s="71" t="s">
        <v>27</v>
      </c>
      <c r="C8" s="67" t="s">
        <v>28</v>
      </c>
      <c r="D8" s="67" t="s">
        <v>29</v>
      </c>
      <c r="E8" s="68">
        <f>包工包料!X39</f>
        <v>0.38692725487500002</v>
      </c>
      <c r="F8" s="67">
        <f>待料加工!T45</f>
        <v>0.08</v>
      </c>
      <c r="G8" s="68">
        <f>待料加工!O45</f>
        <v>0.02</v>
      </c>
      <c r="H8" s="69">
        <f t="shared" si="2"/>
        <v>6.9600000000000009E-2</v>
      </c>
      <c r="I8" s="69">
        <v>6.9600000000000009E-2</v>
      </c>
      <c r="J8" s="76">
        <v>8000</v>
      </c>
      <c r="K8">
        <f t="shared" si="0"/>
        <v>556.80000000000007</v>
      </c>
      <c r="L8">
        <f t="shared" si="3"/>
        <v>556.80000000000007</v>
      </c>
      <c r="M8" s="74">
        <f t="shared" si="1"/>
        <v>3095.4180390000001</v>
      </c>
      <c r="N8">
        <v>0.62</v>
      </c>
    </row>
    <row r="9" spans="1:16" ht="24" customHeight="1" x14ac:dyDescent="0.25">
      <c r="A9" s="66">
        <v>8</v>
      </c>
      <c r="B9" s="67" t="s">
        <v>30</v>
      </c>
      <c r="C9" s="67" t="s">
        <v>31</v>
      </c>
      <c r="D9" s="67" t="s">
        <v>29</v>
      </c>
      <c r="E9" s="68">
        <f>包工包料!X46</f>
        <v>0.38692725487500002</v>
      </c>
      <c r="F9" s="67">
        <f>待料加工!T52</f>
        <v>0.08</v>
      </c>
      <c r="G9" s="68">
        <f>待料加工!O52</f>
        <v>0.02</v>
      </c>
      <c r="H9" s="69">
        <f t="shared" si="2"/>
        <v>6.9600000000000009E-2</v>
      </c>
      <c r="I9" s="69">
        <v>6.9600000000000009E-2</v>
      </c>
      <c r="J9" s="76">
        <v>2000</v>
      </c>
      <c r="K9">
        <f t="shared" si="0"/>
        <v>139.20000000000002</v>
      </c>
      <c r="L9">
        <f t="shared" si="3"/>
        <v>139.20000000000002</v>
      </c>
      <c r="M9" s="74">
        <f t="shared" si="1"/>
        <v>773.85450975000003</v>
      </c>
      <c r="N9">
        <v>0.71399999999999997</v>
      </c>
    </row>
    <row r="10" spans="1:16" x14ac:dyDescent="0.25">
      <c r="K10" s="74">
        <f>SUM(K3:K9)</f>
        <v>4579.8074999999999</v>
      </c>
      <c r="L10" s="74">
        <f>SUM(L3:L9)</f>
        <v>4579.8074999999999</v>
      </c>
      <c r="M10" s="74">
        <f>SUM(M3:M9)</f>
        <v>10477.6743687</v>
      </c>
      <c r="N10">
        <f>L10*1.03</f>
        <v>4717.2017249999999</v>
      </c>
    </row>
  </sheetData>
  <mergeCells count="7">
    <mergeCell ref="J1:J2"/>
    <mergeCell ref="F1:I1"/>
    <mergeCell ref="A1:A2"/>
    <mergeCell ref="B1:B2"/>
    <mergeCell ref="C1:C2"/>
    <mergeCell ref="D1:D2"/>
    <mergeCell ref="E1:E2"/>
  </mergeCells>
  <phoneticPr fontId="2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24"/>
  <sheetViews>
    <sheetView workbookViewId="0">
      <selection activeCell="C6" sqref="C5:C6"/>
    </sheetView>
  </sheetViews>
  <sheetFormatPr defaultColWidth="8.88671875" defaultRowHeight="14.4" x14ac:dyDescent="0.25"/>
  <cols>
    <col min="1" max="1" width="10.33203125" style="58" customWidth="1"/>
    <col min="2" max="2" width="11.21875" style="58" customWidth="1"/>
    <col min="3" max="3" width="13.109375" style="58" customWidth="1"/>
    <col min="4" max="17" width="7" style="59" customWidth="1"/>
    <col min="18" max="16384" width="8.88671875" style="59"/>
  </cols>
  <sheetData>
    <row r="1" spans="1:3" x14ac:dyDescent="0.25">
      <c r="A1" s="60" t="s">
        <v>32</v>
      </c>
      <c r="B1" s="60" t="s">
        <v>33</v>
      </c>
      <c r="C1" s="60" t="s">
        <v>34</v>
      </c>
    </row>
    <row r="2" spans="1:3" ht="13.5" customHeight="1" x14ac:dyDescent="0.25">
      <c r="A2" s="61" t="s">
        <v>35</v>
      </c>
      <c r="B2" s="61" t="s">
        <v>36</v>
      </c>
      <c r="C2" s="62">
        <v>0.03</v>
      </c>
    </row>
    <row r="3" spans="1:3" ht="13.5" customHeight="1" x14ac:dyDescent="0.25">
      <c r="A3" s="61" t="s">
        <v>35</v>
      </c>
      <c r="B3" s="61" t="s">
        <v>37</v>
      </c>
      <c r="C3" s="62">
        <v>0.03</v>
      </c>
    </row>
    <row r="4" spans="1:3" ht="13.5" customHeight="1" x14ac:dyDescent="0.25">
      <c r="A4" s="61" t="s">
        <v>35</v>
      </c>
      <c r="B4" s="61" t="s">
        <v>38</v>
      </c>
      <c r="C4" s="62">
        <v>0.03</v>
      </c>
    </row>
    <row r="5" spans="1:3" ht="13.5" customHeight="1" x14ac:dyDescent="0.25">
      <c r="A5" s="61" t="s">
        <v>35</v>
      </c>
      <c r="B5" s="61" t="s">
        <v>39</v>
      </c>
      <c r="C5" s="62">
        <v>0.04</v>
      </c>
    </row>
    <row r="6" spans="1:3" ht="13.5" customHeight="1" x14ac:dyDescent="0.25">
      <c r="A6" s="61" t="s">
        <v>35</v>
      </c>
      <c r="B6" s="61" t="s">
        <v>40</v>
      </c>
      <c r="C6" s="62">
        <v>0.04</v>
      </c>
    </row>
    <row r="7" spans="1:3" ht="13.5" customHeight="1" x14ac:dyDescent="0.25">
      <c r="A7" s="61" t="s">
        <v>35</v>
      </c>
      <c r="B7" s="61" t="s">
        <v>41</v>
      </c>
      <c r="C7" s="62">
        <v>0.04</v>
      </c>
    </row>
    <row r="8" spans="1:3" ht="13.5" customHeight="1" x14ac:dyDescent="0.25">
      <c r="A8" s="61" t="s">
        <v>35</v>
      </c>
      <c r="B8" s="61" t="s">
        <v>42</v>
      </c>
      <c r="C8" s="62">
        <v>0.04</v>
      </c>
    </row>
    <row r="9" spans="1:3" ht="13.5" customHeight="1" x14ac:dyDescent="0.25">
      <c r="A9" s="61" t="s">
        <v>35</v>
      </c>
      <c r="B9" s="61" t="s">
        <v>43</v>
      </c>
      <c r="C9" s="62">
        <v>0.05</v>
      </c>
    </row>
    <row r="10" spans="1:3" ht="13.5" customHeight="1" x14ac:dyDescent="0.25">
      <c r="A10" s="61" t="s">
        <v>35</v>
      </c>
      <c r="B10" s="61" t="s">
        <v>44</v>
      </c>
      <c r="C10" s="62">
        <v>7.0000000000000007E-2</v>
      </c>
    </row>
    <row r="11" spans="1:3" ht="13.5" customHeight="1" x14ac:dyDescent="0.25">
      <c r="A11" s="61" t="s">
        <v>35</v>
      </c>
      <c r="B11" s="61" t="s">
        <v>45</v>
      </c>
      <c r="C11" s="62">
        <v>7.4999999999999997E-2</v>
      </c>
    </row>
    <row r="12" spans="1:3" ht="13.5" customHeight="1" x14ac:dyDescent="0.25">
      <c r="A12" s="61" t="s">
        <v>35</v>
      </c>
      <c r="B12" s="61" t="s">
        <v>46</v>
      </c>
      <c r="C12" s="62">
        <v>0.08</v>
      </c>
    </row>
    <row r="13" spans="1:3" ht="13.5" customHeight="1" x14ac:dyDescent="0.25">
      <c r="A13" s="61" t="s">
        <v>35</v>
      </c>
      <c r="B13" s="61" t="s">
        <v>47</v>
      </c>
      <c r="C13" s="62">
        <v>0.1</v>
      </c>
    </row>
    <row r="14" spans="1:3" ht="13.5" customHeight="1" x14ac:dyDescent="0.25">
      <c r="A14" s="61" t="s">
        <v>35</v>
      </c>
      <c r="B14" s="61" t="s">
        <v>48</v>
      </c>
      <c r="C14" s="63">
        <v>0.15</v>
      </c>
    </row>
    <row r="15" spans="1:3" ht="13.5" customHeight="1" x14ac:dyDescent="0.25">
      <c r="A15" s="61" t="s">
        <v>35</v>
      </c>
      <c r="B15" s="61" t="s">
        <v>49</v>
      </c>
      <c r="C15" s="62">
        <v>0.18</v>
      </c>
    </row>
    <row r="16" spans="1:3" ht="13.5" customHeight="1" x14ac:dyDescent="0.25">
      <c r="A16" s="61" t="s">
        <v>35</v>
      </c>
      <c r="B16" s="61" t="s">
        <v>50</v>
      </c>
      <c r="C16" s="63">
        <v>0.2</v>
      </c>
    </row>
    <row r="17" spans="1:3" ht="13.5" customHeight="1" x14ac:dyDescent="0.25">
      <c r="A17" s="61" t="s">
        <v>35</v>
      </c>
      <c r="B17" s="61" t="s">
        <v>51</v>
      </c>
      <c r="C17" s="63">
        <v>0.28000000000000003</v>
      </c>
    </row>
    <row r="18" spans="1:3" ht="13.5" customHeight="1" x14ac:dyDescent="0.25">
      <c r="A18" s="61" t="s">
        <v>35</v>
      </c>
      <c r="B18" s="61" t="s">
        <v>52</v>
      </c>
      <c r="C18" s="63"/>
    </row>
    <row r="19" spans="1:3" ht="13.5" customHeight="1" x14ac:dyDescent="0.25">
      <c r="A19" s="61" t="s">
        <v>53</v>
      </c>
      <c r="B19" s="61" t="s">
        <v>47</v>
      </c>
      <c r="C19" s="63"/>
    </row>
    <row r="20" spans="1:3" x14ac:dyDescent="0.25">
      <c r="A20" s="61" t="s">
        <v>53</v>
      </c>
      <c r="B20" s="61" t="s">
        <v>48</v>
      </c>
      <c r="C20" s="63">
        <v>0.2</v>
      </c>
    </row>
    <row r="21" spans="1:3" x14ac:dyDescent="0.25">
      <c r="A21" s="61" t="s">
        <v>53</v>
      </c>
      <c r="B21" s="61" t="s">
        <v>50</v>
      </c>
      <c r="C21" s="63">
        <v>0.25</v>
      </c>
    </row>
    <row r="22" spans="1:3" x14ac:dyDescent="0.25">
      <c r="A22" s="61" t="s">
        <v>53</v>
      </c>
      <c r="B22" s="61" t="s">
        <v>54</v>
      </c>
      <c r="C22" s="63">
        <v>0.53</v>
      </c>
    </row>
    <row r="23" spans="1:3" x14ac:dyDescent="0.25">
      <c r="A23" s="61" t="s">
        <v>55</v>
      </c>
      <c r="B23" s="61" t="s">
        <v>56</v>
      </c>
      <c r="C23" s="63">
        <v>0.04</v>
      </c>
    </row>
    <row r="24" spans="1:3" x14ac:dyDescent="0.25">
      <c r="A24" s="61" t="s">
        <v>57</v>
      </c>
      <c r="B24" s="61" t="s">
        <v>58</v>
      </c>
      <c r="C24" s="61">
        <v>7.0000000000000007E-2</v>
      </c>
    </row>
  </sheetData>
  <phoneticPr fontId="2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F52"/>
  <sheetViews>
    <sheetView workbookViewId="0">
      <pane xSplit="8" ySplit="3" topLeftCell="I4" activePane="bottomRight" state="frozen"/>
      <selection pane="topRight"/>
      <selection pane="bottomLeft"/>
      <selection pane="bottomRight" activeCell="P12" sqref="P12:Q12"/>
    </sheetView>
  </sheetViews>
  <sheetFormatPr defaultColWidth="9" defaultRowHeight="14.4" x14ac:dyDescent="0.25"/>
  <cols>
    <col min="1" max="1" width="3.33203125" customWidth="1"/>
    <col min="2" max="2" width="13.77734375" customWidth="1"/>
    <col min="6" max="7" width="8" customWidth="1"/>
    <col min="8" max="8" width="5.44140625" customWidth="1"/>
    <col min="9" max="10" width="7.6640625" style="18" customWidth="1"/>
    <col min="11" max="11" width="7.77734375" customWidth="1"/>
    <col min="12" max="12" width="6.77734375" customWidth="1"/>
    <col min="13" max="13" width="7.77734375" customWidth="1"/>
    <col min="14" max="14" width="7.109375" customWidth="1"/>
    <col min="15" max="15" width="8.88671875" customWidth="1"/>
    <col min="16" max="16" width="9.21875" customWidth="1"/>
    <col min="17" max="18" width="7.109375" customWidth="1"/>
    <col min="19" max="19" width="6.44140625" customWidth="1"/>
    <col min="20" max="20" width="8.33203125" customWidth="1"/>
    <col min="21" max="21" width="8.6640625" style="19" customWidth="1"/>
    <col min="22" max="23" width="5.44140625" customWidth="1"/>
    <col min="27" max="27" width="9.88671875" customWidth="1"/>
    <col min="32" max="32" width="10.5546875" customWidth="1"/>
  </cols>
  <sheetData>
    <row r="1" spans="1:32" s="17" customFormat="1" ht="17.399999999999999" x14ac:dyDescent="0.25">
      <c r="A1" s="86" t="s">
        <v>59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Y1" s="51"/>
    </row>
    <row r="2" spans="1:32" s="17" customFormat="1" ht="13.5" customHeight="1" x14ac:dyDescent="0.25">
      <c r="A2" s="20" t="s">
        <v>60</v>
      </c>
      <c r="B2" s="96" t="s">
        <v>1</v>
      </c>
      <c r="C2" s="102" t="s">
        <v>61</v>
      </c>
      <c r="D2" s="104" t="s">
        <v>62</v>
      </c>
      <c r="E2" s="104" t="s">
        <v>63</v>
      </c>
      <c r="F2" s="87" t="s">
        <v>64</v>
      </c>
      <c r="G2" s="87"/>
      <c r="H2" s="87"/>
      <c r="I2" s="88" t="s">
        <v>65</v>
      </c>
      <c r="J2" s="89"/>
      <c r="K2" s="90" t="s">
        <v>66</v>
      </c>
      <c r="L2" s="91"/>
      <c r="M2" s="92"/>
      <c r="N2" s="107" t="s">
        <v>67</v>
      </c>
      <c r="O2" s="88" t="s">
        <v>68</v>
      </c>
      <c r="P2" s="93"/>
      <c r="Q2" s="93"/>
      <c r="R2" s="93"/>
      <c r="S2" s="89"/>
      <c r="T2" s="107" t="s">
        <v>69</v>
      </c>
      <c r="U2" s="111" t="s">
        <v>70</v>
      </c>
      <c r="V2" s="102" t="s">
        <v>71</v>
      </c>
      <c r="W2" s="117" t="s">
        <v>72</v>
      </c>
      <c r="X2" s="102" t="s">
        <v>73</v>
      </c>
      <c r="Y2" s="51"/>
    </row>
    <row r="3" spans="1:32" s="17" customFormat="1" x14ac:dyDescent="0.25">
      <c r="A3" s="22" t="s">
        <v>74</v>
      </c>
      <c r="B3" s="98"/>
      <c r="C3" s="103"/>
      <c r="D3" s="105"/>
      <c r="E3" s="106"/>
      <c r="F3" s="21" t="s">
        <v>75</v>
      </c>
      <c r="G3" s="21" t="s">
        <v>76</v>
      </c>
      <c r="H3" s="21" t="s">
        <v>77</v>
      </c>
      <c r="I3" s="29" t="s">
        <v>78</v>
      </c>
      <c r="J3" s="29" t="s">
        <v>79</v>
      </c>
      <c r="K3" s="30" t="s">
        <v>80</v>
      </c>
      <c r="L3" s="30" t="s">
        <v>81</v>
      </c>
      <c r="M3" s="30" t="s">
        <v>79</v>
      </c>
      <c r="N3" s="108"/>
      <c r="O3" s="29" t="s">
        <v>82</v>
      </c>
      <c r="P3" s="29" t="s">
        <v>83</v>
      </c>
      <c r="Q3" s="29" t="s">
        <v>34</v>
      </c>
      <c r="R3" s="44" t="s">
        <v>84</v>
      </c>
      <c r="S3" s="45" t="s">
        <v>85</v>
      </c>
      <c r="T3" s="109"/>
      <c r="U3" s="112"/>
      <c r="V3" s="103"/>
      <c r="W3" s="102"/>
      <c r="X3" s="103"/>
      <c r="Y3" s="51"/>
    </row>
    <row r="4" spans="1:32" s="17" customFormat="1" x14ac:dyDescent="0.25">
      <c r="A4" s="96">
        <v>1</v>
      </c>
      <c r="B4" s="99" t="s">
        <v>13</v>
      </c>
      <c r="C4" s="99" t="s">
        <v>14</v>
      </c>
      <c r="D4" s="99"/>
      <c r="E4" s="23" t="s">
        <v>86</v>
      </c>
      <c r="F4" s="24">
        <f>75+1*1.5</f>
        <v>76.5</v>
      </c>
      <c r="G4" s="24">
        <f>25+1*1.5</f>
        <v>26.5</v>
      </c>
      <c r="H4" s="24">
        <v>1</v>
      </c>
      <c r="I4" s="31">
        <v>4.5</v>
      </c>
      <c r="J4" s="31">
        <v>2.5</v>
      </c>
      <c r="K4" s="43">
        <f>F4*G4*H4*7.85/1000000</f>
        <v>1.5913912499999999E-2</v>
      </c>
      <c r="L4" s="33">
        <v>0.01</v>
      </c>
      <c r="M4" s="34">
        <f>K4-L4</f>
        <v>5.9139125000000001E-3</v>
      </c>
      <c r="N4" s="35">
        <f>I4*K4-J4*M4</f>
        <v>5.6827824999999998E-2</v>
      </c>
      <c r="O4" s="36" t="s">
        <v>87</v>
      </c>
      <c r="P4" s="49" t="s">
        <v>39</v>
      </c>
      <c r="Q4" s="47">
        <f>VLOOKUP(P4,冲压工序费!B:C,2,0)</f>
        <v>0.04</v>
      </c>
      <c r="R4" s="48">
        <v>2</v>
      </c>
      <c r="S4" s="47">
        <f>Q4/R4</f>
        <v>0.02</v>
      </c>
      <c r="T4" s="110">
        <v>1.1200000000000001</v>
      </c>
      <c r="U4" s="113">
        <f>(N10+S10)*T4</f>
        <v>0.28764716400000001</v>
      </c>
      <c r="V4" s="116">
        <v>0</v>
      </c>
      <c r="W4" s="118">
        <v>0</v>
      </c>
      <c r="X4" s="55">
        <f>U4+IF(V4=0,0,V4/W4)</f>
        <v>0.28764716400000001</v>
      </c>
      <c r="Y4" s="51"/>
    </row>
    <row r="5" spans="1:32" s="17" customFormat="1" x14ac:dyDescent="0.25">
      <c r="A5" s="97"/>
      <c r="B5" s="100"/>
      <c r="C5" s="100"/>
      <c r="D5" s="100"/>
      <c r="E5" s="25"/>
      <c r="F5" s="26"/>
      <c r="G5" s="26"/>
      <c r="H5" s="27"/>
      <c r="I5" s="37"/>
      <c r="J5" s="38"/>
      <c r="K5" s="32">
        <v>3.6400000000000002E-2</v>
      </c>
      <c r="L5" s="25"/>
      <c r="M5" s="40"/>
      <c r="N5" s="41"/>
      <c r="O5" s="36" t="s">
        <v>88</v>
      </c>
      <c r="P5" s="49" t="s">
        <v>89</v>
      </c>
      <c r="Q5" s="47">
        <v>0.2</v>
      </c>
      <c r="R5" s="48">
        <v>2</v>
      </c>
      <c r="S5" s="47">
        <f t="shared" ref="S5:S9" si="0">Q5/R5</f>
        <v>0.1</v>
      </c>
      <c r="T5" s="110"/>
      <c r="U5" s="114"/>
      <c r="V5" s="116"/>
      <c r="W5" s="119"/>
      <c r="X5" s="56"/>
      <c r="Y5" s="51"/>
      <c r="AA5" s="52"/>
      <c r="AE5" s="53"/>
      <c r="AF5" s="52"/>
    </row>
    <row r="6" spans="1:32" s="17" customFormat="1" x14ac:dyDescent="0.25">
      <c r="A6" s="97"/>
      <c r="B6" s="100"/>
      <c r="C6" s="100"/>
      <c r="D6" s="100"/>
      <c r="E6" s="25"/>
      <c r="F6" s="26"/>
      <c r="G6" s="26"/>
      <c r="H6" s="27"/>
      <c r="I6" s="38"/>
      <c r="J6" s="38"/>
      <c r="K6" s="39"/>
      <c r="L6" s="25"/>
      <c r="M6" s="40"/>
      <c r="N6" s="35"/>
      <c r="O6" s="36" t="s">
        <v>90</v>
      </c>
      <c r="P6" s="49" t="s">
        <v>39</v>
      </c>
      <c r="Q6" s="47">
        <f>VLOOKUP(P6,冲压工序费!B:C,2,0)</f>
        <v>0.04</v>
      </c>
      <c r="R6" s="48">
        <v>2</v>
      </c>
      <c r="S6" s="47">
        <f t="shared" si="0"/>
        <v>0.02</v>
      </c>
      <c r="T6" s="110"/>
      <c r="U6" s="114"/>
      <c r="V6" s="116"/>
      <c r="W6" s="119"/>
      <c r="X6" s="56"/>
      <c r="Y6" s="51"/>
    </row>
    <row r="7" spans="1:32" s="17" customFormat="1" x14ac:dyDescent="0.25">
      <c r="A7" s="97"/>
      <c r="B7" s="100"/>
      <c r="C7" s="100"/>
      <c r="D7" s="100"/>
      <c r="E7" s="25"/>
      <c r="F7" s="26"/>
      <c r="G7" s="26"/>
      <c r="H7" s="27"/>
      <c r="I7" s="38"/>
      <c r="J7" s="38"/>
      <c r="K7" s="39"/>
      <c r="L7" s="25"/>
      <c r="M7" s="40"/>
      <c r="N7" s="35"/>
      <c r="O7" s="36" t="s">
        <v>91</v>
      </c>
      <c r="P7" s="49" t="s">
        <v>39</v>
      </c>
      <c r="Q7" s="47">
        <f>VLOOKUP(P7,冲压工序费!B:C,2,0)</f>
        <v>0.04</v>
      </c>
      <c r="R7" s="48">
        <v>2</v>
      </c>
      <c r="S7" s="47">
        <f t="shared" si="0"/>
        <v>0.02</v>
      </c>
      <c r="T7" s="110"/>
      <c r="U7" s="114"/>
      <c r="V7" s="116"/>
      <c r="W7" s="119"/>
      <c r="X7" s="56"/>
      <c r="Y7" s="51"/>
    </row>
    <row r="8" spans="1:32" s="17" customFormat="1" x14ac:dyDescent="0.25">
      <c r="A8" s="97"/>
      <c r="B8" s="100"/>
      <c r="C8" s="100"/>
      <c r="D8" s="100"/>
      <c r="E8" s="25"/>
      <c r="F8" s="26"/>
      <c r="G8" s="26"/>
      <c r="H8" s="27"/>
      <c r="I8" s="38"/>
      <c r="J8" s="38"/>
      <c r="K8" s="39"/>
      <c r="L8" s="25"/>
      <c r="M8" s="40"/>
      <c r="N8" s="35"/>
      <c r="O8" s="36" t="s">
        <v>92</v>
      </c>
      <c r="P8" s="49" t="s">
        <v>39</v>
      </c>
      <c r="Q8" s="47">
        <f>VLOOKUP(P8,冲压工序费!B:C,2,0)</f>
        <v>0.04</v>
      </c>
      <c r="R8" s="48">
        <v>2</v>
      </c>
      <c r="S8" s="47">
        <f t="shared" si="0"/>
        <v>0.02</v>
      </c>
      <c r="T8" s="110"/>
      <c r="U8" s="114"/>
      <c r="V8" s="116"/>
      <c r="W8" s="119"/>
      <c r="X8" s="56"/>
      <c r="Y8" s="51"/>
    </row>
    <row r="9" spans="1:32" s="17" customFormat="1" x14ac:dyDescent="0.25">
      <c r="A9" s="97"/>
      <c r="B9" s="100"/>
      <c r="C9" s="100"/>
      <c r="D9" s="100"/>
      <c r="E9" s="25"/>
      <c r="F9" s="26"/>
      <c r="G9" s="26"/>
      <c r="H9" s="27"/>
      <c r="I9" s="38"/>
      <c r="J9" s="38"/>
      <c r="K9" s="39"/>
      <c r="L9" s="25"/>
      <c r="M9" s="40"/>
      <c r="N9" s="35"/>
      <c r="O9" s="36" t="s">
        <v>93</v>
      </c>
      <c r="P9" s="49" t="s">
        <v>39</v>
      </c>
      <c r="Q9" s="47">
        <f>VLOOKUP(P9,冲压工序费!B:C,2,0)</f>
        <v>0.04</v>
      </c>
      <c r="R9" s="48">
        <v>2</v>
      </c>
      <c r="S9" s="47">
        <f t="shared" si="0"/>
        <v>0.02</v>
      </c>
      <c r="T9" s="110"/>
      <c r="U9" s="114"/>
      <c r="V9" s="116"/>
      <c r="W9" s="119"/>
      <c r="X9" s="56"/>
      <c r="Y9" s="51"/>
    </row>
    <row r="10" spans="1:32" s="17" customFormat="1" x14ac:dyDescent="0.25">
      <c r="A10" s="98"/>
      <c r="B10" s="101"/>
      <c r="C10" s="101"/>
      <c r="D10" s="101"/>
      <c r="E10" s="94" t="s">
        <v>94</v>
      </c>
      <c r="F10" s="94"/>
      <c r="G10" s="94"/>
      <c r="H10" s="94"/>
      <c r="I10" s="94"/>
      <c r="J10" s="94"/>
      <c r="K10" s="94"/>
      <c r="L10" s="94"/>
      <c r="M10" s="94"/>
      <c r="N10" s="42">
        <f>SUM(N4:N9)</f>
        <v>5.6827824999999998E-2</v>
      </c>
      <c r="O10" s="95" t="s">
        <v>95</v>
      </c>
      <c r="P10" s="95"/>
      <c r="Q10" s="95"/>
      <c r="R10" s="95"/>
      <c r="S10" s="50">
        <f>SUM(S4:S9)</f>
        <v>0.2</v>
      </c>
      <c r="T10" s="110"/>
      <c r="U10" s="115"/>
      <c r="V10" s="116"/>
      <c r="W10" s="120"/>
      <c r="X10" s="57"/>
      <c r="Y10" s="51"/>
    </row>
    <row r="11" spans="1:32" s="17" customFormat="1" x14ac:dyDescent="0.25">
      <c r="A11" s="96">
        <v>2</v>
      </c>
      <c r="B11" s="99" t="s">
        <v>16</v>
      </c>
      <c r="C11" s="99" t="s">
        <v>17</v>
      </c>
      <c r="D11" s="99"/>
      <c r="E11" s="23" t="s">
        <v>86</v>
      </c>
      <c r="F11" s="24">
        <f>75+1*1.5</f>
        <v>76.5</v>
      </c>
      <c r="G11" s="24">
        <f>25+1*1.5</f>
        <v>26.5</v>
      </c>
      <c r="H11" s="24">
        <v>1</v>
      </c>
      <c r="I11" s="31">
        <v>4.5</v>
      </c>
      <c r="J11" s="31">
        <v>2.5</v>
      </c>
      <c r="K11" s="43">
        <f>F11*G11*H11*7.85/1000000</f>
        <v>1.5913912499999999E-2</v>
      </c>
      <c r="L11" s="33">
        <v>0.01</v>
      </c>
      <c r="M11" s="34">
        <f>K11-L11</f>
        <v>5.9139125000000001E-3</v>
      </c>
      <c r="N11" s="35">
        <f>I11*K11-J11*M11</f>
        <v>5.6827824999999998E-2</v>
      </c>
      <c r="O11" s="36" t="s">
        <v>87</v>
      </c>
      <c r="P11" s="49" t="s">
        <v>39</v>
      </c>
      <c r="Q11" s="47">
        <f>VLOOKUP(P11,冲压工序费!B:C,2,0)</f>
        <v>0.04</v>
      </c>
      <c r="R11" s="48">
        <v>2</v>
      </c>
      <c r="S11" s="47">
        <f>Q11/R11</f>
        <v>0.02</v>
      </c>
      <c r="T11" s="110">
        <v>1.1200000000000001</v>
      </c>
      <c r="U11" s="113">
        <f>(N17+S17)*T11</f>
        <v>0.28764716400000001</v>
      </c>
      <c r="V11" s="116">
        <v>0</v>
      </c>
      <c r="W11" s="118">
        <v>0</v>
      </c>
      <c r="X11" s="55">
        <f>U11+IF(V11=0,0,V11/W11)</f>
        <v>0.28764716400000001</v>
      </c>
      <c r="Y11" s="51"/>
    </row>
    <row r="12" spans="1:32" s="17" customFormat="1" x14ac:dyDescent="0.25">
      <c r="A12" s="97"/>
      <c r="B12" s="100"/>
      <c r="C12" s="100"/>
      <c r="D12" s="100"/>
      <c r="E12" s="25"/>
      <c r="F12" s="26"/>
      <c r="G12" s="26"/>
      <c r="H12" s="27"/>
      <c r="I12" s="37"/>
      <c r="J12" s="38"/>
      <c r="K12" s="32">
        <v>3.6400000000000002E-2</v>
      </c>
      <c r="L12" s="25"/>
      <c r="M12" s="40"/>
      <c r="N12" s="41"/>
      <c r="O12" s="36" t="s">
        <v>88</v>
      </c>
      <c r="P12" s="49" t="s">
        <v>89</v>
      </c>
      <c r="Q12" s="47">
        <v>0.2</v>
      </c>
      <c r="R12" s="48">
        <v>2</v>
      </c>
      <c r="S12" s="47">
        <f t="shared" ref="S12:S16" si="1">Q12/R12</f>
        <v>0.1</v>
      </c>
      <c r="T12" s="110"/>
      <c r="U12" s="114"/>
      <c r="V12" s="116"/>
      <c r="W12" s="119"/>
      <c r="X12" s="56"/>
      <c r="Y12" s="51"/>
      <c r="AA12" s="52"/>
      <c r="AE12" s="53"/>
      <c r="AF12" s="52"/>
    </row>
    <row r="13" spans="1:32" s="17" customFormat="1" x14ac:dyDescent="0.25">
      <c r="A13" s="97"/>
      <c r="B13" s="100"/>
      <c r="C13" s="100"/>
      <c r="D13" s="100"/>
      <c r="E13" s="25"/>
      <c r="F13" s="26"/>
      <c r="G13" s="26"/>
      <c r="H13" s="27"/>
      <c r="I13" s="38"/>
      <c r="J13" s="38"/>
      <c r="K13" s="39"/>
      <c r="L13" s="25"/>
      <c r="M13" s="40"/>
      <c r="N13" s="35"/>
      <c r="O13" s="36" t="s">
        <v>90</v>
      </c>
      <c r="P13" s="49" t="s">
        <v>39</v>
      </c>
      <c r="Q13" s="47">
        <f>VLOOKUP(P13,冲压工序费!B:C,2,0)</f>
        <v>0.04</v>
      </c>
      <c r="R13" s="48">
        <v>2</v>
      </c>
      <c r="S13" s="47">
        <f t="shared" si="1"/>
        <v>0.02</v>
      </c>
      <c r="T13" s="110"/>
      <c r="U13" s="114"/>
      <c r="V13" s="116"/>
      <c r="W13" s="119"/>
      <c r="X13" s="56"/>
      <c r="Y13" s="51"/>
    </row>
    <row r="14" spans="1:32" s="17" customFormat="1" x14ac:dyDescent="0.25">
      <c r="A14" s="97"/>
      <c r="B14" s="100"/>
      <c r="C14" s="100"/>
      <c r="D14" s="100"/>
      <c r="E14" s="25"/>
      <c r="F14" s="26"/>
      <c r="G14" s="26"/>
      <c r="H14" s="27"/>
      <c r="I14" s="38"/>
      <c r="J14" s="38"/>
      <c r="K14" s="39"/>
      <c r="L14" s="25"/>
      <c r="M14" s="40"/>
      <c r="N14" s="35"/>
      <c r="O14" s="36" t="s">
        <v>91</v>
      </c>
      <c r="P14" s="49" t="s">
        <v>39</v>
      </c>
      <c r="Q14" s="47">
        <f>VLOOKUP(P14,冲压工序费!B:C,2,0)</f>
        <v>0.04</v>
      </c>
      <c r="R14" s="48">
        <v>2</v>
      </c>
      <c r="S14" s="47">
        <f t="shared" si="1"/>
        <v>0.02</v>
      </c>
      <c r="T14" s="110"/>
      <c r="U14" s="114"/>
      <c r="V14" s="116"/>
      <c r="W14" s="119"/>
      <c r="X14" s="56"/>
      <c r="Y14" s="51"/>
    </row>
    <row r="15" spans="1:32" s="17" customFormat="1" x14ac:dyDescent="0.25">
      <c r="A15" s="97"/>
      <c r="B15" s="100"/>
      <c r="C15" s="100"/>
      <c r="D15" s="100"/>
      <c r="E15" s="25"/>
      <c r="F15" s="26"/>
      <c r="G15" s="26"/>
      <c r="H15" s="27"/>
      <c r="I15" s="38"/>
      <c r="J15" s="38"/>
      <c r="K15" s="39"/>
      <c r="L15" s="25"/>
      <c r="M15" s="40"/>
      <c r="N15" s="35"/>
      <c r="O15" s="36" t="s">
        <v>92</v>
      </c>
      <c r="P15" s="49" t="s">
        <v>39</v>
      </c>
      <c r="Q15" s="47">
        <f>VLOOKUP(P15,冲压工序费!B:C,2,0)</f>
        <v>0.04</v>
      </c>
      <c r="R15" s="48">
        <v>2</v>
      </c>
      <c r="S15" s="47">
        <f t="shared" si="1"/>
        <v>0.02</v>
      </c>
      <c r="T15" s="110"/>
      <c r="U15" s="114"/>
      <c r="V15" s="116"/>
      <c r="W15" s="119"/>
      <c r="X15" s="56"/>
      <c r="Y15" s="51"/>
    </row>
    <row r="16" spans="1:32" s="17" customFormat="1" x14ac:dyDescent="0.25">
      <c r="A16" s="97"/>
      <c r="B16" s="100"/>
      <c r="C16" s="100"/>
      <c r="D16" s="100"/>
      <c r="E16" s="25"/>
      <c r="F16" s="26"/>
      <c r="G16" s="26"/>
      <c r="H16" s="27"/>
      <c r="I16" s="38"/>
      <c r="J16" s="38"/>
      <c r="K16" s="39"/>
      <c r="L16" s="25"/>
      <c r="M16" s="40"/>
      <c r="N16" s="35"/>
      <c r="O16" s="36" t="s">
        <v>93</v>
      </c>
      <c r="P16" s="49" t="s">
        <v>39</v>
      </c>
      <c r="Q16" s="47">
        <f>VLOOKUP(P16,冲压工序费!B:C,2,0)</f>
        <v>0.04</v>
      </c>
      <c r="R16" s="48">
        <v>2</v>
      </c>
      <c r="S16" s="47">
        <f t="shared" si="1"/>
        <v>0.02</v>
      </c>
      <c r="T16" s="110"/>
      <c r="U16" s="114"/>
      <c r="V16" s="116"/>
      <c r="W16" s="119"/>
      <c r="X16" s="56"/>
      <c r="Y16" s="51"/>
    </row>
    <row r="17" spans="1:32" s="17" customFormat="1" x14ac:dyDescent="0.25">
      <c r="A17" s="98"/>
      <c r="B17" s="101"/>
      <c r="C17" s="101"/>
      <c r="D17" s="101"/>
      <c r="E17" s="94" t="s">
        <v>94</v>
      </c>
      <c r="F17" s="94"/>
      <c r="G17" s="94"/>
      <c r="H17" s="94"/>
      <c r="I17" s="94"/>
      <c r="J17" s="94"/>
      <c r="K17" s="94"/>
      <c r="L17" s="94"/>
      <c r="M17" s="94"/>
      <c r="N17" s="42">
        <f>SUM(N11:N16)</f>
        <v>5.6827824999999998E-2</v>
      </c>
      <c r="O17" s="95" t="s">
        <v>95</v>
      </c>
      <c r="P17" s="95"/>
      <c r="Q17" s="95"/>
      <c r="R17" s="95"/>
      <c r="S17" s="50">
        <f>SUM(S11:S16)</f>
        <v>0.2</v>
      </c>
      <c r="T17" s="110"/>
      <c r="U17" s="115"/>
      <c r="V17" s="116"/>
      <c r="W17" s="120"/>
      <c r="X17" s="57"/>
      <c r="Y17" s="51"/>
    </row>
    <row r="18" spans="1:32" s="17" customFormat="1" x14ac:dyDescent="0.25">
      <c r="A18" s="96">
        <v>3</v>
      </c>
      <c r="B18" s="99" t="s">
        <v>18</v>
      </c>
      <c r="C18" s="99" t="s">
        <v>19</v>
      </c>
      <c r="D18" s="99"/>
      <c r="E18" s="23" t="s">
        <v>96</v>
      </c>
      <c r="F18" s="24">
        <f>67+H18*1.5</f>
        <v>70</v>
      </c>
      <c r="G18" s="24">
        <f>53+H18*1.5</f>
        <v>56</v>
      </c>
      <c r="H18" s="24">
        <v>2</v>
      </c>
      <c r="I18" s="31">
        <v>4.5999999999999996</v>
      </c>
      <c r="J18" s="31">
        <v>2.5</v>
      </c>
      <c r="K18" s="43">
        <f>F18*G18*H18*7.85/1000000</f>
        <v>6.1544000000000001E-2</v>
      </c>
      <c r="L18" s="33">
        <v>2.1999999999999999E-2</v>
      </c>
      <c r="M18" s="34">
        <f>K18-L18</f>
        <v>3.9544000000000003E-2</v>
      </c>
      <c r="N18" s="35">
        <f>I18*K18-J18*M18</f>
        <v>0.1842424</v>
      </c>
      <c r="O18" s="36" t="s">
        <v>87</v>
      </c>
      <c r="P18" s="49" t="s">
        <v>41</v>
      </c>
      <c r="Q18" s="47">
        <f>VLOOKUP(P18,冲压工序费!B:C,2,0)</f>
        <v>0.04</v>
      </c>
      <c r="R18" s="48">
        <v>1</v>
      </c>
      <c r="S18" s="47">
        <f>Q18/R18</f>
        <v>0.04</v>
      </c>
      <c r="T18" s="110">
        <v>1.1200000000000001</v>
      </c>
      <c r="U18" s="113">
        <f>(N24+S24)*T18</f>
        <v>0.29595148799999998</v>
      </c>
      <c r="V18" s="116">
        <v>0</v>
      </c>
      <c r="W18" s="118">
        <v>0</v>
      </c>
      <c r="X18" s="55">
        <f>U18+IF(V18=0,0,V18/W18)</f>
        <v>0.29595148799999998</v>
      </c>
      <c r="Y18" s="51"/>
    </row>
    <row r="19" spans="1:32" s="17" customFormat="1" x14ac:dyDescent="0.25">
      <c r="A19" s="97"/>
      <c r="B19" s="100"/>
      <c r="C19" s="100"/>
      <c r="D19" s="100"/>
      <c r="E19" s="25"/>
      <c r="F19" s="26"/>
      <c r="G19" s="26"/>
      <c r="H19" s="27"/>
      <c r="I19" s="37"/>
      <c r="J19" s="38"/>
      <c r="K19" s="54">
        <v>4.4999999999999998E-2</v>
      </c>
      <c r="L19" s="25"/>
      <c r="M19" s="40"/>
      <c r="N19" s="41"/>
      <c r="O19" s="36" t="s">
        <v>88</v>
      </c>
      <c r="P19" s="49" t="s">
        <v>39</v>
      </c>
      <c r="Q19" s="47">
        <f>VLOOKUP(P19,冲压工序费!B:C,2,0)</f>
        <v>0.04</v>
      </c>
      <c r="R19" s="48">
        <v>1</v>
      </c>
      <c r="S19" s="47">
        <f t="shared" ref="S19" si="2">Q19/R19</f>
        <v>0.04</v>
      </c>
      <c r="T19" s="110"/>
      <c r="U19" s="114"/>
      <c r="V19" s="116"/>
      <c r="W19" s="119"/>
      <c r="X19" s="56"/>
      <c r="Y19" s="51"/>
      <c r="AA19" s="52"/>
      <c r="AE19" s="53"/>
      <c r="AF19" s="52"/>
    </row>
    <row r="20" spans="1:32" s="17" customFormat="1" x14ac:dyDescent="0.25">
      <c r="A20" s="97"/>
      <c r="B20" s="100"/>
      <c r="C20" s="100"/>
      <c r="D20" s="100"/>
      <c r="E20" s="25"/>
      <c r="F20" s="26"/>
      <c r="G20" s="26"/>
      <c r="H20" s="27"/>
      <c r="I20" s="38"/>
      <c r="J20" s="38"/>
      <c r="K20" s="39"/>
      <c r="L20" s="25"/>
      <c r="M20" s="40"/>
      <c r="N20" s="35"/>
      <c r="O20" s="36"/>
      <c r="P20" s="49"/>
      <c r="Q20" s="47"/>
      <c r="R20" s="48"/>
      <c r="S20" s="47"/>
      <c r="T20" s="110"/>
      <c r="U20" s="114"/>
      <c r="V20" s="116"/>
      <c r="W20" s="119"/>
      <c r="X20" s="56"/>
      <c r="Y20" s="51"/>
    </row>
    <row r="21" spans="1:32" s="17" customFormat="1" x14ac:dyDescent="0.25">
      <c r="A21" s="97"/>
      <c r="B21" s="100"/>
      <c r="C21" s="100"/>
      <c r="D21" s="100"/>
      <c r="E21" s="25"/>
      <c r="F21" s="26"/>
      <c r="G21" s="26"/>
      <c r="H21" s="27"/>
      <c r="I21" s="38"/>
      <c r="J21" s="38"/>
      <c r="K21" s="39"/>
      <c r="L21" s="25"/>
      <c r="M21" s="40"/>
      <c r="N21" s="35"/>
      <c r="O21" s="36"/>
      <c r="P21" s="49"/>
      <c r="Q21" s="47"/>
      <c r="R21" s="48"/>
      <c r="S21" s="47"/>
      <c r="T21" s="110"/>
      <c r="U21" s="114"/>
      <c r="V21" s="116"/>
      <c r="W21" s="119"/>
      <c r="X21" s="56"/>
      <c r="Y21" s="51"/>
    </row>
    <row r="22" spans="1:32" s="17" customFormat="1" x14ac:dyDescent="0.25">
      <c r="A22" s="97"/>
      <c r="B22" s="100"/>
      <c r="C22" s="100"/>
      <c r="D22" s="100"/>
      <c r="E22" s="25"/>
      <c r="F22" s="26"/>
      <c r="G22" s="26"/>
      <c r="H22" s="27"/>
      <c r="I22" s="38"/>
      <c r="J22" s="38"/>
      <c r="K22" s="39"/>
      <c r="L22" s="25"/>
      <c r="M22" s="40"/>
      <c r="N22" s="35"/>
      <c r="O22" s="36"/>
      <c r="P22" s="49"/>
      <c r="Q22" s="47"/>
      <c r="R22" s="48"/>
      <c r="S22" s="47"/>
      <c r="T22" s="110"/>
      <c r="U22" s="114"/>
      <c r="V22" s="116"/>
      <c r="W22" s="119"/>
      <c r="X22" s="56"/>
      <c r="Y22" s="51"/>
    </row>
    <row r="23" spans="1:32" s="17" customFormat="1" x14ac:dyDescent="0.25">
      <c r="A23" s="97"/>
      <c r="B23" s="100"/>
      <c r="C23" s="100"/>
      <c r="D23" s="100"/>
      <c r="E23" s="25"/>
      <c r="F23" s="26"/>
      <c r="G23" s="26"/>
      <c r="H23" s="27"/>
      <c r="I23" s="38"/>
      <c r="J23" s="38"/>
      <c r="K23" s="39"/>
      <c r="L23" s="25"/>
      <c r="M23" s="40"/>
      <c r="N23" s="35"/>
      <c r="O23" s="36"/>
      <c r="P23" s="49"/>
      <c r="Q23" s="47"/>
      <c r="R23" s="48"/>
      <c r="S23" s="47"/>
      <c r="T23" s="110"/>
      <c r="U23" s="114"/>
      <c r="V23" s="116"/>
      <c r="W23" s="119"/>
      <c r="X23" s="56"/>
      <c r="Y23" s="51"/>
    </row>
    <row r="24" spans="1:32" s="17" customFormat="1" x14ac:dyDescent="0.25">
      <c r="A24" s="98"/>
      <c r="B24" s="101"/>
      <c r="C24" s="101"/>
      <c r="D24" s="101"/>
      <c r="E24" s="94" t="s">
        <v>94</v>
      </c>
      <c r="F24" s="94"/>
      <c r="G24" s="94"/>
      <c r="H24" s="94"/>
      <c r="I24" s="94"/>
      <c r="J24" s="94"/>
      <c r="K24" s="94"/>
      <c r="L24" s="94"/>
      <c r="M24" s="94"/>
      <c r="N24" s="42">
        <f>SUM(N18:N23)</f>
        <v>0.1842424</v>
      </c>
      <c r="O24" s="95" t="s">
        <v>95</v>
      </c>
      <c r="P24" s="95"/>
      <c r="Q24" s="95"/>
      <c r="R24" s="95"/>
      <c r="S24" s="50">
        <f>SUM(S18:S23)</f>
        <v>0.08</v>
      </c>
      <c r="T24" s="110"/>
      <c r="U24" s="115"/>
      <c r="V24" s="116"/>
      <c r="W24" s="120"/>
      <c r="X24" s="57"/>
      <c r="Y24" s="51"/>
    </row>
    <row r="25" spans="1:32" s="17" customFormat="1" x14ac:dyDescent="0.25">
      <c r="A25" s="96">
        <v>5</v>
      </c>
      <c r="B25" s="99" t="s">
        <v>21</v>
      </c>
      <c r="C25" s="99" t="s">
        <v>22</v>
      </c>
      <c r="D25" s="99"/>
      <c r="E25" s="23" t="s">
        <v>97</v>
      </c>
      <c r="F25" s="24">
        <f>50+H25*1.5</f>
        <v>53</v>
      </c>
      <c r="G25" s="24">
        <f>40+H25*1.5</f>
        <v>43</v>
      </c>
      <c r="H25" s="24">
        <v>2</v>
      </c>
      <c r="I25" s="31">
        <v>4.9000000000000004</v>
      </c>
      <c r="J25" s="31">
        <v>2.5</v>
      </c>
      <c r="K25" s="43">
        <f>F25*G25*H25*7.85/1000000</f>
        <v>3.5780300000000001E-2</v>
      </c>
      <c r="L25" s="33">
        <v>2.8000000000000001E-2</v>
      </c>
      <c r="M25" s="34">
        <f>K25-L25</f>
        <v>7.78029999999999E-3</v>
      </c>
      <c r="N25" s="35">
        <f>I25*K25-J25*M25</f>
        <v>0.15587271999999999</v>
      </c>
      <c r="O25" s="36" t="s">
        <v>87</v>
      </c>
      <c r="P25" s="49" t="s">
        <v>41</v>
      </c>
      <c r="Q25" s="47">
        <f>VLOOKUP(P25,冲压工序费!B:C,2,0)</f>
        <v>0.04</v>
      </c>
      <c r="R25" s="48">
        <v>1</v>
      </c>
      <c r="S25" s="47">
        <f>Q25/R25</f>
        <v>0.04</v>
      </c>
      <c r="T25" s="110">
        <v>1.1200000000000001</v>
      </c>
      <c r="U25" s="113">
        <f>(N31+S31)*T25</f>
        <v>0.30897744640000002</v>
      </c>
      <c r="V25" s="116">
        <v>0</v>
      </c>
      <c r="W25" s="118">
        <v>0</v>
      </c>
      <c r="X25" s="55">
        <f>U25+IF(V25=0,0,V25/W25)</f>
        <v>0.30897744640000002</v>
      </c>
      <c r="Y25" s="51"/>
    </row>
    <row r="26" spans="1:32" s="17" customFormat="1" x14ac:dyDescent="0.25">
      <c r="A26" s="97"/>
      <c r="B26" s="100"/>
      <c r="C26" s="100"/>
      <c r="D26" s="100"/>
      <c r="E26" s="25"/>
      <c r="F26" s="26"/>
      <c r="G26" s="26"/>
      <c r="H26" s="27"/>
      <c r="I26" s="37"/>
      <c r="J26" s="38"/>
      <c r="K26" s="32">
        <v>4.8000000000000001E-2</v>
      </c>
      <c r="L26" s="25"/>
      <c r="M26" s="40"/>
      <c r="N26" s="41"/>
      <c r="O26" s="36" t="s">
        <v>88</v>
      </c>
      <c r="P26" s="49" t="s">
        <v>39</v>
      </c>
      <c r="Q26" s="47">
        <f>VLOOKUP(P26,冲压工序费!B:C,2,0)</f>
        <v>0.04</v>
      </c>
      <c r="R26" s="48">
        <v>1</v>
      </c>
      <c r="S26" s="47">
        <f t="shared" ref="S26" si="3">Q26/R26</f>
        <v>0.04</v>
      </c>
      <c r="T26" s="110"/>
      <c r="U26" s="114"/>
      <c r="V26" s="116"/>
      <c r="W26" s="119"/>
      <c r="X26" s="56"/>
      <c r="Y26" s="51"/>
      <c r="AA26" s="52"/>
      <c r="AE26" s="53"/>
      <c r="AF26" s="52"/>
    </row>
    <row r="27" spans="1:32" s="17" customFormat="1" x14ac:dyDescent="0.25">
      <c r="A27" s="97"/>
      <c r="B27" s="100"/>
      <c r="C27" s="100"/>
      <c r="D27" s="100"/>
      <c r="E27" s="25"/>
      <c r="F27" s="26"/>
      <c r="G27" s="26"/>
      <c r="H27" s="27"/>
      <c r="I27" s="38"/>
      <c r="J27" s="38"/>
      <c r="K27" s="39"/>
      <c r="L27" s="25"/>
      <c r="M27" s="40"/>
      <c r="N27" s="35"/>
      <c r="O27" s="36" t="s">
        <v>92</v>
      </c>
      <c r="P27" s="49" t="s">
        <v>39</v>
      </c>
      <c r="Q27" s="47">
        <f>VLOOKUP(P27,冲压工序费!B:C,2,0)</f>
        <v>0.04</v>
      </c>
      <c r="R27" s="48">
        <v>1</v>
      </c>
      <c r="S27" s="47">
        <f t="shared" ref="S27" si="4">Q27/R27</f>
        <v>0.04</v>
      </c>
      <c r="T27" s="110"/>
      <c r="U27" s="114"/>
      <c r="V27" s="116"/>
      <c r="W27" s="119"/>
      <c r="X27" s="56"/>
      <c r="Y27" s="51"/>
    </row>
    <row r="28" spans="1:32" s="17" customFormat="1" x14ac:dyDescent="0.25">
      <c r="A28" s="97"/>
      <c r="B28" s="100"/>
      <c r="C28" s="100"/>
      <c r="D28" s="100"/>
      <c r="E28" s="25"/>
      <c r="F28" s="26"/>
      <c r="G28" s="26"/>
      <c r="H28" s="27"/>
      <c r="I28" s="38"/>
      <c r="J28" s="38"/>
      <c r="K28" s="39"/>
      <c r="L28" s="25"/>
      <c r="M28" s="40"/>
      <c r="N28" s="35"/>
      <c r="O28" s="36"/>
      <c r="P28" s="49"/>
      <c r="Q28" s="47"/>
      <c r="R28" s="48"/>
      <c r="S28" s="47"/>
      <c r="T28" s="110"/>
      <c r="U28" s="114"/>
      <c r="V28" s="116"/>
      <c r="W28" s="119"/>
      <c r="X28" s="56"/>
      <c r="Y28" s="51"/>
    </row>
    <row r="29" spans="1:32" s="17" customFormat="1" x14ac:dyDescent="0.25">
      <c r="A29" s="97"/>
      <c r="B29" s="100"/>
      <c r="C29" s="100"/>
      <c r="D29" s="100"/>
      <c r="E29" s="25"/>
      <c r="F29" s="26"/>
      <c r="G29" s="26"/>
      <c r="H29" s="27"/>
      <c r="I29" s="38"/>
      <c r="J29" s="38"/>
      <c r="K29" s="39"/>
      <c r="L29" s="25"/>
      <c r="M29" s="40"/>
      <c r="N29" s="35"/>
      <c r="O29" s="36"/>
      <c r="P29" s="49"/>
      <c r="Q29" s="47"/>
      <c r="R29" s="48"/>
      <c r="S29" s="47"/>
      <c r="T29" s="110"/>
      <c r="U29" s="114"/>
      <c r="V29" s="116"/>
      <c r="W29" s="119"/>
      <c r="X29" s="56"/>
      <c r="Y29" s="51"/>
    </row>
    <row r="30" spans="1:32" s="17" customFormat="1" x14ac:dyDescent="0.25">
      <c r="A30" s="97"/>
      <c r="B30" s="100"/>
      <c r="C30" s="100"/>
      <c r="D30" s="100"/>
      <c r="E30" s="25"/>
      <c r="F30" s="26"/>
      <c r="G30" s="26"/>
      <c r="H30" s="27"/>
      <c r="I30" s="38"/>
      <c r="J30" s="38"/>
      <c r="K30" s="39"/>
      <c r="L30" s="25"/>
      <c r="M30" s="40"/>
      <c r="N30" s="35"/>
      <c r="O30" s="36"/>
      <c r="P30" s="49"/>
      <c r="Q30" s="47"/>
      <c r="R30" s="48"/>
      <c r="S30" s="47"/>
      <c r="T30" s="110"/>
      <c r="U30" s="114"/>
      <c r="V30" s="116"/>
      <c r="W30" s="119"/>
      <c r="X30" s="56"/>
      <c r="Y30" s="51"/>
    </row>
    <row r="31" spans="1:32" s="17" customFormat="1" x14ac:dyDescent="0.25">
      <c r="A31" s="98"/>
      <c r="B31" s="101"/>
      <c r="C31" s="101"/>
      <c r="D31" s="101"/>
      <c r="E31" s="94" t="s">
        <v>94</v>
      </c>
      <c r="F31" s="94"/>
      <c r="G31" s="94"/>
      <c r="H31" s="94"/>
      <c r="I31" s="94"/>
      <c r="J31" s="94"/>
      <c r="K31" s="94"/>
      <c r="L31" s="94"/>
      <c r="M31" s="94"/>
      <c r="N31" s="42">
        <f>SUM(N25:N30)</f>
        <v>0.15587271999999999</v>
      </c>
      <c r="O31" s="95" t="s">
        <v>95</v>
      </c>
      <c r="P31" s="95"/>
      <c r="Q31" s="95"/>
      <c r="R31" s="95"/>
      <c r="S31" s="50">
        <f>SUM(S25:S30)</f>
        <v>0.12</v>
      </c>
      <c r="T31" s="110"/>
      <c r="U31" s="115"/>
      <c r="V31" s="116"/>
      <c r="W31" s="120"/>
      <c r="X31" s="57"/>
      <c r="Y31" s="51"/>
    </row>
    <row r="32" spans="1:32" s="17" customFormat="1" x14ac:dyDescent="0.25">
      <c r="A32" s="96">
        <v>6</v>
      </c>
      <c r="B32" s="99" t="s">
        <v>24</v>
      </c>
      <c r="C32" s="99" t="s">
        <v>25</v>
      </c>
      <c r="D32" s="99"/>
      <c r="E32" s="23" t="s">
        <v>96</v>
      </c>
      <c r="F32" s="28">
        <f>65+H32*1.5</f>
        <v>68.75</v>
      </c>
      <c r="G32" s="28">
        <f>54+H32*1.5</f>
        <v>57.75</v>
      </c>
      <c r="H32" s="24">
        <v>2.5</v>
      </c>
      <c r="I32" s="31">
        <v>4.5999999999999996</v>
      </c>
      <c r="J32" s="31">
        <v>2.5</v>
      </c>
      <c r="K32" s="43">
        <f>F32*G32*H32*7.85/1000000</f>
        <v>7.7917382812500005E-2</v>
      </c>
      <c r="L32" s="33">
        <v>4.24E-2</v>
      </c>
      <c r="M32" s="34">
        <f>K32-L32</f>
        <v>3.5517382812499998E-2</v>
      </c>
      <c r="N32" s="35">
        <f>I32*K32-J32*M32</f>
        <v>0.26962650390624998</v>
      </c>
      <c r="O32" s="36" t="s">
        <v>87</v>
      </c>
      <c r="P32" s="49" t="s">
        <v>39</v>
      </c>
      <c r="Q32" s="47">
        <f>VLOOKUP(P32,冲压工序费!B:C,2,0)</f>
        <v>0.04</v>
      </c>
      <c r="R32" s="48">
        <v>1</v>
      </c>
      <c r="S32" s="47">
        <f>Q32/R32</f>
        <v>0.04</v>
      </c>
      <c r="T32" s="110">
        <v>1.1200000000000001</v>
      </c>
      <c r="U32" s="113">
        <f>(N38+S38)*T32</f>
        <v>0.39158168437500002</v>
      </c>
      <c r="V32" s="116">
        <v>0</v>
      </c>
      <c r="W32" s="118">
        <v>0</v>
      </c>
      <c r="X32" s="55">
        <f>U32+IF(V32=0,0,V32/W32)</f>
        <v>0.39158168437500002</v>
      </c>
      <c r="Y32" s="51"/>
    </row>
    <row r="33" spans="1:32" s="17" customFormat="1" x14ac:dyDescent="0.25">
      <c r="A33" s="97"/>
      <c r="B33" s="100"/>
      <c r="C33" s="100"/>
      <c r="D33" s="100"/>
      <c r="E33" s="25"/>
      <c r="F33" s="26"/>
      <c r="G33" s="26"/>
      <c r="H33" s="27"/>
      <c r="I33" s="37"/>
      <c r="J33" s="38"/>
      <c r="K33" s="39"/>
      <c r="L33" s="25"/>
      <c r="M33" s="40"/>
      <c r="N33" s="41"/>
      <c r="O33" s="36" t="s">
        <v>88</v>
      </c>
      <c r="P33" s="49" t="s">
        <v>39</v>
      </c>
      <c r="Q33" s="47">
        <f>VLOOKUP(P33,冲压工序费!B:C,2,0)</f>
        <v>0.04</v>
      </c>
      <c r="R33" s="48">
        <v>1</v>
      </c>
      <c r="S33" s="47">
        <f t="shared" ref="S33" si="5">Q33/R33</f>
        <v>0.04</v>
      </c>
      <c r="T33" s="110"/>
      <c r="U33" s="114"/>
      <c r="V33" s="116"/>
      <c r="W33" s="119"/>
      <c r="X33" s="56"/>
      <c r="Y33" s="51"/>
      <c r="AA33" s="52"/>
      <c r="AE33" s="53"/>
      <c r="AF33" s="52"/>
    </row>
    <row r="34" spans="1:32" s="17" customFormat="1" x14ac:dyDescent="0.25">
      <c r="A34" s="97"/>
      <c r="B34" s="100"/>
      <c r="C34" s="100"/>
      <c r="D34" s="100"/>
      <c r="E34" s="25"/>
      <c r="F34" s="26"/>
      <c r="G34" s="26"/>
      <c r="H34" s="27"/>
      <c r="I34" s="38"/>
      <c r="J34" s="38"/>
      <c r="K34" s="39"/>
      <c r="L34" s="25"/>
      <c r="M34" s="40"/>
      <c r="N34" s="35"/>
      <c r="O34" s="36"/>
      <c r="P34" s="49"/>
      <c r="Q34" s="47"/>
      <c r="R34" s="48"/>
      <c r="S34" s="47"/>
      <c r="T34" s="110"/>
      <c r="U34" s="114"/>
      <c r="V34" s="116"/>
      <c r="W34" s="119"/>
      <c r="X34" s="56"/>
      <c r="Y34" s="51"/>
    </row>
    <row r="35" spans="1:32" s="17" customFormat="1" x14ac:dyDescent="0.25">
      <c r="A35" s="97"/>
      <c r="B35" s="100"/>
      <c r="C35" s="100"/>
      <c r="D35" s="100"/>
      <c r="E35" s="25"/>
      <c r="F35" s="26"/>
      <c r="G35" s="26"/>
      <c r="H35" s="27"/>
      <c r="I35" s="38"/>
      <c r="J35" s="38"/>
      <c r="K35" s="39"/>
      <c r="L35" s="25"/>
      <c r="M35" s="40"/>
      <c r="N35" s="35"/>
      <c r="O35" s="36"/>
      <c r="P35" s="49"/>
      <c r="Q35" s="47"/>
      <c r="R35" s="48"/>
      <c r="S35" s="47"/>
      <c r="T35" s="110"/>
      <c r="U35" s="114"/>
      <c r="V35" s="116"/>
      <c r="W35" s="119"/>
      <c r="X35" s="56"/>
      <c r="Y35" s="51"/>
    </row>
    <row r="36" spans="1:32" s="17" customFormat="1" x14ac:dyDescent="0.25">
      <c r="A36" s="97"/>
      <c r="B36" s="100"/>
      <c r="C36" s="100"/>
      <c r="D36" s="100"/>
      <c r="E36" s="25"/>
      <c r="F36" s="26"/>
      <c r="G36" s="26"/>
      <c r="H36" s="27"/>
      <c r="I36" s="38"/>
      <c r="J36" s="38"/>
      <c r="K36" s="39"/>
      <c r="L36" s="25"/>
      <c r="M36" s="40"/>
      <c r="N36" s="35"/>
      <c r="O36" s="36"/>
      <c r="P36" s="49"/>
      <c r="Q36" s="47"/>
      <c r="R36" s="48"/>
      <c r="S36" s="47"/>
      <c r="T36" s="110"/>
      <c r="U36" s="114"/>
      <c r="V36" s="116"/>
      <c r="W36" s="119"/>
      <c r="X36" s="56"/>
      <c r="Y36" s="51"/>
    </row>
    <row r="37" spans="1:32" s="17" customFormat="1" x14ac:dyDescent="0.25">
      <c r="A37" s="97"/>
      <c r="B37" s="100"/>
      <c r="C37" s="100"/>
      <c r="D37" s="100"/>
      <c r="E37" s="25"/>
      <c r="F37" s="26"/>
      <c r="G37" s="26"/>
      <c r="H37" s="27"/>
      <c r="I37" s="38"/>
      <c r="J37" s="38"/>
      <c r="K37" s="39"/>
      <c r="L37" s="25"/>
      <c r="M37" s="40"/>
      <c r="N37" s="35"/>
      <c r="O37" s="36"/>
      <c r="P37" s="49"/>
      <c r="Q37" s="47"/>
      <c r="R37" s="48"/>
      <c r="S37" s="47"/>
      <c r="T37" s="110"/>
      <c r="U37" s="114"/>
      <c r="V37" s="116"/>
      <c r="W37" s="119"/>
      <c r="X37" s="56"/>
      <c r="Y37" s="51"/>
    </row>
    <row r="38" spans="1:32" s="17" customFormat="1" x14ac:dyDescent="0.25">
      <c r="A38" s="98"/>
      <c r="B38" s="101"/>
      <c r="C38" s="101"/>
      <c r="D38" s="101"/>
      <c r="E38" s="94" t="s">
        <v>94</v>
      </c>
      <c r="F38" s="94"/>
      <c r="G38" s="94"/>
      <c r="H38" s="94"/>
      <c r="I38" s="94"/>
      <c r="J38" s="94"/>
      <c r="K38" s="94"/>
      <c r="L38" s="94"/>
      <c r="M38" s="94"/>
      <c r="N38" s="42">
        <f>SUM(N32:N37)</f>
        <v>0.26962650390624998</v>
      </c>
      <c r="O38" s="95" t="s">
        <v>95</v>
      </c>
      <c r="P38" s="95"/>
      <c r="Q38" s="95"/>
      <c r="R38" s="95"/>
      <c r="S38" s="50">
        <f>SUM(S32:S37)</f>
        <v>0.08</v>
      </c>
      <c r="T38" s="110"/>
      <c r="U38" s="115"/>
      <c r="V38" s="116"/>
      <c r="W38" s="120"/>
      <c r="X38" s="57"/>
      <c r="Y38" s="51"/>
    </row>
    <row r="39" spans="1:32" s="17" customFormat="1" x14ac:dyDescent="0.25">
      <c r="A39" s="96">
        <v>6</v>
      </c>
      <c r="B39" s="99" t="s">
        <v>27</v>
      </c>
      <c r="C39" s="99" t="s">
        <v>28</v>
      </c>
      <c r="D39" s="99"/>
      <c r="E39" s="23" t="s">
        <v>97</v>
      </c>
      <c r="F39" s="28">
        <f>67+H39*1.5</f>
        <v>70.75</v>
      </c>
      <c r="G39" s="28">
        <f>53+H39*1.5</f>
        <v>56.75</v>
      </c>
      <c r="H39" s="24">
        <v>2.5</v>
      </c>
      <c r="I39" s="31">
        <v>4.5999999999999996</v>
      </c>
      <c r="J39" s="31">
        <v>2.5</v>
      </c>
      <c r="K39" s="43">
        <f>F39*G39*H39*7.85/1000000</f>
        <v>7.8795601562499998E-2</v>
      </c>
      <c r="L39" s="33">
        <v>0.04</v>
      </c>
      <c r="M39" s="34">
        <f>K39-L39</f>
        <v>3.8795601562499997E-2</v>
      </c>
      <c r="N39" s="35">
        <f>I39*K39-J39*M39</f>
        <v>0.26547076328125002</v>
      </c>
      <c r="O39" s="36" t="s">
        <v>87</v>
      </c>
      <c r="P39" s="49" t="s">
        <v>39</v>
      </c>
      <c r="Q39" s="47">
        <f>VLOOKUP(P39,冲压工序费!B:C,2,0)</f>
        <v>0.04</v>
      </c>
      <c r="R39" s="48">
        <v>1</v>
      </c>
      <c r="S39" s="47">
        <f>Q39/R39</f>
        <v>0.04</v>
      </c>
      <c r="T39" s="110">
        <v>1.1200000000000001</v>
      </c>
      <c r="U39" s="113">
        <f>(N45+S45)*T39</f>
        <v>0.38692725487500002</v>
      </c>
      <c r="V39" s="116">
        <v>0</v>
      </c>
      <c r="W39" s="118">
        <v>0</v>
      </c>
      <c r="X39" s="55">
        <f>U39+IF(V39=0,0,V39/W39)</f>
        <v>0.38692725487500002</v>
      </c>
      <c r="Y39" s="51"/>
    </row>
    <row r="40" spans="1:32" s="17" customFormat="1" x14ac:dyDescent="0.25">
      <c r="A40" s="97"/>
      <c r="B40" s="100"/>
      <c r="C40" s="100"/>
      <c r="D40" s="100"/>
      <c r="E40" s="25"/>
      <c r="F40" s="26"/>
      <c r="G40" s="26"/>
      <c r="H40" s="27"/>
      <c r="I40" s="37"/>
      <c r="J40" s="38"/>
      <c r="K40" s="39"/>
      <c r="L40" s="25"/>
      <c r="M40" s="40"/>
      <c r="N40" s="41"/>
      <c r="O40" s="36" t="s">
        <v>88</v>
      </c>
      <c r="P40" s="49" t="s">
        <v>39</v>
      </c>
      <c r="Q40" s="47">
        <f>VLOOKUP(P40,冲压工序费!B:C,2,0)</f>
        <v>0.04</v>
      </c>
      <c r="R40" s="48">
        <v>1</v>
      </c>
      <c r="S40" s="47">
        <f t="shared" ref="S40" si="6">Q40/R40</f>
        <v>0.04</v>
      </c>
      <c r="T40" s="110"/>
      <c r="U40" s="114"/>
      <c r="V40" s="116"/>
      <c r="W40" s="119"/>
      <c r="X40" s="56"/>
      <c r="Y40" s="51"/>
      <c r="AA40" s="52"/>
      <c r="AE40" s="53"/>
      <c r="AF40" s="52"/>
    </row>
    <row r="41" spans="1:32" s="17" customFormat="1" x14ac:dyDescent="0.25">
      <c r="A41" s="97"/>
      <c r="B41" s="100"/>
      <c r="C41" s="100"/>
      <c r="D41" s="100"/>
      <c r="E41" s="25"/>
      <c r="F41" s="26"/>
      <c r="G41" s="26"/>
      <c r="H41" s="27"/>
      <c r="I41" s="38"/>
      <c r="J41" s="38"/>
      <c r="K41" s="39"/>
      <c r="L41" s="25"/>
      <c r="M41" s="40"/>
      <c r="N41" s="35"/>
      <c r="O41" s="36"/>
      <c r="P41" s="49"/>
      <c r="Q41" s="47"/>
      <c r="R41" s="48"/>
      <c r="S41" s="47"/>
      <c r="T41" s="110"/>
      <c r="U41" s="114"/>
      <c r="V41" s="116"/>
      <c r="W41" s="119"/>
      <c r="X41" s="56"/>
      <c r="Y41" s="51"/>
    </row>
    <row r="42" spans="1:32" s="17" customFormat="1" x14ac:dyDescent="0.25">
      <c r="A42" s="97"/>
      <c r="B42" s="100"/>
      <c r="C42" s="100"/>
      <c r="D42" s="100"/>
      <c r="E42" s="25"/>
      <c r="F42" s="26"/>
      <c r="G42" s="26"/>
      <c r="H42" s="27"/>
      <c r="I42" s="38"/>
      <c r="J42" s="38"/>
      <c r="K42" s="39"/>
      <c r="L42" s="25"/>
      <c r="M42" s="40"/>
      <c r="N42" s="35"/>
      <c r="O42" s="36"/>
      <c r="P42" s="49"/>
      <c r="Q42" s="47"/>
      <c r="R42" s="48"/>
      <c r="S42" s="47"/>
      <c r="T42" s="110"/>
      <c r="U42" s="114"/>
      <c r="V42" s="116"/>
      <c r="W42" s="119"/>
      <c r="X42" s="56"/>
      <c r="Y42" s="51"/>
    </row>
    <row r="43" spans="1:32" s="17" customFormat="1" x14ac:dyDescent="0.25">
      <c r="A43" s="97"/>
      <c r="B43" s="100"/>
      <c r="C43" s="100"/>
      <c r="D43" s="100"/>
      <c r="E43" s="25"/>
      <c r="F43" s="26"/>
      <c r="G43" s="26"/>
      <c r="H43" s="27"/>
      <c r="I43" s="38"/>
      <c r="J43" s="38"/>
      <c r="K43" s="39"/>
      <c r="L43" s="25"/>
      <c r="M43" s="40"/>
      <c r="N43" s="35"/>
      <c r="O43" s="36"/>
      <c r="P43" s="49"/>
      <c r="Q43" s="47"/>
      <c r="R43" s="48"/>
      <c r="S43" s="47"/>
      <c r="T43" s="110"/>
      <c r="U43" s="114"/>
      <c r="V43" s="116"/>
      <c r="W43" s="119"/>
      <c r="X43" s="56"/>
      <c r="Y43" s="51"/>
    </row>
    <row r="44" spans="1:32" s="17" customFormat="1" x14ac:dyDescent="0.25">
      <c r="A44" s="97"/>
      <c r="B44" s="100"/>
      <c r="C44" s="100"/>
      <c r="D44" s="100"/>
      <c r="E44" s="25"/>
      <c r="F44" s="26"/>
      <c r="G44" s="26"/>
      <c r="H44" s="27"/>
      <c r="I44" s="38"/>
      <c r="J44" s="38"/>
      <c r="K44" s="39"/>
      <c r="L44" s="25"/>
      <c r="M44" s="40"/>
      <c r="N44" s="35"/>
      <c r="O44" s="36"/>
      <c r="P44" s="49"/>
      <c r="Q44" s="47"/>
      <c r="R44" s="48"/>
      <c r="S44" s="47"/>
      <c r="T44" s="110"/>
      <c r="U44" s="114"/>
      <c r="V44" s="116"/>
      <c r="W44" s="119"/>
      <c r="X44" s="56"/>
      <c r="Y44" s="51"/>
    </row>
    <row r="45" spans="1:32" s="17" customFormat="1" x14ac:dyDescent="0.25">
      <c r="A45" s="98"/>
      <c r="B45" s="101"/>
      <c r="C45" s="101"/>
      <c r="D45" s="101"/>
      <c r="E45" s="94" t="s">
        <v>94</v>
      </c>
      <c r="F45" s="94"/>
      <c r="G45" s="94"/>
      <c r="H45" s="94"/>
      <c r="I45" s="94"/>
      <c r="J45" s="94"/>
      <c r="K45" s="94"/>
      <c r="L45" s="94"/>
      <c r="M45" s="94"/>
      <c r="N45" s="42">
        <f>SUM(N39:N44)</f>
        <v>0.26547076328125002</v>
      </c>
      <c r="O45" s="95" t="s">
        <v>95</v>
      </c>
      <c r="P45" s="95"/>
      <c r="Q45" s="95"/>
      <c r="R45" s="95"/>
      <c r="S45" s="50">
        <f>SUM(S39:S44)</f>
        <v>0.08</v>
      </c>
      <c r="T45" s="110"/>
      <c r="U45" s="115"/>
      <c r="V45" s="116"/>
      <c r="W45" s="120"/>
      <c r="X45" s="57"/>
      <c r="Y45" s="51"/>
    </row>
    <row r="46" spans="1:32" s="17" customFormat="1" x14ac:dyDescent="0.25">
      <c r="A46" s="96">
        <v>6</v>
      </c>
      <c r="B46" s="99" t="s">
        <v>30</v>
      </c>
      <c r="C46" s="99" t="s">
        <v>31</v>
      </c>
      <c r="D46" s="99"/>
      <c r="E46" s="23" t="s">
        <v>97</v>
      </c>
      <c r="F46" s="28">
        <f>67+H46*1.5</f>
        <v>70.75</v>
      </c>
      <c r="G46" s="28">
        <f>53+H46*1.5</f>
        <v>56.75</v>
      </c>
      <c r="H46" s="24">
        <v>2.5</v>
      </c>
      <c r="I46" s="31">
        <v>4.5999999999999996</v>
      </c>
      <c r="J46" s="31">
        <v>2.5</v>
      </c>
      <c r="K46" s="43">
        <f>F46*G46*H46*7.85/1000000</f>
        <v>7.8795601562499998E-2</v>
      </c>
      <c r="L46" s="33">
        <v>0.04</v>
      </c>
      <c r="M46" s="34">
        <f>K46-L46</f>
        <v>3.8795601562499997E-2</v>
      </c>
      <c r="N46" s="35">
        <f>I46*K46-J46*M46</f>
        <v>0.26547076328125002</v>
      </c>
      <c r="O46" s="36" t="s">
        <v>87</v>
      </c>
      <c r="P46" s="49" t="s">
        <v>39</v>
      </c>
      <c r="Q46" s="47">
        <f>VLOOKUP(P46,冲压工序费!B:C,2,0)</f>
        <v>0.04</v>
      </c>
      <c r="R46" s="48">
        <v>1</v>
      </c>
      <c r="S46" s="47">
        <f>Q46/R46</f>
        <v>0.04</v>
      </c>
      <c r="T46" s="110">
        <v>1.1200000000000001</v>
      </c>
      <c r="U46" s="113">
        <f>(N52+S52)*T46</f>
        <v>0.38692725487500002</v>
      </c>
      <c r="V46" s="116">
        <v>0</v>
      </c>
      <c r="W46" s="118">
        <v>0</v>
      </c>
      <c r="X46" s="55">
        <f>U46+IF(V46=0,0,V46/W46)</f>
        <v>0.38692725487500002</v>
      </c>
      <c r="Y46" s="51"/>
    </row>
    <row r="47" spans="1:32" s="17" customFormat="1" x14ac:dyDescent="0.25">
      <c r="A47" s="97"/>
      <c r="B47" s="100"/>
      <c r="C47" s="100"/>
      <c r="D47" s="100"/>
      <c r="E47" s="25"/>
      <c r="F47" s="26"/>
      <c r="G47" s="26"/>
      <c r="H47" s="27"/>
      <c r="I47" s="37"/>
      <c r="J47" s="38"/>
      <c r="K47" s="39"/>
      <c r="L47" s="25"/>
      <c r="M47" s="40"/>
      <c r="N47" s="41"/>
      <c r="O47" s="36" t="s">
        <v>88</v>
      </c>
      <c r="P47" s="49" t="s">
        <v>39</v>
      </c>
      <c r="Q47" s="47">
        <f>VLOOKUP(P47,冲压工序费!B:C,2,0)</f>
        <v>0.04</v>
      </c>
      <c r="R47" s="48">
        <v>1</v>
      </c>
      <c r="S47" s="47">
        <f t="shared" ref="S47" si="7">Q47/R47</f>
        <v>0.04</v>
      </c>
      <c r="T47" s="110"/>
      <c r="U47" s="114"/>
      <c r="V47" s="116"/>
      <c r="W47" s="119"/>
      <c r="X47" s="56"/>
      <c r="Y47" s="51"/>
      <c r="AA47" s="52"/>
      <c r="AE47" s="53"/>
      <c r="AF47" s="52"/>
    </row>
    <row r="48" spans="1:32" s="17" customFormat="1" x14ac:dyDescent="0.25">
      <c r="A48" s="97"/>
      <c r="B48" s="100"/>
      <c r="C48" s="100"/>
      <c r="D48" s="100"/>
      <c r="E48" s="25"/>
      <c r="F48" s="26"/>
      <c r="G48" s="26"/>
      <c r="H48" s="27"/>
      <c r="I48" s="38"/>
      <c r="J48" s="38"/>
      <c r="K48" s="39"/>
      <c r="L48" s="25"/>
      <c r="M48" s="40"/>
      <c r="N48" s="35"/>
      <c r="O48" s="36"/>
      <c r="P48" s="49"/>
      <c r="Q48" s="47"/>
      <c r="R48" s="48"/>
      <c r="S48" s="47"/>
      <c r="T48" s="110"/>
      <c r="U48" s="114"/>
      <c r="V48" s="116"/>
      <c r="W48" s="119"/>
      <c r="X48" s="56"/>
      <c r="Y48" s="51"/>
    </row>
    <row r="49" spans="1:25" s="17" customFormat="1" x14ac:dyDescent="0.25">
      <c r="A49" s="97"/>
      <c r="B49" s="100"/>
      <c r="C49" s="100"/>
      <c r="D49" s="100"/>
      <c r="E49" s="25"/>
      <c r="F49" s="26"/>
      <c r="G49" s="26"/>
      <c r="H49" s="27"/>
      <c r="I49" s="38"/>
      <c r="J49" s="38"/>
      <c r="K49" s="39"/>
      <c r="L49" s="25"/>
      <c r="M49" s="40"/>
      <c r="N49" s="35"/>
      <c r="O49" s="36"/>
      <c r="P49" s="49"/>
      <c r="Q49" s="47"/>
      <c r="R49" s="48"/>
      <c r="S49" s="47"/>
      <c r="T49" s="110"/>
      <c r="U49" s="114"/>
      <c r="V49" s="116"/>
      <c r="W49" s="119"/>
      <c r="X49" s="56"/>
      <c r="Y49" s="51"/>
    </row>
    <row r="50" spans="1:25" s="17" customFormat="1" x14ac:dyDescent="0.25">
      <c r="A50" s="97"/>
      <c r="B50" s="100"/>
      <c r="C50" s="100"/>
      <c r="D50" s="100"/>
      <c r="E50" s="25"/>
      <c r="F50" s="26"/>
      <c r="G50" s="26"/>
      <c r="H50" s="27"/>
      <c r="I50" s="38"/>
      <c r="J50" s="38"/>
      <c r="K50" s="39"/>
      <c r="L50" s="25"/>
      <c r="M50" s="40"/>
      <c r="N50" s="35"/>
      <c r="O50" s="36"/>
      <c r="P50" s="49"/>
      <c r="Q50" s="47"/>
      <c r="R50" s="48"/>
      <c r="S50" s="47"/>
      <c r="T50" s="110"/>
      <c r="U50" s="114"/>
      <c r="V50" s="116"/>
      <c r="W50" s="119"/>
      <c r="X50" s="56"/>
      <c r="Y50" s="51"/>
    </row>
    <row r="51" spans="1:25" s="17" customFormat="1" x14ac:dyDescent="0.25">
      <c r="A51" s="97"/>
      <c r="B51" s="100"/>
      <c r="C51" s="100"/>
      <c r="D51" s="100"/>
      <c r="E51" s="25"/>
      <c r="F51" s="26"/>
      <c r="G51" s="26"/>
      <c r="H51" s="27"/>
      <c r="I51" s="38"/>
      <c r="J51" s="38"/>
      <c r="K51" s="39"/>
      <c r="L51" s="25"/>
      <c r="M51" s="40"/>
      <c r="N51" s="35"/>
      <c r="O51" s="36"/>
      <c r="P51" s="49"/>
      <c r="Q51" s="47"/>
      <c r="R51" s="48"/>
      <c r="S51" s="47"/>
      <c r="T51" s="110"/>
      <c r="U51" s="114"/>
      <c r="V51" s="116"/>
      <c r="W51" s="119"/>
      <c r="X51" s="56"/>
      <c r="Y51" s="51"/>
    </row>
    <row r="52" spans="1:25" s="17" customFormat="1" x14ac:dyDescent="0.25">
      <c r="A52" s="98"/>
      <c r="B52" s="101"/>
      <c r="C52" s="101"/>
      <c r="D52" s="101"/>
      <c r="E52" s="94" t="s">
        <v>94</v>
      </c>
      <c r="F52" s="94"/>
      <c r="G52" s="94"/>
      <c r="H52" s="94"/>
      <c r="I52" s="94"/>
      <c r="J52" s="94"/>
      <c r="K52" s="94"/>
      <c r="L52" s="94"/>
      <c r="M52" s="94"/>
      <c r="N52" s="42">
        <f>SUM(N46:N51)</f>
        <v>0.26547076328125002</v>
      </c>
      <c r="O52" s="95" t="s">
        <v>95</v>
      </c>
      <c r="P52" s="95"/>
      <c r="Q52" s="95"/>
      <c r="R52" s="95"/>
      <c r="S52" s="50">
        <f>SUM(S46:S51)</f>
        <v>0.08</v>
      </c>
      <c r="T52" s="110"/>
      <c r="U52" s="115"/>
      <c r="V52" s="116"/>
      <c r="W52" s="120"/>
      <c r="X52" s="57"/>
      <c r="Y52" s="51"/>
    </row>
  </sheetData>
  <mergeCells count="85">
    <mergeCell ref="X2:X3"/>
    <mergeCell ref="V32:V38"/>
    <mergeCell ref="V39:V45"/>
    <mergeCell ref="V46:V52"/>
    <mergeCell ref="W2:W3"/>
    <mergeCell ref="W4:W10"/>
    <mergeCell ref="W11:W17"/>
    <mergeCell ref="W18:W24"/>
    <mergeCell ref="W25:W31"/>
    <mergeCell ref="W32:W38"/>
    <mergeCell ref="W39:W45"/>
    <mergeCell ref="W46:W52"/>
    <mergeCell ref="V2:V3"/>
    <mergeCell ref="V4:V10"/>
    <mergeCell ref="V11:V17"/>
    <mergeCell ref="V18:V24"/>
    <mergeCell ref="V25:V31"/>
    <mergeCell ref="T39:T45"/>
    <mergeCell ref="T46:T52"/>
    <mergeCell ref="U2:U3"/>
    <mergeCell ref="U4:U10"/>
    <mergeCell ref="U11:U17"/>
    <mergeCell ref="U18:U24"/>
    <mergeCell ref="U25:U31"/>
    <mergeCell ref="U32:U38"/>
    <mergeCell ref="U39:U45"/>
    <mergeCell ref="U46:U52"/>
    <mergeCell ref="T4:T10"/>
    <mergeCell ref="T11:T17"/>
    <mergeCell ref="T18:T24"/>
    <mergeCell ref="T25:T31"/>
    <mergeCell ref="T32:T38"/>
    <mergeCell ref="C39:C45"/>
    <mergeCell ref="C46:C52"/>
    <mergeCell ref="D2:D3"/>
    <mergeCell ref="D4:D10"/>
    <mergeCell ref="D11:D17"/>
    <mergeCell ref="D18:D24"/>
    <mergeCell ref="D25:D31"/>
    <mergeCell ref="D32:D38"/>
    <mergeCell ref="D39:D45"/>
    <mergeCell ref="D46:D52"/>
    <mergeCell ref="C4:C10"/>
    <mergeCell ref="C11:C17"/>
    <mergeCell ref="C18:C24"/>
    <mergeCell ref="C25:C31"/>
    <mergeCell ref="C32:C38"/>
    <mergeCell ref="E52:M52"/>
    <mergeCell ref="O52:R52"/>
    <mergeCell ref="A4:A10"/>
    <mergeCell ref="A11:A17"/>
    <mergeCell ref="A18:A24"/>
    <mergeCell ref="A25:A31"/>
    <mergeCell ref="A32:A38"/>
    <mergeCell ref="A39:A45"/>
    <mergeCell ref="A46:A52"/>
    <mergeCell ref="B4:B10"/>
    <mergeCell ref="B11:B17"/>
    <mergeCell ref="B18:B24"/>
    <mergeCell ref="B25:B31"/>
    <mergeCell ref="B32:B38"/>
    <mergeCell ref="B39:B45"/>
    <mergeCell ref="B46:B52"/>
    <mergeCell ref="E31:M31"/>
    <mergeCell ref="O31:R31"/>
    <mergeCell ref="E38:M38"/>
    <mergeCell ref="O38:R38"/>
    <mergeCell ref="E45:M45"/>
    <mergeCell ref="O45:R45"/>
    <mergeCell ref="E10:M10"/>
    <mergeCell ref="O10:R10"/>
    <mergeCell ref="E17:M17"/>
    <mergeCell ref="O17:R17"/>
    <mergeCell ref="E24:M24"/>
    <mergeCell ref="O24:R24"/>
    <mergeCell ref="A1:U1"/>
    <mergeCell ref="F2:H2"/>
    <mergeCell ref="I2:J2"/>
    <mergeCell ref="K2:M2"/>
    <mergeCell ref="O2:S2"/>
    <mergeCell ref="B2:B3"/>
    <mergeCell ref="C2:C3"/>
    <mergeCell ref="E2:E3"/>
    <mergeCell ref="N2:N3"/>
    <mergeCell ref="T2:T3"/>
  </mergeCells>
  <phoneticPr fontId="24" type="noConversion"/>
  <conditionalFormatting sqref="B1">
    <cfRule type="duplicateValues" dxfId="6" priority="2"/>
  </conditionalFormatting>
  <conditionalFormatting sqref="B4:B52">
    <cfRule type="duplicateValues" dxfId="5" priority="6"/>
  </conditionalFormatting>
  <pageMargins left="0.7" right="0.7" top="0.75" bottom="0.75" header="0.3" footer="0.3"/>
  <pageSetup paperSize="9" orientation="portrait"/>
  <ignoredErrors>
    <ignoredError sqref="M4" unlockedFormula="1"/>
  </ignoredErrors>
  <drawing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G52"/>
  <sheetViews>
    <sheetView workbookViewId="0">
      <pane xSplit="8" ySplit="3" topLeftCell="I4" activePane="bottomRight" state="frozen"/>
      <selection pane="topRight"/>
      <selection pane="bottomLeft"/>
      <selection pane="bottomRight" activeCell="V4" sqref="V4:V10"/>
    </sheetView>
  </sheetViews>
  <sheetFormatPr defaultColWidth="9" defaultRowHeight="14.4" x14ac:dyDescent="0.25"/>
  <cols>
    <col min="1" max="1" width="3.33203125" customWidth="1"/>
    <col min="2" max="2" width="13.77734375" customWidth="1"/>
    <col min="6" max="7" width="8" customWidth="1"/>
    <col min="8" max="8" width="5.44140625" customWidth="1"/>
    <col min="9" max="9" width="7.6640625" style="18" customWidth="1"/>
    <col min="10" max="10" width="10.5546875" style="18" customWidth="1"/>
    <col min="11" max="11" width="7.77734375" customWidth="1"/>
    <col min="12" max="12" width="6.77734375" customWidth="1"/>
    <col min="13" max="13" width="7.77734375" customWidth="1"/>
    <col min="14" max="15" width="9.21875" customWidth="1"/>
    <col min="16" max="16" width="8.88671875" customWidth="1"/>
    <col min="17" max="17" width="9.21875" customWidth="1"/>
    <col min="18" max="19" width="7.109375" customWidth="1"/>
    <col min="20" max="20" width="9.21875" customWidth="1"/>
    <col min="21" max="21" width="8.33203125" customWidth="1"/>
    <col min="22" max="22" width="13.109375" style="19" customWidth="1"/>
    <col min="23" max="23" width="6.5546875" customWidth="1"/>
    <col min="24" max="24" width="5.44140625" customWidth="1"/>
    <col min="28" max="28" width="9.88671875" customWidth="1"/>
    <col min="33" max="33" width="10.5546875" customWidth="1"/>
  </cols>
  <sheetData>
    <row r="1" spans="1:33" s="17" customFormat="1" ht="17.399999999999999" x14ac:dyDescent="0.25">
      <c r="A1" s="86" t="s">
        <v>59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Z1" s="51"/>
    </row>
    <row r="2" spans="1:33" s="17" customFormat="1" ht="13.5" customHeight="1" x14ac:dyDescent="0.25">
      <c r="A2" s="20" t="s">
        <v>60</v>
      </c>
      <c r="B2" s="96" t="s">
        <v>1</v>
      </c>
      <c r="C2" s="102" t="s">
        <v>61</v>
      </c>
      <c r="D2" s="104" t="s">
        <v>62</v>
      </c>
      <c r="E2" s="104" t="s">
        <v>63</v>
      </c>
      <c r="F2" s="87" t="s">
        <v>64</v>
      </c>
      <c r="G2" s="87"/>
      <c r="H2" s="87"/>
      <c r="I2" s="88" t="s">
        <v>65</v>
      </c>
      <c r="J2" s="89"/>
      <c r="K2" s="90" t="s">
        <v>66</v>
      </c>
      <c r="L2" s="91"/>
      <c r="M2" s="92"/>
      <c r="N2" s="107" t="s">
        <v>67</v>
      </c>
      <c r="O2" s="107" t="s">
        <v>8</v>
      </c>
      <c r="P2" s="88" t="s">
        <v>68</v>
      </c>
      <c r="Q2" s="93"/>
      <c r="R2" s="93"/>
      <c r="S2" s="93"/>
      <c r="T2" s="89"/>
      <c r="U2" s="107" t="s">
        <v>69</v>
      </c>
      <c r="V2" s="111" t="s">
        <v>98</v>
      </c>
      <c r="W2" s="102" t="s">
        <v>71</v>
      </c>
      <c r="X2" s="117" t="s">
        <v>72</v>
      </c>
      <c r="Y2" s="102" t="s">
        <v>73</v>
      </c>
      <c r="Z2" s="51"/>
    </row>
    <row r="3" spans="1:33" s="17" customFormat="1" ht="30.6" customHeight="1" x14ac:dyDescent="0.25">
      <c r="A3" s="22" t="s">
        <v>74</v>
      </c>
      <c r="B3" s="98"/>
      <c r="C3" s="103"/>
      <c r="D3" s="105"/>
      <c r="E3" s="106"/>
      <c r="F3" s="21" t="s">
        <v>75</v>
      </c>
      <c r="G3" s="21" t="s">
        <v>76</v>
      </c>
      <c r="H3" s="21" t="s">
        <v>77</v>
      </c>
      <c r="I3" s="29" t="s">
        <v>78</v>
      </c>
      <c r="J3" s="29" t="s">
        <v>79</v>
      </c>
      <c r="K3" s="30" t="s">
        <v>80</v>
      </c>
      <c r="L3" s="30" t="s">
        <v>81</v>
      </c>
      <c r="M3" s="30" t="s">
        <v>79</v>
      </c>
      <c r="N3" s="108"/>
      <c r="O3" s="109"/>
      <c r="P3" s="29" t="s">
        <v>82</v>
      </c>
      <c r="Q3" s="29" t="s">
        <v>83</v>
      </c>
      <c r="R3" s="29" t="s">
        <v>34</v>
      </c>
      <c r="S3" s="44" t="s">
        <v>84</v>
      </c>
      <c r="T3" s="45" t="s">
        <v>85</v>
      </c>
      <c r="U3" s="109"/>
      <c r="V3" s="112"/>
      <c r="W3" s="103"/>
      <c r="X3" s="102"/>
      <c r="Y3" s="103"/>
      <c r="Z3" s="51"/>
    </row>
    <row r="4" spans="1:33" s="17" customFormat="1" x14ac:dyDescent="0.25">
      <c r="A4" s="96">
        <v>1</v>
      </c>
      <c r="B4" s="99" t="s">
        <v>13</v>
      </c>
      <c r="C4" s="99" t="s">
        <v>14</v>
      </c>
      <c r="D4" s="99"/>
      <c r="E4" s="23" t="s">
        <v>86</v>
      </c>
      <c r="F4" s="24"/>
      <c r="G4" s="24"/>
      <c r="H4" s="24">
        <v>1</v>
      </c>
      <c r="I4" s="31">
        <v>4.5</v>
      </c>
      <c r="J4" s="31">
        <v>2.5</v>
      </c>
      <c r="K4" s="32">
        <v>1.6E-2</v>
      </c>
      <c r="L4" s="33">
        <v>0.01</v>
      </c>
      <c r="M4" s="34">
        <f>K4-L4</f>
        <v>6.0000000000000001E-3</v>
      </c>
      <c r="N4" s="35">
        <f>I4*K4-J4*M4</f>
        <v>5.7000000000000002E-2</v>
      </c>
      <c r="O4" s="35">
        <f>J4*M4</f>
        <v>1.4999999999999999E-2</v>
      </c>
      <c r="P4" s="36" t="s">
        <v>87</v>
      </c>
      <c r="Q4" s="46" t="s">
        <v>43</v>
      </c>
      <c r="R4" s="47">
        <f>VLOOKUP(Q4,冲压工序费!B:C,2,0)</f>
        <v>0.05</v>
      </c>
      <c r="S4" s="48">
        <v>2</v>
      </c>
      <c r="T4" s="47">
        <f>R4/S4</f>
        <v>2.5000000000000001E-2</v>
      </c>
      <c r="U4" s="110">
        <v>1.1200000000000001</v>
      </c>
      <c r="V4" s="113">
        <f>T10*U4-O10</f>
        <v>0.21460000000000001</v>
      </c>
      <c r="W4" s="116">
        <v>0</v>
      </c>
      <c r="X4" s="118">
        <v>0</v>
      </c>
      <c r="Y4" s="113">
        <f>V4+IF(W4=0,0,W4/X4)</f>
        <v>0.21460000000000001</v>
      </c>
      <c r="Z4" s="51"/>
    </row>
    <row r="5" spans="1:33" s="17" customFormat="1" x14ac:dyDescent="0.25">
      <c r="A5" s="97"/>
      <c r="B5" s="100"/>
      <c r="C5" s="100"/>
      <c r="D5" s="100"/>
      <c r="E5" s="25"/>
      <c r="F5" s="26"/>
      <c r="G5" s="26"/>
      <c r="H5" s="27"/>
      <c r="I5" s="37"/>
      <c r="J5" s="38"/>
      <c r="K5" s="39"/>
      <c r="L5" s="25"/>
      <c r="M5" s="40"/>
      <c r="N5" s="41"/>
      <c r="O5" s="41"/>
      <c r="P5" s="36" t="s">
        <v>88</v>
      </c>
      <c r="Q5" s="49" t="s">
        <v>89</v>
      </c>
      <c r="R5" s="47">
        <v>0.2</v>
      </c>
      <c r="S5" s="48">
        <v>2</v>
      </c>
      <c r="T5" s="47">
        <f t="shared" ref="T5:T9" si="0">R5/S5</f>
        <v>0.1</v>
      </c>
      <c r="U5" s="110"/>
      <c r="V5" s="114"/>
      <c r="W5" s="116"/>
      <c r="X5" s="119"/>
      <c r="Y5" s="114"/>
      <c r="Z5" s="51"/>
      <c r="AB5" s="52"/>
      <c r="AF5" s="53"/>
      <c r="AG5" s="52"/>
    </row>
    <row r="6" spans="1:33" s="17" customFormat="1" x14ac:dyDescent="0.25">
      <c r="A6" s="97"/>
      <c r="B6" s="100"/>
      <c r="C6" s="100"/>
      <c r="D6" s="100"/>
      <c r="E6" s="25"/>
      <c r="F6" s="26"/>
      <c r="G6" s="26"/>
      <c r="H6" s="27"/>
      <c r="I6" s="38"/>
      <c r="J6" s="38"/>
      <c r="K6" s="39"/>
      <c r="L6" s="25"/>
      <c r="M6" s="40"/>
      <c r="N6" s="35"/>
      <c r="O6" s="35"/>
      <c r="P6" s="36" t="s">
        <v>90</v>
      </c>
      <c r="Q6" s="49" t="s">
        <v>39</v>
      </c>
      <c r="R6" s="47">
        <f>VLOOKUP(Q6,冲压工序费!B:C,2,0)</f>
        <v>0.04</v>
      </c>
      <c r="S6" s="48">
        <v>2</v>
      </c>
      <c r="T6" s="47">
        <f t="shared" si="0"/>
        <v>0.02</v>
      </c>
      <c r="U6" s="110"/>
      <c r="V6" s="114"/>
      <c r="W6" s="116"/>
      <c r="X6" s="119"/>
      <c r="Y6" s="114"/>
      <c r="Z6" s="51"/>
    </row>
    <row r="7" spans="1:33" s="17" customFormat="1" x14ac:dyDescent="0.25">
      <c r="A7" s="97"/>
      <c r="B7" s="100"/>
      <c r="C7" s="100"/>
      <c r="D7" s="100"/>
      <c r="E7" s="25"/>
      <c r="F7" s="26"/>
      <c r="G7" s="26"/>
      <c r="H7" s="27"/>
      <c r="I7" s="38"/>
      <c r="J7" s="38"/>
      <c r="K7" s="39"/>
      <c r="L7" s="25"/>
      <c r="M7" s="40"/>
      <c r="N7" s="35"/>
      <c r="O7" s="35"/>
      <c r="P7" s="36" t="s">
        <v>91</v>
      </c>
      <c r="Q7" s="49" t="s">
        <v>39</v>
      </c>
      <c r="R7" s="47">
        <f>VLOOKUP(Q7,冲压工序费!B:C,2,0)</f>
        <v>0.04</v>
      </c>
      <c r="S7" s="48">
        <v>2</v>
      </c>
      <c r="T7" s="47">
        <f t="shared" si="0"/>
        <v>0.02</v>
      </c>
      <c r="U7" s="110"/>
      <c r="V7" s="114"/>
      <c r="W7" s="116"/>
      <c r="X7" s="119"/>
      <c r="Y7" s="114"/>
      <c r="Z7" s="51"/>
    </row>
    <row r="8" spans="1:33" s="17" customFormat="1" x14ac:dyDescent="0.25">
      <c r="A8" s="97"/>
      <c r="B8" s="100"/>
      <c r="C8" s="100"/>
      <c r="D8" s="100"/>
      <c r="E8" s="25"/>
      <c r="F8" s="26"/>
      <c r="G8" s="26"/>
      <c r="H8" s="27"/>
      <c r="I8" s="38"/>
      <c r="J8" s="38"/>
      <c r="K8" s="39"/>
      <c r="L8" s="25"/>
      <c r="M8" s="40"/>
      <c r="N8" s="35"/>
      <c r="O8" s="35"/>
      <c r="P8" s="36" t="s">
        <v>92</v>
      </c>
      <c r="Q8" s="49" t="s">
        <v>39</v>
      </c>
      <c r="R8" s="47">
        <f>VLOOKUP(Q8,冲压工序费!B:C,2,0)</f>
        <v>0.04</v>
      </c>
      <c r="S8" s="48">
        <v>2</v>
      </c>
      <c r="T8" s="47">
        <f t="shared" si="0"/>
        <v>0.02</v>
      </c>
      <c r="U8" s="110"/>
      <c r="V8" s="114"/>
      <c r="W8" s="116"/>
      <c r="X8" s="119"/>
      <c r="Y8" s="114"/>
      <c r="Z8" s="51"/>
    </row>
    <row r="9" spans="1:33" s="17" customFormat="1" x14ac:dyDescent="0.25">
      <c r="A9" s="97"/>
      <c r="B9" s="100"/>
      <c r="C9" s="100"/>
      <c r="D9" s="100"/>
      <c r="E9" s="25"/>
      <c r="F9" s="26"/>
      <c r="G9" s="26"/>
      <c r="H9" s="27"/>
      <c r="I9" s="38"/>
      <c r="J9" s="38"/>
      <c r="K9" s="39"/>
      <c r="L9" s="25"/>
      <c r="M9" s="40"/>
      <c r="N9" s="35"/>
      <c r="O9" s="35"/>
      <c r="P9" s="36" t="s">
        <v>93</v>
      </c>
      <c r="Q9" s="49" t="s">
        <v>39</v>
      </c>
      <c r="R9" s="47">
        <f>VLOOKUP(Q9,冲压工序费!B:C,2,0)</f>
        <v>0.04</v>
      </c>
      <c r="S9" s="48">
        <v>2</v>
      </c>
      <c r="T9" s="47">
        <f t="shared" si="0"/>
        <v>0.02</v>
      </c>
      <c r="U9" s="110"/>
      <c r="V9" s="114"/>
      <c r="W9" s="116"/>
      <c r="X9" s="119"/>
      <c r="Y9" s="114"/>
      <c r="Z9" s="51"/>
    </row>
    <row r="10" spans="1:33" s="17" customFormat="1" x14ac:dyDescent="0.25">
      <c r="A10" s="98"/>
      <c r="B10" s="101"/>
      <c r="C10" s="101"/>
      <c r="D10" s="101"/>
      <c r="E10" s="94" t="s">
        <v>94</v>
      </c>
      <c r="F10" s="94"/>
      <c r="G10" s="94"/>
      <c r="H10" s="94"/>
      <c r="I10" s="94"/>
      <c r="J10" s="94"/>
      <c r="K10" s="94"/>
      <c r="L10" s="94"/>
      <c r="M10" s="94"/>
      <c r="N10" s="42">
        <f>SUM(N4:N9)</f>
        <v>5.7000000000000002E-2</v>
      </c>
      <c r="O10" s="42">
        <f>SUM(O4:O9)</f>
        <v>1.4999999999999999E-2</v>
      </c>
      <c r="P10" s="95" t="s">
        <v>95</v>
      </c>
      <c r="Q10" s="95"/>
      <c r="R10" s="95"/>
      <c r="S10" s="95"/>
      <c r="T10" s="50">
        <f>SUM(T4:T9)</f>
        <v>0.20499999999999999</v>
      </c>
      <c r="U10" s="110"/>
      <c r="V10" s="115"/>
      <c r="W10" s="116"/>
      <c r="X10" s="120"/>
      <c r="Y10" s="115"/>
      <c r="Z10" s="51"/>
    </row>
    <row r="11" spans="1:33" s="17" customFormat="1" x14ac:dyDescent="0.25">
      <c r="A11" s="96">
        <v>2</v>
      </c>
      <c r="B11" s="99" t="s">
        <v>16</v>
      </c>
      <c r="C11" s="99" t="s">
        <v>17</v>
      </c>
      <c r="D11" s="99"/>
      <c r="E11" s="23" t="s">
        <v>86</v>
      </c>
      <c r="F11" s="24"/>
      <c r="G11" s="24"/>
      <c r="H11" s="24">
        <v>1</v>
      </c>
      <c r="I11" s="31">
        <v>4.5</v>
      </c>
      <c r="J11" s="31">
        <v>2.5</v>
      </c>
      <c r="K11" s="32">
        <v>1.6E-2</v>
      </c>
      <c r="L11" s="33">
        <v>0.01</v>
      </c>
      <c r="M11" s="34">
        <f>K11-L11</f>
        <v>6.0000000000000001E-3</v>
      </c>
      <c r="N11" s="35">
        <f>I11*K11-J11*M11</f>
        <v>5.7000000000000002E-2</v>
      </c>
      <c r="O11" s="35">
        <f>J11*M11</f>
        <v>1.4999999999999999E-2</v>
      </c>
      <c r="P11" s="36" t="s">
        <v>87</v>
      </c>
      <c r="Q11" s="46" t="s">
        <v>43</v>
      </c>
      <c r="R11" s="47">
        <f>VLOOKUP(Q11,冲压工序费!B:C,2,0)</f>
        <v>0.05</v>
      </c>
      <c r="S11" s="48">
        <v>2</v>
      </c>
      <c r="T11" s="47">
        <f>R11/S11</f>
        <v>2.5000000000000001E-2</v>
      </c>
      <c r="U11" s="110">
        <v>1.1200000000000001</v>
      </c>
      <c r="V11" s="113">
        <f>T17*U11-O17</f>
        <v>0.21460000000000001</v>
      </c>
      <c r="W11" s="116">
        <v>0</v>
      </c>
      <c r="X11" s="118">
        <v>0</v>
      </c>
      <c r="Y11" s="113">
        <f>V11+IF(W11=0,0,W11/X11)</f>
        <v>0.21460000000000001</v>
      </c>
      <c r="Z11" s="51"/>
    </row>
    <row r="12" spans="1:33" s="17" customFormat="1" x14ac:dyDescent="0.25">
      <c r="A12" s="97"/>
      <c r="B12" s="100"/>
      <c r="C12" s="100"/>
      <c r="D12" s="100"/>
      <c r="E12" s="25"/>
      <c r="F12" s="26"/>
      <c r="G12" s="26"/>
      <c r="H12" s="27"/>
      <c r="I12" s="37"/>
      <c r="J12" s="38"/>
      <c r="K12" s="39"/>
      <c r="L12" s="25"/>
      <c r="M12" s="40"/>
      <c r="N12" s="41"/>
      <c r="O12" s="41"/>
      <c r="P12" s="36" t="s">
        <v>88</v>
      </c>
      <c r="Q12" s="49" t="s">
        <v>89</v>
      </c>
      <c r="R12" s="47">
        <v>0.2</v>
      </c>
      <c r="S12" s="48">
        <v>2</v>
      </c>
      <c r="T12" s="47">
        <f t="shared" ref="T12:T16" si="1">R12/S12</f>
        <v>0.1</v>
      </c>
      <c r="U12" s="110"/>
      <c r="V12" s="114"/>
      <c r="W12" s="116"/>
      <c r="X12" s="119"/>
      <c r="Y12" s="114"/>
      <c r="Z12" s="51"/>
      <c r="AB12" s="52"/>
      <c r="AF12" s="53"/>
      <c r="AG12" s="52"/>
    </row>
    <row r="13" spans="1:33" s="17" customFormat="1" x14ac:dyDescent="0.25">
      <c r="A13" s="97"/>
      <c r="B13" s="100"/>
      <c r="C13" s="100"/>
      <c r="D13" s="100"/>
      <c r="E13" s="25"/>
      <c r="F13" s="26"/>
      <c r="G13" s="26"/>
      <c r="H13" s="27"/>
      <c r="I13" s="38"/>
      <c r="J13" s="38"/>
      <c r="K13" s="39"/>
      <c r="L13" s="25"/>
      <c r="M13" s="40"/>
      <c r="N13" s="35"/>
      <c r="O13" s="35"/>
      <c r="P13" s="36" t="s">
        <v>90</v>
      </c>
      <c r="Q13" s="49" t="s">
        <v>39</v>
      </c>
      <c r="R13" s="47">
        <f>VLOOKUP(Q13,冲压工序费!B:C,2,0)</f>
        <v>0.04</v>
      </c>
      <c r="S13" s="48">
        <v>2</v>
      </c>
      <c r="T13" s="47">
        <f t="shared" si="1"/>
        <v>0.02</v>
      </c>
      <c r="U13" s="110"/>
      <c r="V13" s="114"/>
      <c r="W13" s="116"/>
      <c r="X13" s="119"/>
      <c r="Y13" s="114"/>
      <c r="Z13" s="51"/>
    </row>
    <row r="14" spans="1:33" s="17" customFormat="1" x14ac:dyDescent="0.25">
      <c r="A14" s="97"/>
      <c r="B14" s="100"/>
      <c r="C14" s="100"/>
      <c r="D14" s="100"/>
      <c r="E14" s="25"/>
      <c r="F14" s="26"/>
      <c r="G14" s="26"/>
      <c r="H14" s="27"/>
      <c r="I14" s="38"/>
      <c r="J14" s="38"/>
      <c r="K14" s="39"/>
      <c r="L14" s="25"/>
      <c r="M14" s="40"/>
      <c r="N14" s="35"/>
      <c r="O14" s="35"/>
      <c r="P14" s="36" t="s">
        <v>91</v>
      </c>
      <c r="Q14" s="49" t="s">
        <v>39</v>
      </c>
      <c r="R14" s="47">
        <f>VLOOKUP(Q14,冲压工序费!B:C,2,0)</f>
        <v>0.04</v>
      </c>
      <c r="S14" s="48">
        <v>2</v>
      </c>
      <c r="T14" s="47">
        <f t="shared" si="1"/>
        <v>0.02</v>
      </c>
      <c r="U14" s="110"/>
      <c r="V14" s="114"/>
      <c r="W14" s="116"/>
      <c r="X14" s="119"/>
      <c r="Y14" s="114"/>
      <c r="Z14" s="51"/>
    </row>
    <row r="15" spans="1:33" s="17" customFormat="1" x14ac:dyDescent="0.25">
      <c r="A15" s="97"/>
      <c r="B15" s="100"/>
      <c r="C15" s="100"/>
      <c r="D15" s="100"/>
      <c r="E15" s="25"/>
      <c r="F15" s="26"/>
      <c r="G15" s="26"/>
      <c r="H15" s="27"/>
      <c r="I15" s="38"/>
      <c r="J15" s="38"/>
      <c r="K15" s="39"/>
      <c r="L15" s="25"/>
      <c r="M15" s="40"/>
      <c r="N15" s="35"/>
      <c r="O15" s="35"/>
      <c r="P15" s="36" t="s">
        <v>92</v>
      </c>
      <c r="Q15" s="49" t="s">
        <v>39</v>
      </c>
      <c r="R15" s="47">
        <f>VLOOKUP(Q15,冲压工序费!B:C,2,0)</f>
        <v>0.04</v>
      </c>
      <c r="S15" s="48">
        <v>2</v>
      </c>
      <c r="T15" s="47">
        <f t="shared" si="1"/>
        <v>0.02</v>
      </c>
      <c r="U15" s="110"/>
      <c r="V15" s="114"/>
      <c r="W15" s="116"/>
      <c r="X15" s="119"/>
      <c r="Y15" s="114"/>
      <c r="Z15" s="51"/>
    </row>
    <row r="16" spans="1:33" s="17" customFormat="1" x14ac:dyDescent="0.25">
      <c r="A16" s="97"/>
      <c r="B16" s="100"/>
      <c r="C16" s="100"/>
      <c r="D16" s="100"/>
      <c r="E16" s="25"/>
      <c r="F16" s="26"/>
      <c r="G16" s="26"/>
      <c r="H16" s="27"/>
      <c r="I16" s="38"/>
      <c r="J16" s="38"/>
      <c r="K16" s="39"/>
      <c r="L16" s="25"/>
      <c r="M16" s="40"/>
      <c r="N16" s="35"/>
      <c r="O16" s="35"/>
      <c r="P16" s="36" t="s">
        <v>93</v>
      </c>
      <c r="Q16" s="49" t="s">
        <v>39</v>
      </c>
      <c r="R16" s="47">
        <f>VLOOKUP(Q16,冲压工序费!B:C,2,0)</f>
        <v>0.04</v>
      </c>
      <c r="S16" s="48">
        <v>2</v>
      </c>
      <c r="T16" s="47">
        <f t="shared" si="1"/>
        <v>0.02</v>
      </c>
      <c r="U16" s="110"/>
      <c r="V16" s="114"/>
      <c r="W16" s="116"/>
      <c r="X16" s="119"/>
      <c r="Y16" s="114"/>
      <c r="Z16" s="51"/>
    </row>
    <row r="17" spans="1:33" s="17" customFormat="1" x14ac:dyDescent="0.25">
      <c r="A17" s="98"/>
      <c r="B17" s="101"/>
      <c r="C17" s="101"/>
      <c r="D17" s="101"/>
      <c r="E17" s="94" t="s">
        <v>94</v>
      </c>
      <c r="F17" s="94"/>
      <c r="G17" s="94"/>
      <c r="H17" s="94"/>
      <c r="I17" s="94"/>
      <c r="J17" s="94"/>
      <c r="K17" s="94"/>
      <c r="L17" s="94"/>
      <c r="M17" s="94"/>
      <c r="N17" s="42">
        <f>SUM(N11:N16)</f>
        <v>5.7000000000000002E-2</v>
      </c>
      <c r="O17" s="42">
        <f>SUM(O11:O16)</f>
        <v>1.4999999999999999E-2</v>
      </c>
      <c r="P17" s="95" t="s">
        <v>95</v>
      </c>
      <c r="Q17" s="95"/>
      <c r="R17" s="95"/>
      <c r="S17" s="95"/>
      <c r="T17" s="50">
        <f>SUM(T11:T16)</f>
        <v>0.20499999999999999</v>
      </c>
      <c r="U17" s="110"/>
      <c r="V17" s="115"/>
      <c r="W17" s="116"/>
      <c r="X17" s="120"/>
      <c r="Y17" s="115"/>
      <c r="Z17" s="51"/>
    </row>
    <row r="18" spans="1:33" s="17" customFormat="1" x14ac:dyDescent="0.25">
      <c r="A18" s="96">
        <v>3</v>
      </c>
      <c r="B18" s="99" t="s">
        <v>18</v>
      </c>
      <c r="C18" s="99" t="s">
        <v>19</v>
      </c>
      <c r="D18" s="99"/>
      <c r="E18" s="23" t="s">
        <v>96</v>
      </c>
      <c r="F18" s="24">
        <v>74</v>
      </c>
      <c r="G18" s="24">
        <v>65</v>
      </c>
      <c r="H18" s="24">
        <v>2</v>
      </c>
      <c r="I18" s="31">
        <v>4.5999999999999996</v>
      </c>
      <c r="J18" s="31">
        <v>2.5</v>
      </c>
      <c r="K18" s="43">
        <f>F18*G18*H18*7.85/1000000</f>
        <v>7.5517000000000001E-2</v>
      </c>
      <c r="L18" s="33">
        <v>2.1999999999999999E-2</v>
      </c>
      <c r="M18" s="34">
        <f>K18-L18</f>
        <v>5.3517000000000002E-2</v>
      </c>
      <c r="N18" s="35">
        <f>I18*K18-J18*M18</f>
        <v>0.21358569999999999</v>
      </c>
      <c r="O18" s="35">
        <f>J18*M18</f>
        <v>0.13379250000000001</v>
      </c>
      <c r="P18" s="36" t="s">
        <v>87</v>
      </c>
      <c r="Q18" s="49" t="s">
        <v>41</v>
      </c>
      <c r="R18" s="47">
        <f>VLOOKUP(Q18,冲压工序费!B:C,2,0)</f>
        <v>0.04</v>
      </c>
      <c r="S18" s="48">
        <v>1</v>
      </c>
      <c r="T18" s="47">
        <f>R18/S18</f>
        <v>0.04</v>
      </c>
      <c r="U18" s="110">
        <v>1.1200000000000001</v>
      </c>
      <c r="V18" s="113">
        <f t="shared" ref="V18" si="2">T24*U18-O24</f>
        <v>-4.4192500000000003E-2</v>
      </c>
      <c r="W18" s="116">
        <v>0</v>
      </c>
      <c r="X18" s="118">
        <v>0</v>
      </c>
      <c r="Y18" s="113">
        <f>V18+IF(W18=0,0,W18/X18)</f>
        <v>-4.4192500000000003E-2</v>
      </c>
      <c r="Z18" s="51"/>
    </row>
    <row r="19" spans="1:33" s="17" customFormat="1" x14ac:dyDescent="0.25">
      <c r="A19" s="97"/>
      <c r="B19" s="100"/>
      <c r="C19" s="100"/>
      <c r="D19" s="100"/>
      <c r="E19" s="25"/>
      <c r="F19" s="26"/>
      <c r="G19" s="26"/>
      <c r="H19" s="27"/>
      <c r="I19" s="37"/>
      <c r="J19" s="38"/>
      <c r="K19" s="39"/>
      <c r="L19" s="25"/>
      <c r="M19" s="40"/>
      <c r="N19" s="41"/>
      <c r="O19" s="41"/>
      <c r="P19" s="36" t="s">
        <v>88</v>
      </c>
      <c r="Q19" s="49" t="s">
        <v>39</v>
      </c>
      <c r="R19" s="47">
        <f>VLOOKUP(Q19,冲压工序费!B:C,2,0)</f>
        <v>0.04</v>
      </c>
      <c r="S19" s="48">
        <v>1</v>
      </c>
      <c r="T19" s="47">
        <f t="shared" ref="T19" si="3">R19/S19</f>
        <v>0.04</v>
      </c>
      <c r="U19" s="110"/>
      <c r="V19" s="114"/>
      <c r="W19" s="116"/>
      <c r="X19" s="119"/>
      <c r="Y19" s="114"/>
      <c r="Z19" s="51"/>
      <c r="AB19" s="52"/>
      <c r="AF19" s="53"/>
      <c r="AG19" s="52"/>
    </row>
    <row r="20" spans="1:33" s="17" customFormat="1" x14ac:dyDescent="0.25">
      <c r="A20" s="97"/>
      <c r="B20" s="100"/>
      <c r="C20" s="100"/>
      <c r="D20" s="100"/>
      <c r="E20" s="25"/>
      <c r="F20" s="26"/>
      <c r="G20" s="26"/>
      <c r="H20" s="27"/>
      <c r="I20" s="38"/>
      <c r="J20" s="38"/>
      <c r="K20" s="39"/>
      <c r="L20" s="25"/>
      <c r="M20" s="40"/>
      <c r="N20" s="35"/>
      <c r="O20" s="35"/>
      <c r="P20" s="36"/>
      <c r="Q20" s="49"/>
      <c r="R20" s="47"/>
      <c r="S20" s="48"/>
      <c r="T20" s="47"/>
      <c r="U20" s="110"/>
      <c r="V20" s="114"/>
      <c r="W20" s="116"/>
      <c r="X20" s="119"/>
      <c r="Y20" s="114"/>
      <c r="Z20" s="51"/>
    </row>
    <row r="21" spans="1:33" s="17" customFormat="1" x14ac:dyDescent="0.25">
      <c r="A21" s="97"/>
      <c r="B21" s="100"/>
      <c r="C21" s="100"/>
      <c r="D21" s="100"/>
      <c r="E21" s="25"/>
      <c r="F21" s="26"/>
      <c r="G21" s="26"/>
      <c r="H21" s="27"/>
      <c r="I21" s="38"/>
      <c r="J21" s="38"/>
      <c r="K21" s="39"/>
      <c r="L21" s="25"/>
      <c r="M21" s="40"/>
      <c r="N21" s="35"/>
      <c r="O21" s="35"/>
      <c r="P21" s="36"/>
      <c r="Q21" s="49"/>
      <c r="R21" s="47"/>
      <c r="S21" s="48"/>
      <c r="T21" s="47"/>
      <c r="U21" s="110"/>
      <c r="V21" s="114"/>
      <c r="W21" s="116"/>
      <c r="X21" s="119"/>
      <c r="Y21" s="114"/>
      <c r="Z21" s="51"/>
    </row>
    <row r="22" spans="1:33" s="17" customFormat="1" x14ac:dyDescent="0.25">
      <c r="A22" s="97"/>
      <c r="B22" s="100"/>
      <c r="C22" s="100"/>
      <c r="D22" s="100"/>
      <c r="E22" s="25"/>
      <c r="F22" s="26"/>
      <c r="G22" s="26"/>
      <c r="H22" s="27"/>
      <c r="I22" s="38"/>
      <c r="J22" s="38"/>
      <c r="K22" s="39"/>
      <c r="L22" s="25"/>
      <c r="M22" s="40"/>
      <c r="N22" s="35"/>
      <c r="O22" s="35"/>
      <c r="P22" s="36"/>
      <c r="Q22" s="49"/>
      <c r="R22" s="47"/>
      <c r="S22" s="48"/>
      <c r="T22" s="47"/>
      <c r="U22" s="110"/>
      <c r="V22" s="114"/>
      <c r="W22" s="116"/>
      <c r="X22" s="119"/>
      <c r="Y22" s="114"/>
      <c r="Z22" s="51"/>
    </row>
    <row r="23" spans="1:33" s="17" customFormat="1" x14ac:dyDescent="0.25">
      <c r="A23" s="97"/>
      <c r="B23" s="100"/>
      <c r="C23" s="100"/>
      <c r="D23" s="100"/>
      <c r="E23" s="25"/>
      <c r="F23" s="26"/>
      <c r="G23" s="26"/>
      <c r="H23" s="27"/>
      <c r="I23" s="38"/>
      <c r="J23" s="38"/>
      <c r="K23" s="39"/>
      <c r="L23" s="25"/>
      <c r="M23" s="40"/>
      <c r="N23" s="35"/>
      <c r="O23" s="35"/>
      <c r="P23" s="36"/>
      <c r="Q23" s="49"/>
      <c r="R23" s="47"/>
      <c r="S23" s="48"/>
      <c r="T23" s="47"/>
      <c r="U23" s="110"/>
      <c r="V23" s="114"/>
      <c r="W23" s="116"/>
      <c r="X23" s="119"/>
      <c r="Y23" s="114"/>
      <c r="Z23" s="51"/>
    </row>
    <row r="24" spans="1:33" s="17" customFormat="1" x14ac:dyDescent="0.25">
      <c r="A24" s="98"/>
      <c r="B24" s="101"/>
      <c r="C24" s="101"/>
      <c r="D24" s="101"/>
      <c r="E24" s="94" t="s">
        <v>94</v>
      </c>
      <c r="F24" s="94"/>
      <c r="G24" s="94"/>
      <c r="H24" s="94"/>
      <c r="I24" s="94"/>
      <c r="J24" s="94"/>
      <c r="K24" s="94"/>
      <c r="L24" s="94"/>
      <c r="M24" s="94"/>
      <c r="N24" s="42">
        <f>SUM(N18:N23)</f>
        <v>0.21358569999999999</v>
      </c>
      <c r="O24" s="42">
        <f>SUM(O18:O23)</f>
        <v>0.13379250000000001</v>
      </c>
      <c r="P24" s="95" t="s">
        <v>95</v>
      </c>
      <c r="Q24" s="95"/>
      <c r="R24" s="95"/>
      <c r="S24" s="95"/>
      <c r="T24" s="50">
        <f>SUM(T18:T23)</f>
        <v>0.08</v>
      </c>
      <c r="U24" s="110"/>
      <c r="V24" s="115"/>
      <c r="W24" s="116"/>
      <c r="X24" s="120"/>
      <c r="Y24" s="115"/>
      <c r="Z24" s="51"/>
    </row>
    <row r="25" spans="1:33" s="17" customFormat="1" x14ac:dyDescent="0.25">
      <c r="A25" s="96">
        <v>5</v>
      </c>
      <c r="B25" s="99" t="s">
        <v>21</v>
      </c>
      <c r="C25" s="99" t="s">
        <v>22</v>
      </c>
      <c r="D25" s="99"/>
      <c r="E25" s="23" t="s">
        <v>97</v>
      </c>
      <c r="F25" s="24"/>
      <c r="G25" s="24"/>
      <c r="H25" s="24">
        <v>2</v>
      </c>
      <c r="I25" s="31">
        <v>4.9000000000000004</v>
      </c>
      <c r="J25" s="31">
        <v>2.5</v>
      </c>
      <c r="K25" s="32">
        <v>3.5999999999999997E-2</v>
      </c>
      <c r="L25" s="33">
        <v>2.8000000000000001E-2</v>
      </c>
      <c r="M25" s="34">
        <f>K25-L25</f>
        <v>8.0000000000000002E-3</v>
      </c>
      <c r="N25" s="35">
        <f>I25*K25-J25*M25</f>
        <v>0.15640000000000001</v>
      </c>
      <c r="O25" s="35">
        <f>J25*M25</f>
        <v>0.02</v>
      </c>
      <c r="P25" s="36" t="s">
        <v>87</v>
      </c>
      <c r="Q25" s="49" t="s">
        <v>41</v>
      </c>
      <c r="R25" s="47">
        <f>VLOOKUP(Q25,冲压工序费!B:C,2,0)</f>
        <v>0.04</v>
      </c>
      <c r="S25" s="48">
        <v>1</v>
      </c>
      <c r="T25" s="47">
        <f>R25/S25</f>
        <v>0.04</v>
      </c>
      <c r="U25" s="110">
        <v>1.1200000000000001</v>
      </c>
      <c r="V25" s="113">
        <f t="shared" ref="V25" si="4">T31*U25-O31</f>
        <v>0.1144</v>
      </c>
      <c r="W25" s="116">
        <v>0</v>
      </c>
      <c r="X25" s="118">
        <v>0</v>
      </c>
      <c r="Y25" s="113">
        <f>V25+IF(W25=0,0,W25/X25)</f>
        <v>0.1144</v>
      </c>
      <c r="Z25" s="51"/>
    </row>
    <row r="26" spans="1:33" s="17" customFormat="1" x14ac:dyDescent="0.25">
      <c r="A26" s="97"/>
      <c r="B26" s="100"/>
      <c r="C26" s="100"/>
      <c r="D26" s="100"/>
      <c r="E26" s="25"/>
      <c r="F26" s="26"/>
      <c r="G26" s="26"/>
      <c r="H26" s="27"/>
      <c r="I26" s="37"/>
      <c r="J26" s="38"/>
      <c r="K26" s="39"/>
      <c r="L26" s="25"/>
      <c r="M26" s="40"/>
      <c r="N26" s="41"/>
      <c r="O26" s="41"/>
      <c r="P26" s="36" t="s">
        <v>88</v>
      </c>
      <c r="Q26" s="49" t="s">
        <v>39</v>
      </c>
      <c r="R26" s="47">
        <f>VLOOKUP(Q26,冲压工序费!B:C,2,0)</f>
        <v>0.04</v>
      </c>
      <c r="S26" s="48">
        <v>1</v>
      </c>
      <c r="T26" s="47">
        <f t="shared" ref="T26:T27" si="5">R26/S26</f>
        <v>0.04</v>
      </c>
      <c r="U26" s="110"/>
      <c r="V26" s="114"/>
      <c r="W26" s="116"/>
      <c r="X26" s="119"/>
      <c r="Y26" s="114"/>
      <c r="Z26" s="51"/>
      <c r="AB26" s="52"/>
      <c r="AF26" s="53"/>
      <c r="AG26" s="52"/>
    </row>
    <row r="27" spans="1:33" s="17" customFormat="1" x14ac:dyDescent="0.25">
      <c r="A27" s="97"/>
      <c r="B27" s="100"/>
      <c r="C27" s="100"/>
      <c r="D27" s="100"/>
      <c r="E27" s="25"/>
      <c r="F27" s="26"/>
      <c r="G27" s="26"/>
      <c r="H27" s="27"/>
      <c r="I27" s="38"/>
      <c r="J27" s="38"/>
      <c r="K27" s="39"/>
      <c r="L27" s="25"/>
      <c r="M27" s="40"/>
      <c r="N27" s="35"/>
      <c r="O27" s="35"/>
      <c r="P27" s="36" t="s">
        <v>92</v>
      </c>
      <c r="Q27" s="49" t="s">
        <v>39</v>
      </c>
      <c r="R27" s="47">
        <f>VLOOKUP(Q27,冲压工序费!B:C,2,0)</f>
        <v>0.04</v>
      </c>
      <c r="S27" s="48">
        <v>1</v>
      </c>
      <c r="T27" s="47">
        <f t="shared" si="5"/>
        <v>0.04</v>
      </c>
      <c r="U27" s="110"/>
      <c r="V27" s="114"/>
      <c r="W27" s="116"/>
      <c r="X27" s="119"/>
      <c r="Y27" s="114"/>
      <c r="Z27" s="51"/>
    </row>
    <row r="28" spans="1:33" s="17" customFormat="1" x14ac:dyDescent="0.25">
      <c r="A28" s="97"/>
      <c r="B28" s="100"/>
      <c r="C28" s="100"/>
      <c r="D28" s="100"/>
      <c r="E28" s="25"/>
      <c r="F28" s="26"/>
      <c r="G28" s="26"/>
      <c r="H28" s="27"/>
      <c r="I28" s="38"/>
      <c r="J28" s="38"/>
      <c r="K28" s="39"/>
      <c r="L28" s="25"/>
      <c r="M28" s="40"/>
      <c r="N28" s="35"/>
      <c r="O28" s="35"/>
      <c r="P28" s="36"/>
      <c r="Q28" s="49"/>
      <c r="R28" s="47"/>
      <c r="S28" s="48"/>
      <c r="T28" s="47"/>
      <c r="U28" s="110"/>
      <c r="V28" s="114"/>
      <c r="W28" s="116"/>
      <c r="X28" s="119"/>
      <c r="Y28" s="114"/>
      <c r="Z28" s="51"/>
    </row>
    <row r="29" spans="1:33" s="17" customFormat="1" x14ac:dyDescent="0.25">
      <c r="A29" s="97"/>
      <c r="B29" s="100"/>
      <c r="C29" s="100"/>
      <c r="D29" s="100"/>
      <c r="E29" s="25"/>
      <c r="F29" s="26"/>
      <c r="G29" s="26"/>
      <c r="H29" s="27"/>
      <c r="I29" s="38"/>
      <c r="J29" s="38"/>
      <c r="K29" s="39"/>
      <c r="L29" s="25"/>
      <c r="M29" s="40"/>
      <c r="N29" s="35"/>
      <c r="O29" s="35"/>
      <c r="P29" s="36"/>
      <c r="Q29" s="49"/>
      <c r="R29" s="47"/>
      <c r="S29" s="48"/>
      <c r="T29" s="47"/>
      <c r="U29" s="110"/>
      <c r="V29" s="114"/>
      <c r="W29" s="116"/>
      <c r="X29" s="119"/>
      <c r="Y29" s="114"/>
      <c r="Z29" s="51"/>
    </row>
    <row r="30" spans="1:33" s="17" customFormat="1" x14ac:dyDescent="0.25">
      <c r="A30" s="97"/>
      <c r="B30" s="100"/>
      <c r="C30" s="100"/>
      <c r="D30" s="100"/>
      <c r="E30" s="25"/>
      <c r="F30" s="26"/>
      <c r="G30" s="26"/>
      <c r="H30" s="27"/>
      <c r="I30" s="38"/>
      <c r="J30" s="38"/>
      <c r="K30" s="39"/>
      <c r="L30" s="25"/>
      <c r="M30" s="40"/>
      <c r="N30" s="35"/>
      <c r="O30" s="35"/>
      <c r="P30" s="36"/>
      <c r="Q30" s="49"/>
      <c r="R30" s="47"/>
      <c r="S30" s="48"/>
      <c r="T30" s="47"/>
      <c r="U30" s="110"/>
      <c r="V30" s="114"/>
      <c r="W30" s="116"/>
      <c r="X30" s="119"/>
      <c r="Y30" s="114"/>
      <c r="Z30" s="51"/>
    </row>
    <row r="31" spans="1:33" s="17" customFormat="1" x14ac:dyDescent="0.25">
      <c r="A31" s="98"/>
      <c r="B31" s="101"/>
      <c r="C31" s="101"/>
      <c r="D31" s="101"/>
      <c r="E31" s="94" t="s">
        <v>94</v>
      </c>
      <c r="F31" s="94"/>
      <c r="G31" s="94"/>
      <c r="H31" s="94"/>
      <c r="I31" s="94"/>
      <c r="J31" s="94"/>
      <c r="K31" s="94"/>
      <c r="L31" s="94"/>
      <c r="M31" s="94"/>
      <c r="N31" s="42">
        <f>SUM(N25:N30)</f>
        <v>0.15640000000000001</v>
      </c>
      <c r="O31" s="42">
        <f>SUM(O25:O30)</f>
        <v>0.02</v>
      </c>
      <c r="P31" s="95" t="s">
        <v>95</v>
      </c>
      <c r="Q31" s="95"/>
      <c r="R31" s="95"/>
      <c r="S31" s="95"/>
      <c r="T31" s="50">
        <f>SUM(T25:T30)</f>
        <v>0.12</v>
      </c>
      <c r="U31" s="110"/>
      <c r="V31" s="115"/>
      <c r="W31" s="116"/>
      <c r="X31" s="120"/>
      <c r="Y31" s="115"/>
      <c r="Z31" s="51"/>
    </row>
    <row r="32" spans="1:33" s="17" customFormat="1" x14ac:dyDescent="0.25">
      <c r="A32" s="96">
        <v>6</v>
      </c>
      <c r="B32" s="99" t="s">
        <v>24</v>
      </c>
      <c r="C32" s="99" t="s">
        <v>25</v>
      </c>
      <c r="D32" s="99"/>
      <c r="E32" s="23" t="s">
        <v>96</v>
      </c>
      <c r="F32" s="28">
        <f>65+H32*1.5</f>
        <v>68.75</v>
      </c>
      <c r="G32" s="28">
        <f>54+H32*1.5</f>
        <v>57.75</v>
      </c>
      <c r="H32" s="24">
        <v>2.5</v>
      </c>
      <c r="I32" s="31">
        <v>4.5999999999999996</v>
      </c>
      <c r="J32" s="31">
        <v>2.5</v>
      </c>
      <c r="K32" s="43">
        <v>4.8000000000000001E-2</v>
      </c>
      <c r="L32" s="33">
        <v>4.24E-2</v>
      </c>
      <c r="M32" s="34">
        <f>K32-L32</f>
        <v>5.5999999999999999E-3</v>
      </c>
      <c r="N32" s="35">
        <f>I32*K32-J32*M32</f>
        <v>0.20680000000000001</v>
      </c>
      <c r="O32" s="35">
        <f>J32*M32</f>
        <v>1.4E-2</v>
      </c>
      <c r="P32" s="36" t="s">
        <v>87</v>
      </c>
      <c r="Q32" s="49" t="s">
        <v>41</v>
      </c>
      <c r="R32" s="47">
        <f>VLOOKUP(Q32,冲压工序费!B:C,2,0)</f>
        <v>0.04</v>
      </c>
      <c r="S32" s="48">
        <v>1</v>
      </c>
      <c r="T32" s="47">
        <f>R32/S32</f>
        <v>0.04</v>
      </c>
      <c r="U32" s="110">
        <v>1.1200000000000001</v>
      </c>
      <c r="V32" s="113">
        <f t="shared" ref="V32" si="6">T38*U32-O38</f>
        <v>7.5600000000000001E-2</v>
      </c>
      <c r="W32" s="116">
        <v>0</v>
      </c>
      <c r="X32" s="118">
        <v>0</v>
      </c>
      <c r="Y32" s="113">
        <f>V32+IF(W32=0,0,W32/X32)</f>
        <v>7.5600000000000001E-2</v>
      </c>
      <c r="Z32" s="51"/>
    </row>
    <row r="33" spans="1:33" s="17" customFormat="1" x14ac:dyDescent="0.25">
      <c r="A33" s="97"/>
      <c r="B33" s="100"/>
      <c r="C33" s="100"/>
      <c r="D33" s="100"/>
      <c r="E33" s="25"/>
      <c r="F33" s="26"/>
      <c r="G33" s="26"/>
      <c r="H33" s="27"/>
      <c r="I33" s="37"/>
      <c r="J33" s="38"/>
      <c r="K33" s="39"/>
      <c r="L33" s="25"/>
      <c r="M33" s="40"/>
      <c r="N33" s="41"/>
      <c r="O33" s="41"/>
      <c r="P33" s="36" t="s">
        <v>88</v>
      </c>
      <c r="Q33" s="49" t="s">
        <v>39</v>
      </c>
      <c r="R33" s="47">
        <f>VLOOKUP(Q33,冲压工序费!B:C,2,0)</f>
        <v>0.04</v>
      </c>
      <c r="S33" s="48">
        <v>1</v>
      </c>
      <c r="T33" s="47">
        <f t="shared" ref="T33" si="7">R33/S33</f>
        <v>0.04</v>
      </c>
      <c r="U33" s="110"/>
      <c r="V33" s="114"/>
      <c r="W33" s="116"/>
      <c r="X33" s="119"/>
      <c r="Y33" s="114"/>
      <c r="Z33" s="51"/>
      <c r="AB33" s="52"/>
      <c r="AF33" s="53"/>
      <c r="AG33" s="52"/>
    </row>
    <row r="34" spans="1:33" s="17" customFormat="1" x14ac:dyDescent="0.25">
      <c r="A34" s="97"/>
      <c r="B34" s="100"/>
      <c r="C34" s="100"/>
      <c r="D34" s="100"/>
      <c r="E34" s="25"/>
      <c r="F34" s="26"/>
      <c r="G34" s="26"/>
      <c r="H34" s="27"/>
      <c r="I34" s="38"/>
      <c r="J34" s="38"/>
      <c r="K34" s="39"/>
      <c r="L34" s="25"/>
      <c r="M34" s="40"/>
      <c r="N34" s="35"/>
      <c r="O34" s="35"/>
      <c r="P34" s="36"/>
      <c r="Q34" s="49"/>
      <c r="R34" s="47"/>
      <c r="S34" s="48"/>
      <c r="T34" s="47"/>
      <c r="U34" s="110"/>
      <c r="V34" s="114"/>
      <c r="W34" s="116"/>
      <c r="X34" s="119"/>
      <c r="Y34" s="114"/>
      <c r="Z34" s="51"/>
    </row>
    <row r="35" spans="1:33" s="17" customFormat="1" x14ac:dyDescent="0.25">
      <c r="A35" s="97"/>
      <c r="B35" s="100"/>
      <c r="C35" s="100"/>
      <c r="D35" s="100"/>
      <c r="E35" s="25"/>
      <c r="F35" s="26"/>
      <c r="G35" s="26"/>
      <c r="H35" s="27"/>
      <c r="I35" s="38"/>
      <c r="J35" s="38"/>
      <c r="K35" s="39"/>
      <c r="L35" s="25"/>
      <c r="M35" s="40"/>
      <c r="N35" s="35"/>
      <c r="O35" s="35"/>
      <c r="P35" s="36"/>
      <c r="Q35" s="49"/>
      <c r="R35" s="47"/>
      <c r="S35" s="48"/>
      <c r="T35" s="47"/>
      <c r="U35" s="110"/>
      <c r="V35" s="114"/>
      <c r="W35" s="116"/>
      <c r="X35" s="119"/>
      <c r="Y35" s="114"/>
      <c r="Z35" s="51"/>
    </row>
    <row r="36" spans="1:33" s="17" customFormat="1" x14ac:dyDescent="0.25">
      <c r="A36" s="97"/>
      <c r="B36" s="100"/>
      <c r="C36" s="100"/>
      <c r="D36" s="100"/>
      <c r="E36" s="25"/>
      <c r="F36" s="26"/>
      <c r="G36" s="26"/>
      <c r="H36" s="27"/>
      <c r="I36" s="38"/>
      <c r="J36" s="38"/>
      <c r="K36" s="39"/>
      <c r="L36" s="25"/>
      <c r="M36" s="40"/>
      <c r="N36" s="35"/>
      <c r="O36" s="35"/>
      <c r="P36" s="36"/>
      <c r="Q36" s="49"/>
      <c r="R36" s="47"/>
      <c r="S36" s="48"/>
      <c r="T36" s="47"/>
      <c r="U36" s="110"/>
      <c r="V36" s="114"/>
      <c r="W36" s="116"/>
      <c r="X36" s="119"/>
      <c r="Y36" s="114"/>
      <c r="Z36" s="51"/>
    </row>
    <row r="37" spans="1:33" s="17" customFormat="1" x14ac:dyDescent="0.25">
      <c r="A37" s="97"/>
      <c r="B37" s="100"/>
      <c r="C37" s="100"/>
      <c r="D37" s="100"/>
      <c r="E37" s="25"/>
      <c r="F37" s="26"/>
      <c r="G37" s="26"/>
      <c r="H37" s="27"/>
      <c r="I37" s="38"/>
      <c r="J37" s="38"/>
      <c r="K37" s="39"/>
      <c r="L37" s="25"/>
      <c r="M37" s="40"/>
      <c r="N37" s="35"/>
      <c r="O37" s="35"/>
      <c r="P37" s="36"/>
      <c r="Q37" s="49"/>
      <c r="R37" s="47"/>
      <c r="S37" s="48"/>
      <c r="T37" s="47"/>
      <c r="U37" s="110"/>
      <c r="V37" s="114"/>
      <c r="W37" s="116"/>
      <c r="X37" s="119"/>
      <c r="Y37" s="114"/>
      <c r="Z37" s="51"/>
    </row>
    <row r="38" spans="1:33" s="17" customFormat="1" x14ac:dyDescent="0.25">
      <c r="A38" s="98"/>
      <c r="B38" s="101"/>
      <c r="C38" s="101"/>
      <c r="D38" s="101"/>
      <c r="E38" s="94" t="s">
        <v>94</v>
      </c>
      <c r="F38" s="94"/>
      <c r="G38" s="94"/>
      <c r="H38" s="94"/>
      <c r="I38" s="94"/>
      <c r="J38" s="94"/>
      <c r="K38" s="94"/>
      <c r="L38" s="94"/>
      <c r="M38" s="94"/>
      <c r="N38" s="42">
        <f>SUM(N32:N37)</f>
        <v>0.20680000000000001</v>
      </c>
      <c r="O38" s="42">
        <f>SUM(O32:O37)</f>
        <v>1.4E-2</v>
      </c>
      <c r="P38" s="95" t="s">
        <v>95</v>
      </c>
      <c r="Q38" s="95"/>
      <c r="R38" s="95"/>
      <c r="S38" s="95"/>
      <c r="T38" s="50">
        <f>SUM(T32:T37)</f>
        <v>0.08</v>
      </c>
      <c r="U38" s="110"/>
      <c r="V38" s="115"/>
      <c r="W38" s="116"/>
      <c r="X38" s="120"/>
      <c r="Y38" s="115"/>
      <c r="Z38" s="51"/>
    </row>
    <row r="39" spans="1:33" s="17" customFormat="1" ht="14.4" customHeight="1" x14ac:dyDescent="0.25">
      <c r="A39" s="96">
        <v>6</v>
      </c>
      <c r="B39" s="99" t="s">
        <v>27</v>
      </c>
      <c r="C39" s="99" t="s">
        <v>28</v>
      </c>
      <c r="D39" s="99"/>
      <c r="E39" s="23" t="s">
        <v>97</v>
      </c>
      <c r="F39" s="28">
        <f>67+H39*1.5</f>
        <v>70.75</v>
      </c>
      <c r="G39" s="28">
        <f>53+H39*1.5</f>
        <v>56.75</v>
      </c>
      <c r="H39" s="24">
        <v>2.5</v>
      </c>
      <c r="I39" s="31">
        <v>4.5999999999999996</v>
      </c>
      <c r="J39" s="31">
        <v>2.5</v>
      </c>
      <c r="K39" s="43">
        <v>4.8000000000000001E-2</v>
      </c>
      <c r="L39" s="33">
        <v>0.04</v>
      </c>
      <c r="M39" s="34">
        <f>K39-L39</f>
        <v>8.0000000000000002E-3</v>
      </c>
      <c r="N39" s="35">
        <f>I39*K39-J39*M39</f>
        <v>0.20080000000000001</v>
      </c>
      <c r="O39" s="35">
        <f>J39*M39</f>
        <v>0.02</v>
      </c>
      <c r="P39" s="36" t="s">
        <v>87</v>
      </c>
      <c r="Q39" s="49" t="s">
        <v>41</v>
      </c>
      <c r="R39" s="47">
        <f>VLOOKUP(Q39,冲压工序费!B:C,2,0)</f>
        <v>0.04</v>
      </c>
      <c r="S39" s="48">
        <v>1</v>
      </c>
      <c r="T39" s="47">
        <f>R39/S39</f>
        <v>0.04</v>
      </c>
      <c r="U39" s="110">
        <v>1.1200000000000001</v>
      </c>
      <c r="V39" s="113">
        <f t="shared" ref="V39" si="8">T45*U39-O45</f>
        <v>6.9599999999999995E-2</v>
      </c>
      <c r="W39" s="116">
        <v>0</v>
      </c>
      <c r="X39" s="118">
        <v>0</v>
      </c>
      <c r="Y39" s="113">
        <f>V39+IF(W39=0,0,W39/X39)</f>
        <v>6.9599999999999995E-2</v>
      </c>
      <c r="Z39" s="51"/>
    </row>
    <row r="40" spans="1:33" s="17" customFormat="1" x14ac:dyDescent="0.25">
      <c r="A40" s="97"/>
      <c r="B40" s="100"/>
      <c r="C40" s="100"/>
      <c r="D40" s="100"/>
      <c r="E40" s="25"/>
      <c r="F40" s="26"/>
      <c r="G40" s="26"/>
      <c r="H40" s="27"/>
      <c r="I40" s="37"/>
      <c r="J40" s="38"/>
      <c r="K40" s="39"/>
      <c r="L40" s="25"/>
      <c r="M40" s="40"/>
      <c r="N40" s="41"/>
      <c r="O40" s="41"/>
      <c r="P40" s="36" t="s">
        <v>88</v>
      </c>
      <c r="Q40" s="49" t="s">
        <v>39</v>
      </c>
      <c r="R40" s="47">
        <f>VLOOKUP(Q40,冲压工序费!B:C,2,0)</f>
        <v>0.04</v>
      </c>
      <c r="S40" s="48">
        <v>1</v>
      </c>
      <c r="T40" s="47">
        <f t="shared" ref="T40" si="9">R40/S40</f>
        <v>0.04</v>
      </c>
      <c r="U40" s="110"/>
      <c r="V40" s="114"/>
      <c r="W40" s="116"/>
      <c r="X40" s="119"/>
      <c r="Y40" s="114"/>
      <c r="Z40" s="51"/>
      <c r="AB40" s="52"/>
      <c r="AF40" s="53"/>
      <c r="AG40" s="52"/>
    </row>
    <row r="41" spans="1:33" s="17" customFormat="1" x14ac:dyDescent="0.25">
      <c r="A41" s="97"/>
      <c r="B41" s="100"/>
      <c r="C41" s="100"/>
      <c r="D41" s="100"/>
      <c r="E41" s="25"/>
      <c r="F41" s="26"/>
      <c r="G41" s="26"/>
      <c r="H41" s="27"/>
      <c r="I41" s="38"/>
      <c r="J41" s="38"/>
      <c r="K41" s="39"/>
      <c r="L41" s="25"/>
      <c r="M41" s="40"/>
      <c r="N41" s="35"/>
      <c r="O41" s="35"/>
      <c r="P41" s="36"/>
      <c r="Q41" s="49"/>
      <c r="R41" s="47"/>
      <c r="S41" s="48"/>
      <c r="T41" s="47"/>
      <c r="U41" s="110"/>
      <c r="V41" s="114"/>
      <c r="W41" s="116"/>
      <c r="X41" s="119"/>
      <c r="Y41" s="114"/>
      <c r="Z41" s="51"/>
    </row>
    <row r="42" spans="1:33" s="17" customFormat="1" x14ac:dyDescent="0.25">
      <c r="A42" s="97"/>
      <c r="B42" s="100"/>
      <c r="C42" s="100"/>
      <c r="D42" s="100"/>
      <c r="E42" s="25"/>
      <c r="F42" s="26"/>
      <c r="G42" s="26"/>
      <c r="H42" s="27"/>
      <c r="I42" s="38"/>
      <c r="J42" s="38"/>
      <c r="K42" s="39"/>
      <c r="L42" s="25"/>
      <c r="M42" s="40"/>
      <c r="N42" s="35"/>
      <c r="O42" s="35"/>
      <c r="P42" s="36"/>
      <c r="Q42" s="49"/>
      <c r="R42" s="47"/>
      <c r="S42" s="48"/>
      <c r="T42" s="47"/>
      <c r="U42" s="110"/>
      <c r="V42" s="114"/>
      <c r="W42" s="116"/>
      <c r="X42" s="119"/>
      <c r="Y42" s="114"/>
      <c r="Z42" s="51"/>
    </row>
    <row r="43" spans="1:33" s="17" customFormat="1" x14ac:dyDescent="0.25">
      <c r="A43" s="97"/>
      <c r="B43" s="100"/>
      <c r="C43" s="100"/>
      <c r="D43" s="100"/>
      <c r="E43" s="25"/>
      <c r="F43" s="26"/>
      <c r="G43" s="26"/>
      <c r="H43" s="27"/>
      <c r="I43" s="38"/>
      <c r="J43" s="38"/>
      <c r="K43" s="39"/>
      <c r="L43" s="25"/>
      <c r="M43" s="40"/>
      <c r="N43" s="35"/>
      <c r="O43" s="35"/>
      <c r="P43" s="36"/>
      <c r="Q43" s="49"/>
      <c r="R43" s="47"/>
      <c r="S43" s="48"/>
      <c r="T43" s="47"/>
      <c r="U43" s="110"/>
      <c r="V43" s="114"/>
      <c r="W43" s="116"/>
      <c r="X43" s="119"/>
      <c r="Y43" s="114"/>
      <c r="Z43" s="51"/>
    </row>
    <row r="44" spans="1:33" s="17" customFormat="1" x14ac:dyDescent="0.25">
      <c r="A44" s="97"/>
      <c r="B44" s="100"/>
      <c r="C44" s="100"/>
      <c r="D44" s="100"/>
      <c r="E44" s="25"/>
      <c r="F44" s="26"/>
      <c r="G44" s="26"/>
      <c r="H44" s="27"/>
      <c r="I44" s="38"/>
      <c r="J44" s="38"/>
      <c r="K44" s="39"/>
      <c r="L44" s="25"/>
      <c r="M44" s="40"/>
      <c r="N44" s="35"/>
      <c r="O44" s="35"/>
      <c r="P44" s="36"/>
      <c r="Q44" s="49"/>
      <c r="R44" s="47"/>
      <c r="S44" s="48"/>
      <c r="T44" s="47"/>
      <c r="U44" s="110"/>
      <c r="V44" s="114"/>
      <c r="W44" s="116"/>
      <c r="X44" s="119"/>
      <c r="Y44" s="114"/>
      <c r="Z44" s="51"/>
    </row>
    <row r="45" spans="1:33" s="17" customFormat="1" x14ac:dyDescent="0.25">
      <c r="A45" s="98"/>
      <c r="B45" s="101"/>
      <c r="C45" s="101"/>
      <c r="D45" s="101"/>
      <c r="E45" s="94" t="s">
        <v>94</v>
      </c>
      <c r="F45" s="94"/>
      <c r="G45" s="94"/>
      <c r="H45" s="94"/>
      <c r="I45" s="94"/>
      <c r="J45" s="94"/>
      <c r="K45" s="94"/>
      <c r="L45" s="94"/>
      <c r="M45" s="94"/>
      <c r="N45" s="42">
        <f>SUM(N39:N44)</f>
        <v>0.20080000000000001</v>
      </c>
      <c r="O45" s="42">
        <f>SUM(O39:O44)</f>
        <v>0.02</v>
      </c>
      <c r="P45" s="95" t="s">
        <v>95</v>
      </c>
      <c r="Q45" s="95"/>
      <c r="R45" s="95"/>
      <c r="S45" s="95"/>
      <c r="T45" s="50">
        <f>SUM(T39:T44)</f>
        <v>0.08</v>
      </c>
      <c r="U45" s="110"/>
      <c r="V45" s="115"/>
      <c r="W45" s="116"/>
      <c r="X45" s="120"/>
      <c r="Y45" s="115"/>
      <c r="Z45" s="51"/>
    </row>
    <row r="46" spans="1:33" s="17" customFormat="1" ht="14.4" customHeight="1" x14ac:dyDescent="0.25">
      <c r="A46" s="96">
        <v>6</v>
      </c>
      <c r="B46" s="99" t="s">
        <v>30</v>
      </c>
      <c r="C46" s="99" t="s">
        <v>31</v>
      </c>
      <c r="D46" s="99"/>
      <c r="E46" s="23" t="s">
        <v>97</v>
      </c>
      <c r="F46" s="28">
        <f>67+H46*1.5</f>
        <v>70.75</v>
      </c>
      <c r="G46" s="28">
        <f>53+H46*1.5</f>
        <v>56.75</v>
      </c>
      <c r="H46" s="24">
        <v>2.5</v>
      </c>
      <c r="I46" s="31">
        <v>4.5999999999999996</v>
      </c>
      <c r="J46" s="31">
        <v>2.5</v>
      </c>
      <c r="K46" s="43">
        <v>4.8000000000000001E-2</v>
      </c>
      <c r="L46" s="33">
        <v>0.04</v>
      </c>
      <c r="M46" s="34">
        <f>K46-L46</f>
        <v>8.0000000000000002E-3</v>
      </c>
      <c r="N46" s="35">
        <f>I46*K46-J46*M46</f>
        <v>0.20080000000000001</v>
      </c>
      <c r="O46" s="35">
        <f>J46*M46</f>
        <v>0.02</v>
      </c>
      <c r="P46" s="36" t="s">
        <v>87</v>
      </c>
      <c r="Q46" s="49" t="s">
        <v>41</v>
      </c>
      <c r="R46" s="47">
        <f>VLOOKUP(Q46,冲压工序费!B:C,2,0)</f>
        <v>0.04</v>
      </c>
      <c r="S46" s="48">
        <v>1</v>
      </c>
      <c r="T46" s="47">
        <f>R46/S46</f>
        <v>0.04</v>
      </c>
      <c r="U46" s="110">
        <v>1.1200000000000001</v>
      </c>
      <c r="V46" s="113">
        <f t="shared" ref="V46" si="10">T52*U46-O52</f>
        <v>6.9599999999999995E-2</v>
      </c>
      <c r="W46" s="116">
        <v>0</v>
      </c>
      <c r="X46" s="118">
        <v>0</v>
      </c>
      <c r="Y46" s="113">
        <f>V46+IF(W46=0,0,W46/X46)</f>
        <v>6.9599999999999995E-2</v>
      </c>
      <c r="Z46" s="51"/>
    </row>
    <row r="47" spans="1:33" s="17" customFormat="1" x14ac:dyDescent="0.25">
      <c r="A47" s="97"/>
      <c r="B47" s="100"/>
      <c r="C47" s="100"/>
      <c r="D47" s="100"/>
      <c r="E47" s="25"/>
      <c r="F47" s="26"/>
      <c r="G47" s="26"/>
      <c r="H47" s="27"/>
      <c r="I47" s="37"/>
      <c r="J47" s="38"/>
      <c r="K47" s="39"/>
      <c r="L47" s="25"/>
      <c r="M47" s="40"/>
      <c r="N47" s="41"/>
      <c r="O47" s="41"/>
      <c r="P47" s="36" t="s">
        <v>88</v>
      </c>
      <c r="Q47" s="49" t="s">
        <v>39</v>
      </c>
      <c r="R47" s="47">
        <f>VLOOKUP(Q47,冲压工序费!B:C,2,0)</f>
        <v>0.04</v>
      </c>
      <c r="S47" s="48">
        <v>1</v>
      </c>
      <c r="T47" s="47">
        <f t="shared" ref="T47" si="11">R47/S47</f>
        <v>0.04</v>
      </c>
      <c r="U47" s="110"/>
      <c r="V47" s="114"/>
      <c r="W47" s="116"/>
      <c r="X47" s="119"/>
      <c r="Y47" s="114"/>
      <c r="Z47" s="51"/>
      <c r="AB47" s="52"/>
      <c r="AF47" s="53"/>
      <c r="AG47" s="52"/>
    </row>
    <row r="48" spans="1:33" s="17" customFormat="1" x14ac:dyDescent="0.25">
      <c r="A48" s="97"/>
      <c r="B48" s="100"/>
      <c r="C48" s="100"/>
      <c r="D48" s="100"/>
      <c r="E48" s="25"/>
      <c r="F48" s="26"/>
      <c r="G48" s="26"/>
      <c r="H48" s="27"/>
      <c r="I48" s="38"/>
      <c r="J48" s="38"/>
      <c r="K48" s="39"/>
      <c r="L48" s="25"/>
      <c r="M48" s="40"/>
      <c r="N48" s="35"/>
      <c r="O48" s="35"/>
      <c r="P48" s="36"/>
      <c r="Q48" s="49"/>
      <c r="R48" s="47"/>
      <c r="S48" s="48"/>
      <c r="T48" s="47"/>
      <c r="U48" s="110"/>
      <c r="V48" s="114"/>
      <c r="W48" s="116"/>
      <c r="X48" s="119"/>
      <c r="Y48" s="114"/>
      <c r="Z48" s="51"/>
    </row>
    <row r="49" spans="1:26" s="17" customFormat="1" x14ac:dyDescent="0.25">
      <c r="A49" s="97"/>
      <c r="B49" s="100"/>
      <c r="C49" s="100"/>
      <c r="D49" s="100"/>
      <c r="E49" s="25"/>
      <c r="F49" s="26"/>
      <c r="G49" s="26"/>
      <c r="H49" s="27"/>
      <c r="I49" s="38"/>
      <c r="J49" s="38"/>
      <c r="K49" s="39"/>
      <c r="L49" s="25"/>
      <c r="M49" s="40"/>
      <c r="N49" s="35"/>
      <c r="O49" s="35"/>
      <c r="P49" s="36"/>
      <c r="Q49" s="49"/>
      <c r="R49" s="47"/>
      <c r="S49" s="48"/>
      <c r="T49" s="47"/>
      <c r="U49" s="110"/>
      <c r="V49" s="114"/>
      <c r="W49" s="116"/>
      <c r="X49" s="119"/>
      <c r="Y49" s="114"/>
      <c r="Z49" s="51"/>
    </row>
    <row r="50" spans="1:26" s="17" customFormat="1" x14ac:dyDescent="0.25">
      <c r="A50" s="97"/>
      <c r="B50" s="100"/>
      <c r="C50" s="100"/>
      <c r="D50" s="100"/>
      <c r="E50" s="25"/>
      <c r="F50" s="26"/>
      <c r="G50" s="26"/>
      <c r="H50" s="27"/>
      <c r="I50" s="38"/>
      <c r="J50" s="38"/>
      <c r="K50" s="39"/>
      <c r="L50" s="25"/>
      <c r="M50" s="40"/>
      <c r="N50" s="35"/>
      <c r="O50" s="35"/>
      <c r="P50" s="36"/>
      <c r="Q50" s="49"/>
      <c r="R50" s="47"/>
      <c r="S50" s="48"/>
      <c r="T50" s="47"/>
      <c r="U50" s="110"/>
      <c r="V50" s="114"/>
      <c r="W50" s="116"/>
      <c r="X50" s="119"/>
      <c r="Y50" s="114"/>
      <c r="Z50" s="51"/>
    </row>
    <row r="51" spans="1:26" s="17" customFormat="1" x14ac:dyDescent="0.25">
      <c r="A51" s="97"/>
      <c r="B51" s="100"/>
      <c r="C51" s="100"/>
      <c r="D51" s="100"/>
      <c r="E51" s="25"/>
      <c r="F51" s="26"/>
      <c r="G51" s="26"/>
      <c r="H51" s="27"/>
      <c r="I51" s="38"/>
      <c r="J51" s="38"/>
      <c r="K51" s="39"/>
      <c r="L51" s="25"/>
      <c r="M51" s="40"/>
      <c r="N51" s="35"/>
      <c r="O51" s="35"/>
      <c r="P51" s="36"/>
      <c r="Q51" s="49"/>
      <c r="R51" s="47"/>
      <c r="S51" s="48"/>
      <c r="T51" s="47"/>
      <c r="U51" s="110"/>
      <c r="V51" s="114"/>
      <c r="W51" s="116"/>
      <c r="X51" s="119"/>
      <c r="Y51" s="114"/>
      <c r="Z51" s="51"/>
    </row>
    <row r="52" spans="1:26" s="17" customFormat="1" x14ac:dyDescent="0.25">
      <c r="A52" s="98"/>
      <c r="B52" s="101"/>
      <c r="C52" s="101"/>
      <c r="D52" s="101"/>
      <c r="E52" s="94" t="s">
        <v>94</v>
      </c>
      <c r="F52" s="94"/>
      <c r="G52" s="94"/>
      <c r="H52" s="94"/>
      <c r="I52" s="94"/>
      <c r="J52" s="94"/>
      <c r="K52" s="94"/>
      <c r="L52" s="94"/>
      <c r="M52" s="94"/>
      <c r="N52" s="42">
        <f>SUM(N46:N51)</f>
        <v>0.20080000000000001</v>
      </c>
      <c r="O52" s="42">
        <f>SUM(O46:O51)</f>
        <v>0.02</v>
      </c>
      <c r="P52" s="95" t="s">
        <v>95</v>
      </c>
      <c r="Q52" s="95"/>
      <c r="R52" s="95"/>
      <c r="S52" s="95"/>
      <c r="T52" s="50">
        <f>SUM(T46:T51)</f>
        <v>0.08</v>
      </c>
      <c r="U52" s="110"/>
      <c r="V52" s="115"/>
      <c r="W52" s="116"/>
      <c r="X52" s="120"/>
      <c r="Y52" s="115"/>
      <c r="Z52" s="51"/>
    </row>
  </sheetData>
  <mergeCells count="93">
    <mergeCell ref="Y32:Y38"/>
    <mergeCell ref="Y39:Y45"/>
    <mergeCell ref="Y46:Y52"/>
    <mergeCell ref="Y2:Y3"/>
    <mergeCell ref="Y4:Y10"/>
    <mergeCell ref="Y11:Y17"/>
    <mergeCell ref="Y18:Y24"/>
    <mergeCell ref="Y25:Y31"/>
    <mergeCell ref="W32:W38"/>
    <mergeCell ref="W39:W45"/>
    <mergeCell ref="W46:W52"/>
    <mergeCell ref="X2:X3"/>
    <mergeCell ref="X4:X10"/>
    <mergeCell ref="X11:X17"/>
    <mergeCell ref="X18:X24"/>
    <mergeCell ref="X25:X31"/>
    <mergeCell ref="X32:X38"/>
    <mergeCell ref="X39:X45"/>
    <mergeCell ref="X46:X52"/>
    <mergeCell ref="W2:W3"/>
    <mergeCell ref="W4:W10"/>
    <mergeCell ref="W11:W17"/>
    <mergeCell ref="W18:W24"/>
    <mergeCell ref="W25:W31"/>
    <mergeCell ref="U39:U45"/>
    <mergeCell ref="U46:U52"/>
    <mergeCell ref="V2:V3"/>
    <mergeCell ref="V4:V10"/>
    <mergeCell ref="V11:V17"/>
    <mergeCell ref="V18:V24"/>
    <mergeCell ref="V25:V31"/>
    <mergeCell ref="V32:V38"/>
    <mergeCell ref="V39:V45"/>
    <mergeCell ref="V46:V52"/>
    <mergeCell ref="U4:U10"/>
    <mergeCell ref="U11:U17"/>
    <mergeCell ref="U18:U24"/>
    <mergeCell ref="U25:U31"/>
    <mergeCell ref="U32:U38"/>
    <mergeCell ref="C39:C45"/>
    <mergeCell ref="C46:C52"/>
    <mergeCell ref="D2:D3"/>
    <mergeCell ref="D4:D10"/>
    <mergeCell ref="D11:D17"/>
    <mergeCell ref="D18:D24"/>
    <mergeCell ref="D25:D31"/>
    <mergeCell ref="D32:D38"/>
    <mergeCell ref="D39:D45"/>
    <mergeCell ref="D46:D52"/>
    <mergeCell ref="C4:C10"/>
    <mergeCell ref="C11:C17"/>
    <mergeCell ref="C18:C24"/>
    <mergeCell ref="C25:C31"/>
    <mergeCell ref="C32:C38"/>
    <mergeCell ref="E52:M52"/>
    <mergeCell ref="P52:S52"/>
    <mergeCell ref="A4:A10"/>
    <mergeCell ref="A11:A17"/>
    <mergeCell ref="A18:A24"/>
    <mergeCell ref="A25:A31"/>
    <mergeCell ref="A32:A38"/>
    <mergeCell ref="A39:A45"/>
    <mergeCell ref="A46:A52"/>
    <mergeCell ref="B4:B10"/>
    <mergeCell ref="B11:B17"/>
    <mergeCell ref="B18:B24"/>
    <mergeCell ref="B25:B31"/>
    <mergeCell ref="B32:B38"/>
    <mergeCell ref="B39:B45"/>
    <mergeCell ref="B46:B52"/>
    <mergeCell ref="E31:M31"/>
    <mergeCell ref="P31:S31"/>
    <mergeCell ref="E38:M38"/>
    <mergeCell ref="P38:S38"/>
    <mergeCell ref="E45:M45"/>
    <mergeCell ref="P45:S45"/>
    <mergeCell ref="E10:M10"/>
    <mergeCell ref="P10:S10"/>
    <mergeCell ref="E17:M17"/>
    <mergeCell ref="P17:S17"/>
    <mergeCell ref="E24:M24"/>
    <mergeCell ref="P24:S24"/>
    <mergeCell ref="A1:V1"/>
    <mergeCell ref="F2:H2"/>
    <mergeCell ref="I2:J2"/>
    <mergeCell ref="K2:M2"/>
    <mergeCell ref="P2:T2"/>
    <mergeCell ref="B2:B3"/>
    <mergeCell ref="C2:C3"/>
    <mergeCell ref="E2:E3"/>
    <mergeCell ref="N2:N3"/>
    <mergeCell ref="O2:O3"/>
    <mergeCell ref="U2:U3"/>
  </mergeCells>
  <phoneticPr fontId="24" type="noConversion"/>
  <conditionalFormatting sqref="B1">
    <cfRule type="duplicateValues" dxfId="4" priority="3"/>
  </conditionalFormatting>
  <conditionalFormatting sqref="B4:B38">
    <cfRule type="duplicateValues" dxfId="3" priority="7"/>
  </conditionalFormatting>
  <conditionalFormatting sqref="B39:B45">
    <cfRule type="duplicateValues" dxfId="2" priority="2"/>
  </conditionalFormatting>
  <conditionalFormatting sqref="B46:B52">
    <cfRule type="duplicateValues" dxfId="1" priority="1"/>
  </conditionalFormatting>
  <pageMargins left="0.7" right="0.7" top="0.75" bottom="0.75" header="0.3" footer="0.3"/>
  <pageSetup paperSize="9"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ColWidth="9" defaultRowHeight="14.4" x14ac:dyDescent="0.25"/>
  <sheetData/>
  <phoneticPr fontId="24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13"/>
  <sheetViews>
    <sheetView topLeftCell="B1" workbookViewId="0">
      <selection activeCell="K21" sqref="K21"/>
    </sheetView>
  </sheetViews>
  <sheetFormatPr defaultColWidth="9" defaultRowHeight="14.4" x14ac:dyDescent="0.25"/>
  <cols>
    <col min="1" max="1" width="9.44140625" hidden="1" customWidth="1"/>
    <col min="2" max="2" width="9.21875" customWidth="1"/>
    <col min="3" max="3" width="14.77734375" customWidth="1"/>
    <col min="4" max="4" width="3.6640625" customWidth="1"/>
    <col min="5" max="5" width="10.44140625" hidden="1" customWidth="1"/>
    <col min="6" max="6" width="8.44140625" customWidth="1"/>
    <col min="7" max="7" width="7.33203125" customWidth="1"/>
    <col min="8" max="8" width="6.77734375" customWidth="1"/>
    <col min="9" max="9" width="7.44140625" customWidth="1"/>
    <col min="10" max="10" width="7.21875" customWidth="1"/>
    <col min="11" max="11" width="7.109375" customWidth="1"/>
    <col min="12" max="12" width="7.44140625" customWidth="1"/>
    <col min="13" max="13" width="10.44140625" customWidth="1"/>
    <col min="14" max="14" width="15.109375" customWidth="1"/>
  </cols>
  <sheetData>
    <row r="1" spans="1:14" x14ac:dyDescent="0.25">
      <c r="B1" s="121" t="s">
        <v>99</v>
      </c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</row>
    <row r="2" spans="1:14" x14ac:dyDescent="0.25">
      <c r="A2" s="124" t="s">
        <v>100</v>
      </c>
      <c r="B2" s="125" t="s">
        <v>101</v>
      </c>
      <c r="C2" s="125" t="s">
        <v>102</v>
      </c>
      <c r="D2" s="126" t="s">
        <v>103</v>
      </c>
      <c r="E2" s="125" t="s">
        <v>63</v>
      </c>
      <c r="F2" s="125" t="s">
        <v>104</v>
      </c>
      <c r="G2" s="123" t="s">
        <v>105</v>
      </c>
      <c r="H2" s="123"/>
      <c r="I2" s="123"/>
      <c r="J2" s="123" t="s">
        <v>106</v>
      </c>
      <c r="K2" s="123"/>
      <c r="L2" s="123"/>
      <c r="M2" s="127" t="s">
        <v>107</v>
      </c>
      <c r="N2" s="127" t="s">
        <v>108</v>
      </c>
    </row>
    <row r="3" spans="1:14" x14ac:dyDescent="0.25">
      <c r="A3" s="124"/>
      <c r="B3" s="125"/>
      <c r="C3" s="125"/>
      <c r="D3" s="126"/>
      <c r="E3" s="125"/>
      <c r="F3" s="125"/>
      <c r="G3" s="1" t="s">
        <v>109</v>
      </c>
      <c r="H3" s="1" t="s">
        <v>110</v>
      </c>
      <c r="I3" s="1" t="s">
        <v>111</v>
      </c>
      <c r="J3" s="1" t="s">
        <v>109</v>
      </c>
      <c r="K3" s="1" t="s">
        <v>110</v>
      </c>
      <c r="L3" s="1" t="s">
        <v>111</v>
      </c>
      <c r="M3" s="127"/>
      <c r="N3" s="127"/>
    </row>
    <row r="4" spans="1:14" ht="22.2" customHeight="1" x14ac:dyDescent="0.25">
      <c r="A4" s="2" t="s">
        <v>112</v>
      </c>
      <c r="B4" s="3" t="s">
        <v>113</v>
      </c>
      <c r="C4" s="3" t="s">
        <v>114</v>
      </c>
      <c r="D4" s="4">
        <v>1</v>
      </c>
      <c r="E4" s="5" t="s">
        <v>115</v>
      </c>
      <c r="F4" s="5" t="s">
        <v>116</v>
      </c>
      <c r="G4" s="6">
        <v>32.729999999999997</v>
      </c>
      <c r="H4" s="6">
        <v>1.72</v>
      </c>
      <c r="I4" s="6">
        <v>34.450000000000003</v>
      </c>
      <c r="J4" s="6">
        <v>30</v>
      </c>
      <c r="K4" s="6">
        <v>1.72</v>
      </c>
      <c r="L4" s="15">
        <v>31.72</v>
      </c>
      <c r="M4" s="16">
        <v>245000</v>
      </c>
      <c r="N4" s="2" t="s">
        <v>117</v>
      </c>
    </row>
    <row r="5" spans="1:14" ht="22.2" customHeight="1" x14ac:dyDescent="0.25">
      <c r="A5" s="2" t="s">
        <v>112</v>
      </c>
      <c r="B5" s="3" t="s">
        <v>118</v>
      </c>
      <c r="C5" s="3" t="s">
        <v>119</v>
      </c>
      <c r="D5" s="4">
        <v>1</v>
      </c>
      <c r="E5" s="5" t="s">
        <v>115</v>
      </c>
      <c r="F5" s="5" t="s">
        <v>116</v>
      </c>
      <c r="G5" s="6">
        <v>34.24</v>
      </c>
      <c r="H5" s="6">
        <v>1.72</v>
      </c>
      <c r="I5" s="6">
        <v>35.96</v>
      </c>
      <c r="J5" s="6">
        <v>31</v>
      </c>
      <c r="K5" s="6">
        <v>1.72</v>
      </c>
      <c r="L5" s="15">
        <v>32.72</v>
      </c>
      <c r="M5" s="16">
        <v>245000</v>
      </c>
      <c r="N5" s="2" t="s">
        <v>117</v>
      </c>
    </row>
    <row r="6" spans="1:14" ht="20.399999999999999" x14ac:dyDescent="0.25">
      <c r="A6" s="2" t="s">
        <v>120</v>
      </c>
      <c r="B6" s="7" t="s">
        <v>121</v>
      </c>
      <c r="C6" s="7" t="s">
        <v>122</v>
      </c>
      <c r="D6" s="4">
        <v>1</v>
      </c>
      <c r="E6" s="8" t="s">
        <v>123</v>
      </c>
      <c r="F6" s="8" t="s">
        <v>124</v>
      </c>
      <c r="G6" s="6">
        <v>8.2799999999999994</v>
      </c>
      <c r="H6" s="6">
        <v>0.31</v>
      </c>
      <c r="I6" s="6">
        <v>8.59</v>
      </c>
      <c r="J6" s="6">
        <v>6.6</v>
      </c>
      <c r="K6" s="6">
        <v>0.31</v>
      </c>
      <c r="L6" s="15">
        <v>6.91</v>
      </c>
      <c r="M6" s="16">
        <v>31000</v>
      </c>
      <c r="N6" s="2" t="s">
        <v>125</v>
      </c>
    </row>
    <row r="7" spans="1:14" ht="20.399999999999999" x14ac:dyDescent="0.25">
      <c r="A7" s="2" t="s">
        <v>126</v>
      </c>
      <c r="B7" s="9" t="s">
        <v>127</v>
      </c>
      <c r="C7" s="7" t="s">
        <v>128</v>
      </c>
      <c r="D7" s="4">
        <v>1</v>
      </c>
      <c r="E7" s="8" t="s">
        <v>123</v>
      </c>
      <c r="F7" s="8" t="s">
        <v>124</v>
      </c>
      <c r="G7" s="6">
        <v>14.04</v>
      </c>
      <c r="H7" s="6">
        <v>0.36299999999999999</v>
      </c>
      <c r="I7" s="6">
        <v>14.403</v>
      </c>
      <c r="J7" s="6">
        <v>12.24</v>
      </c>
      <c r="K7" s="6">
        <v>0.36299999999999999</v>
      </c>
      <c r="L7" s="15">
        <v>12.603</v>
      </c>
      <c r="M7" s="16">
        <v>36300</v>
      </c>
      <c r="N7" s="2" t="s">
        <v>125</v>
      </c>
    </row>
    <row r="8" spans="1:14" ht="20.399999999999999" x14ac:dyDescent="0.25">
      <c r="A8" s="2" t="s">
        <v>126</v>
      </c>
      <c r="B8" s="9" t="s">
        <v>129</v>
      </c>
      <c r="C8" s="10" t="s">
        <v>130</v>
      </c>
      <c r="D8" s="4">
        <v>1</v>
      </c>
      <c r="E8" s="8" t="s">
        <v>131</v>
      </c>
      <c r="F8" s="8" t="s">
        <v>124</v>
      </c>
      <c r="G8" s="6">
        <v>15.3</v>
      </c>
      <c r="H8" s="6">
        <v>0.41099999999999998</v>
      </c>
      <c r="I8" s="6">
        <v>15.711</v>
      </c>
      <c r="J8" s="6">
        <v>13.98</v>
      </c>
      <c r="K8" s="6">
        <v>0.41099999999999998</v>
      </c>
      <c r="L8" s="15">
        <v>14.391</v>
      </c>
      <c r="M8" s="16">
        <v>41100</v>
      </c>
      <c r="N8" s="2" t="s">
        <v>125</v>
      </c>
    </row>
    <row r="9" spans="1:14" ht="19.2" x14ac:dyDescent="0.25">
      <c r="A9" s="2" t="s">
        <v>112</v>
      </c>
      <c r="B9" s="3" t="s">
        <v>132</v>
      </c>
      <c r="C9" s="3" t="s">
        <v>133</v>
      </c>
      <c r="D9" s="4">
        <v>1</v>
      </c>
      <c r="E9" s="3" t="s">
        <v>134</v>
      </c>
      <c r="F9" s="8" t="s">
        <v>124</v>
      </c>
      <c r="G9" s="6">
        <v>15.48</v>
      </c>
      <c r="H9" s="6">
        <v>0.44</v>
      </c>
      <c r="I9" s="6">
        <v>15.92</v>
      </c>
      <c r="J9" s="6">
        <v>12.97</v>
      </c>
      <c r="K9" s="6">
        <v>0.44</v>
      </c>
      <c r="L9" s="15">
        <v>13.41</v>
      </c>
      <c r="M9" s="16">
        <v>44000</v>
      </c>
      <c r="N9" s="2" t="s">
        <v>125</v>
      </c>
    </row>
    <row r="10" spans="1:14" ht="19.2" x14ac:dyDescent="0.25">
      <c r="A10" s="2" t="s">
        <v>112</v>
      </c>
      <c r="B10" s="11" t="s">
        <v>135</v>
      </c>
      <c r="C10" s="12" t="s">
        <v>136</v>
      </c>
      <c r="D10" s="4">
        <v>1</v>
      </c>
      <c r="E10" s="5" t="s">
        <v>137</v>
      </c>
      <c r="F10" s="8" t="s">
        <v>138</v>
      </c>
      <c r="G10" s="6">
        <v>1.1858407079646001</v>
      </c>
      <c r="H10" s="6">
        <v>0.08</v>
      </c>
      <c r="I10" s="6">
        <v>1.2658407079645999</v>
      </c>
      <c r="J10" s="6">
        <v>1.04</v>
      </c>
      <c r="K10" s="6">
        <v>0.08</v>
      </c>
      <c r="L10" s="15">
        <v>1.1200000000000001</v>
      </c>
      <c r="M10" s="16">
        <v>8000</v>
      </c>
      <c r="N10" s="2" t="s">
        <v>125</v>
      </c>
    </row>
    <row r="11" spans="1:14" ht="25.2" customHeight="1" x14ac:dyDescent="0.25">
      <c r="A11" s="2" t="s">
        <v>112</v>
      </c>
      <c r="B11" s="11" t="s">
        <v>139</v>
      </c>
      <c r="C11" s="12" t="s">
        <v>140</v>
      </c>
      <c r="D11" s="4">
        <v>1</v>
      </c>
      <c r="E11" s="5" t="s">
        <v>141</v>
      </c>
      <c r="F11" s="8" t="s">
        <v>138</v>
      </c>
      <c r="G11" s="6">
        <v>14.9469026548673</v>
      </c>
      <c r="H11" s="6">
        <v>0.08</v>
      </c>
      <c r="I11" s="6">
        <v>15.0269026548673</v>
      </c>
      <c r="J11" s="6">
        <v>12.56</v>
      </c>
      <c r="K11" s="6">
        <v>0.08</v>
      </c>
      <c r="L11" s="15">
        <v>12.64</v>
      </c>
      <c r="M11" s="16">
        <v>8000</v>
      </c>
      <c r="N11" s="2" t="s">
        <v>125</v>
      </c>
    </row>
    <row r="12" spans="1:14" ht="25.2" customHeight="1" x14ac:dyDescent="0.25">
      <c r="A12" s="2" t="s">
        <v>112</v>
      </c>
      <c r="B12" s="13" t="s">
        <v>142</v>
      </c>
      <c r="C12" s="14" t="s">
        <v>143</v>
      </c>
      <c r="D12" s="4">
        <v>1</v>
      </c>
      <c r="E12" s="5" t="s">
        <v>141</v>
      </c>
      <c r="F12" s="8" t="s">
        <v>138</v>
      </c>
      <c r="G12" s="6">
        <v>9.0265486725663706</v>
      </c>
      <c r="H12" s="6">
        <v>7.0796460176991205E-2</v>
      </c>
      <c r="I12" s="6">
        <v>9.0973451327433601</v>
      </c>
      <c r="J12" s="6">
        <v>8.23</v>
      </c>
      <c r="K12" s="6">
        <v>7.0796460176991205E-2</v>
      </c>
      <c r="L12" s="15">
        <v>8.3007964601769899</v>
      </c>
      <c r="M12" s="16">
        <v>7079.6460176991204</v>
      </c>
      <c r="N12" s="2" t="s">
        <v>125</v>
      </c>
    </row>
    <row r="13" spans="1:14" ht="25.2" customHeight="1" x14ac:dyDescent="0.25">
      <c r="A13" s="2" t="s">
        <v>112</v>
      </c>
      <c r="B13" s="11" t="s">
        <v>144</v>
      </c>
      <c r="C13" s="12" t="s">
        <v>145</v>
      </c>
      <c r="D13" s="4">
        <v>1</v>
      </c>
      <c r="E13" s="5" t="s">
        <v>137</v>
      </c>
      <c r="F13" s="8" t="s">
        <v>138</v>
      </c>
      <c r="G13" s="6">
        <v>1.1858407079646001</v>
      </c>
      <c r="H13" s="6">
        <v>0.08</v>
      </c>
      <c r="I13" s="6">
        <v>1.2658407079645999</v>
      </c>
      <c r="J13" s="6">
        <v>1.04</v>
      </c>
      <c r="K13" s="6">
        <v>0.08</v>
      </c>
      <c r="L13" s="15">
        <v>1.1200000000000001</v>
      </c>
      <c r="M13" s="16">
        <v>8000</v>
      </c>
      <c r="N13" s="2" t="s">
        <v>125</v>
      </c>
    </row>
  </sheetData>
  <mergeCells count="11">
    <mergeCell ref="B1:N1"/>
    <mergeCell ref="G2:I2"/>
    <mergeCell ref="J2:L2"/>
    <mergeCell ref="A2:A3"/>
    <mergeCell ref="B2:B3"/>
    <mergeCell ref="C2:C3"/>
    <mergeCell ref="D2:D3"/>
    <mergeCell ref="E2:E3"/>
    <mergeCell ref="F2:F3"/>
    <mergeCell ref="M2:M3"/>
    <mergeCell ref="N2:N3"/>
  </mergeCells>
  <phoneticPr fontId="24" type="noConversion"/>
  <conditionalFormatting sqref="B13">
    <cfRule type="duplicateValues" dxfId="0" priority="1"/>
  </conditionalFormatting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汇总</vt:lpstr>
      <vt:lpstr>冲压工序费</vt:lpstr>
      <vt:lpstr>包工包料</vt:lpstr>
      <vt:lpstr>待料加工</vt:lpstr>
      <vt:lpstr>Sheet5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吴英格</dc:creator>
  <cp:lastModifiedBy>英格 吴</cp:lastModifiedBy>
  <dcterms:created xsi:type="dcterms:W3CDTF">2006-09-13T11:21:00Z</dcterms:created>
  <dcterms:modified xsi:type="dcterms:W3CDTF">2024-11-28T01:29:00Z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ICV">
    <vt:lpwstr>62D91A452A574C5F90A5F1794EBCD3BB_13</vt:lpwstr>
  </property>
</Properties>
</file>