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8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2027年" sheetId="58" r:id="rId7"/>
    <sheet name="项目投资" sheetId="51" r:id="rId8"/>
    <sheet name="销量" sheetId="55" r:id="rId9"/>
    <sheet name="材料成本" sheetId="53" r:id="rId10"/>
    <sheet name="其他" sheetId="54" r:id="rId11"/>
    <sheet name="标准成本" sheetId="50" r:id="rId12"/>
  </sheets>
  <externalReferences>
    <externalReference r:id="rId13"/>
    <externalReference r:id="rId14"/>
  </externalReferences>
  <definedNames>
    <definedName name="_xlnm.Print_Area" localSheetId="4">'2025年'!$A$1:$F$48</definedName>
    <definedName name="_xlnm.Print_Area" localSheetId="5">'2026年'!$A$1:$F$48</definedName>
    <definedName name="_xlnm.Print_Area" localSheetId="6">'2027年'!$A$1:$F$48</definedName>
    <definedName name="_xlnm.Print_Area" localSheetId="7">项目投资!$A$1:$C$35</definedName>
    <definedName name="_xlnm.Print_Area" localSheetId="3">'2024年'!$A$1:$F$48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<sst xmlns="http://schemas.openxmlformats.org/spreadsheetml/2006/main" count="1381" uniqueCount="286">
  <si>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</si>
  <si>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</si>
  <si>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</si>
  <si>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</si>
  <si>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</si>
  <si>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</si>
  <si>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</si>
  <si>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</si>
  <si>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</si>
  <si>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</si>
  <si>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</si>
  <si>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</si>
  <si>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</si>
  <si>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</si>
  <si>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</si>
  <si>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</si>
  <si>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</si>
  <si>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</si>
  <si>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</si>
  <si>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</si>
  <si>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</si>
  <si>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</si>
  <si>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</si>
  <si>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</si>
  <si>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</si>
  <si>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</si>
  <si>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</si>
  <si>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</si>
  <si>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</si>
  <si>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</si>
  <si>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</si>
  <si>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</si>
  <si>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</si>
  <si>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</si>
  <si>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</si>
  <si>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</si>
  <si>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</si>
  <si>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</si>
  <si>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</si>
  <si>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</si>
  <si>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</si>
  <si>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</si>
  <si>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</si>
  <si>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</si>
  <si>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</si>
  <si>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</si>
  <si>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</si>
  <si>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</si>
  <si>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</si>
  <si>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</si>
  <si>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</si>
  <si>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一汽轻卡座椅项目可行性分析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</si>
  <si>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</si>
  <si>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</si>
  <si>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2025</t>
    </r>
    <r>
      <rPr>
        <b/>
        <sz val="10"/>
        <rFont val="宋体"/>
        <charset val="134"/>
      </rPr>
      <t>年</t>
    </r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</si>
  <si>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</si>
  <si>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</si>
  <si>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</si>
  <si>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</si>
  <si>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</si>
  <si>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</si>
  <si>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</si>
  <si>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</si>
  <si>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</si>
  <si>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</si>
  <si>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</si>
  <si>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</si>
  <si>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</si>
  <si>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</si>
  <si>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</si>
  <si>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</si>
  <si>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</si>
  <si>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</si>
  <si>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</si>
  <si>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</si>
  <si>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</si>
  <si>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</si>
  <si>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</si>
  <si>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</si>
  <si>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</si>
  <si>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</si>
  <si>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</si>
  <si>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</si>
  <si>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</si>
  <si>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</si>
  <si>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</si>
  <si>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</si>
  <si>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</si>
  <si>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</si>
  <si>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</si>
  <si>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</si>
  <si>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</si>
  <si>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</si>
  <si>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</si>
  <si>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</si>
  <si>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</si>
  <si>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</si>
  <si>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</si>
  <si>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</si>
  <si>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</si>
  <si>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</si>
  <si>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</si>
  <si>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</si>
  <si>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</si>
  <si>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</si>
  <si>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</si>
  <si>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</si>
  <si>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</si>
  <si>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</si>
  <si>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</si>
  <si>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</si>
  <si>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</si>
  <si>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</si>
  <si>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</si>
  <si>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</si>
  <si>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</si>
  <si>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</si>
  <si>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</si>
  <si>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</si>
  <si>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</si>
  <si>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</si>
  <si>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</si>
  <si>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</si>
  <si>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</si>
  <si>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</si>
  <si>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</si>
  <si>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</si>
  <si>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</si>
  <si>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</si>
  <si>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</si>
  <si>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</si>
  <si>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</si>
  <si>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</si>
  <si>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</si>
  <si>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</si>
  <si>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</si>
  <si>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</si>
  <si>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</si>
  <si>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</si>
  <si>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</si>
  <si>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</si>
  <si>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</si>
  <si>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</si>
  <si>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</si>
  <si>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</si>
  <si>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</si>
  <si>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</si>
  <si>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</si>
  <si>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</si>
  <si>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</si>
  <si>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</si>
  <si>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</si>
  <si>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</si>
  <si>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</si>
  <si>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</si>
  <si>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一汽轻卡座椅</t>
  </si>
  <si>
    <t>产品名称</t>
  </si>
  <si>
    <t>座垫总成-前座</t>
  </si>
  <si>
    <t>主靠背总成-前座</t>
  </si>
  <si>
    <t>副靠背总成-前座</t>
  </si>
  <si>
    <t>产品图号</t>
  </si>
  <si>
    <t>6903010BE411</t>
  </si>
  <si>
    <t>6905100BE411</t>
  </si>
  <si>
    <t>6905020CE411</t>
  </si>
  <si>
    <t>车型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</si>
  <si>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</si>
  <si>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</si>
  <si>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</si>
  <si>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</si>
  <si>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</si>
  <si>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</si>
  <si>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</si>
  <si>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</si>
  <si>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一汽轻卡座椅项目研发费用预算表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</si>
  <si>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</si>
  <si>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</si>
  <si>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</si>
  <si>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</si>
  <si>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</si>
  <si>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</si>
  <si>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</si>
  <si>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</si>
  <si>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</si>
  <si>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</si>
  <si>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</si>
  <si>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</si>
  <si>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</si>
  <si>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</si>
  <si>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</si>
  <si>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</si>
  <si>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</si>
  <si>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</si>
  <si>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</si>
  <si>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</si>
  <si>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</si>
  <si>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</si>
  <si>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</si>
  <si>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</si>
  <si>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</si>
  <si>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</si>
  <si>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</si>
  <si>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</si>
  <si>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</si>
  <si>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</si>
  <si>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</si>
  <si>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</si>
  <si>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</si>
  <si>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</si>
  <si>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</si>
  <si>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</si>
  <si>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</si>
  <si>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</si>
  <si>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</si>
  <si>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</si>
  <si>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</si>
  <si>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</si>
  <si>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</si>
  <si>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</si>
  <si>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</si>
  <si>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</si>
  <si>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</si>
  <si>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</si>
  <si>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</si>
  <si>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</si>
  <si>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</si>
  <si>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</si>
  <si>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</si>
  <si>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</si>
  <si>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一汽轻卡</t>
  </si>
  <si>
    <t>项目编号</t>
  </si>
  <si>
    <t>ZY2425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</si>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</sst>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#,##0_ "/>
    <numFmt numFmtId="180" formatCode="0_ "/>
    <numFmt numFmtId="181" formatCode="0.00_ "/>
    <numFmt numFmtId="182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177" fontId="15" fillId="0" borderId="2" xfId="1" applyNumberFormat="1" applyFont="1" applyFill="1" applyBorder="1" applyAlignment="1">
      <alignment horizontal="center" vertical="center" wrapText="1" readingOrder="1"/>
    </xf>
    <xf numFmtId="179" fontId="3" fillId="0" borderId="0" xfId="0" applyNumberFormat="1" applyFont="1" applyFill="1">
      <alignment vertical="center"/>
    </xf>
    <xf numFmtId="43" fontId="3" fillId="0" borderId="2" xfId="0" applyNumberFormat="1" applyFont="1" applyFill="1" applyBorder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0" fillId="0" borderId="3" xfId="53" applyNumberFormat="1" applyFont="1" applyFill="1" applyBorder="1" applyAlignment="1">
      <alignment horizontal="center" vertical="center"/>
    </xf>
    <xf numFmtId="180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3" fontId="23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4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5" fillId="0" borderId="0" xfId="0" applyFont="1" applyFill="1">
      <alignment vertical="center"/>
    </xf>
    <xf numFmtId="43" fontId="25" fillId="0" borderId="0" xfId="1" applyFont="1" applyFill="1">
      <alignment vertical="center"/>
    </xf>
    <xf numFmtId="0" fontId="25" fillId="0" borderId="2" xfId="0" applyFont="1" applyFill="1" applyBorder="1" applyAlignment="1">
      <alignment horizontal="center" vertical="center"/>
    </xf>
    <xf numFmtId="43" fontId="25" fillId="0" borderId="3" xfId="1" applyFont="1" applyFill="1" applyBorder="1" applyAlignment="1">
      <alignment horizontal="center" vertical="center"/>
    </xf>
    <xf numFmtId="43" fontId="25" fillId="0" borderId="4" xfId="1" applyFont="1" applyFill="1" applyBorder="1" applyAlignment="1">
      <alignment horizontal="center" vertical="center"/>
    </xf>
    <xf numFmtId="43" fontId="25" fillId="0" borderId="5" xfId="1" applyFont="1" applyFill="1" applyBorder="1" applyAlignment="1">
      <alignment horizontal="center" vertical="center"/>
    </xf>
    <xf numFmtId="43" fontId="25" fillId="4" borderId="2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5" fillId="0" borderId="2" xfId="1" applyFont="1" applyFill="1" applyBorder="1" applyAlignment="1">
      <alignment horizontal="center" vertical="center"/>
    </xf>
    <xf numFmtId="43" fontId="25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5" fillId="0" borderId="2" xfId="3" applyNumberFormat="1" applyFont="1" applyFill="1" applyBorder="1" applyAlignment="1">
      <alignment horizontal="center" vertical="center"/>
    </xf>
    <xf numFmtId="10" fontId="25" fillId="0" borderId="0" xfId="0" applyNumberFormat="1" applyFont="1" applyFill="1">
      <alignment vertical="center"/>
    </xf>
    <xf numFmtId="0" fontId="24" fillId="0" borderId="2" xfId="0" applyFont="1" applyFill="1" applyBorder="1">
      <alignment vertical="center"/>
    </xf>
    <xf numFmtId="43" fontId="24" fillId="0" borderId="2" xfId="1" applyFont="1" applyFill="1" applyBorder="1">
      <alignment vertical="center"/>
    </xf>
    <xf numFmtId="0" fontId="29" fillId="0" borderId="0" xfId="0" applyFont="1" applyFill="1">
      <alignment vertical="center"/>
    </xf>
    <xf numFmtId="43" fontId="25" fillId="0" borderId="2" xfId="1" applyFont="1" applyFill="1" applyBorder="1">
      <alignment vertical="center"/>
    </xf>
    <xf numFmtId="0" fontId="11" fillId="0" borderId="2" xfId="0" applyFont="1" applyFill="1" applyBorder="1">
      <alignment vertical="center"/>
    </xf>
    <xf numFmtId="181" fontId="25" fillId="0" borderId="0" xfId="0" applyNumberFormat="1" applyFont="1" applyFill="1">
      <alignment vertical="center"/>
    </xf>
    <xf numFmtId="10" fontId="25" fillId="0" borderId="2" xfId="3" applyNumberFormat="1" applyFont="1" applyFill="1" applyBorder="1">
      <alignment vertical="center"/>
    </xf>
    <xf numFmtId="43" fontId="24" fillId="0" borderId="2" xfId="1" applyFont="1" applyFill="1" applyBorder="1" applyAlignment="1">
      <alignment horizontal="center" vertical="center"/>
    </xf>
    <xf numFmtId="43" fontId="25" fillId="0" borderId="2" xfId="0" applyNumberFormat="1" applyFont="1" applyFill="1" applyBorder="1">
      <alignment vertical="center"/>
    </xf>
    <xf numFmtId="43" fontId="11" fillId="0" borderId="2" xfId="1" applyFont="1" applyFill="1" applyBorder="1">
      <alignment vertical="center"/>
    </xf>
    <xf numFmtId="43" fontId="2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1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43" fontId="25" fillId="0" borderId="0" xfId="1" applyFont="1">
      <alignment vertical="center"/>
    </xf>
    <xf numFmtId="0" fontId="30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1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11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10" fontId="11" fillId="0" borderId="2" xfId="3" applyNumberFormat="1" applyFont="1" applyBorder="1" applyAlignment="1">
      <alignment vertical="center"/>
    </xf>
    <xf numFmtId="177" fontId="11" fillId="0" borderId="2" xfId="1" applyNumberFormat="1" applyFont="1" applyBorder="1" applyAlignment="1">
      <alignment horizontal="center" vertical="center"/>
    </xf>
    <xf numFmtId="177" fontId="25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5" fillId="0" borderId="2" xfId="1" applyNumberFormat="1" applyFont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10" fontId="25" fillId="0" borderId="2" xfId="3" applyNumberFormat="1" applyFont="1" applyBorder="1">
      <alignment vertical="center"/>
    </xf>
    <xf numFmtId="10" fontId="25" fillId="0" borderId="0" xfId="3" applyNumberFormat="1" applyFont="1" applyBorder="1">
      <alignment vertical="center"/>
    </xf>
    <xf numFmtId="43" fontId="25" fillId="0" borderId="0" xfId="0" applyNumberFormat="1" applyFont="1" applyFill="1" applyBorder="1">
      <alignment vertical="center"/>
    </xf>
    <xf numFmtId="43" fontId="25" fillId="0" borderId="0" xfId="1" applyFont="1" applyBorder="1">
      <alignment vertical="center"/>
    </xf>
    <xf numFmtId="0" fontId="25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3" fontId="25" fillId="0" borderId="2" xfId="1" applyFont="1" applyBorder="1">
      <alignment vertical="center"/>
    </xf>
    <xf numFmtId="177" fontId="25" fillId="0" borderId="2" xfId="1" applyNumberFormat="1" applyFont="1" applyBorder="1">
      <alignment vertical="center"/>
    </xf>
    <xf numFmtId="0" fontId="11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5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3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9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2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8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53" customFormat="1" ht="35.25" customHeight="1" spans="1:4">
      <c r="A2" s="254" t="s">
        <v>0</v>
      </c>
      <c r="B2" s="254" t="s">
        <v>1</v>
      </c>
      <c r="C2" s="254" t="s">
        <v>2</v>
      </c>
      <c r="D2" s="255"/>
    </row>
    <row r="3" s="253" customFormat="1" ht="33.75" customHeight="1" spans="1:4">
      <c r="A3" s="256">
        <v>1</v>
      </c>
      <c r="B3" s="256" t="s">
        <v>3</v>
      </c>
      <c r="C3" s="257" t="s">
        <v>4</v>
      </c>
      <c r="D3" s="255"/>
    </row>
    <row r="4" s="253" customFormat="1" ht="33.75" customHeight="1" spans="1:3">
      <c r="A4" s="256">
        <v>2</v>
      </c>
      <c r="B4" s="256" t="s">
        <v>5</v>
      </c>
      <c r="C4" s="257" t="s">
        <v>6</v>
      </c>
    </row>
    <row r="5" s="253" customFormat="1" ht="33.75" customHeight="1" spans="1:3">
      <c r="A5" s="256">
        <v>3</v>
      </c>
      <c r="B5" s="258" t="s">
        <v>7</v>
      </c>
      <c r="C5" s="259" t="s">
        <v>8</v>
      </c>
    </row>
    <row r="6" s="253" customFormat="1" ht="33.75" customHeight="1" spans="1:3">
      <c r="A6" s="256">
        <v>4</v>
      </c>
      <c r="B6" s="260"/>
      <c r="C6" s="257" t="s">
        <v>9</v>
      </c>
    </row>
    <row r="7" s="253" customFormat="1" ht="33.75" customHeight="1" spans="1:3">
      <c r="A7" s="256">
        <v>5</v>
      </c>
      <c r="B7" s="261" t="s">
        <v>10</v>
      </c>
      <c r="C7" s="257" t="s">
        <v>11</v>
      </c>
    </row>
    <row r="8" s="253" customFormat="1" ht="33.75" customHeight="1" spans="1:3">
      <c r="A8" s="256">
        <v>6</v>
      </c>
      <c r="B8" s="258" t="s">
        <v>12</v>
      </c>
      <c r="C8" s="257" t="s">
        <v>13</v>
      </c>
    </row>
    <row r="9" s="253" customFormat="1" ht="33.75" customHeight="1" spans="1:3">
      <c r="A9" s="256">
        <v>7</v>
      </c>
      <c r="B9" s="260"/>
      <c r="C9" s="257" t="s">
        <v>14</v>
      </c>
    </row>
    <row r="10" s="253" customFormat="1" ht="33.75" customHeight="1" spans="1:3">
      <c r="A10" s="256">
        <v>8</v>
      </c>
      <c r="B10" s="260"/>
      <c r="C10" s="259" t="s">
        <v>15</v>
      </c>
    </row>
    <row r="11" s="253" customFormat="1" ht="33.75" customHeight="1" spans="1:3">
      <c r="A11" s="256">
        <v>9</v>
      </c>
      <c r="B11" s="260"/>
      <c r="C11" s="257" t="s">
        <v>16</v>
      </c>
    </row>
    <row r="12" s="253" customFormat="1" ht="33.75" customHeight="1" spans="1:3">
      <c r="A12" s="256">
        <v>10</v>
      </c>
      <c r="B12" s="261" t="s">
        <v>17</v>
      </c>
      <c r="C12" s="257" t="s">
        <v>18</v>
      </c>
    </row>
    <row r="13" ht="33.75" customHeight="1"/>
    <row r="14" ht="33.75" customHeight="1"/>
    <row r="15" ht="33.75" customHeight="1" spans="3:3">
      <c r="C15" s="262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6" width="13.0909090909091" style="34" customWidth="1"/>
    <col min="7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224</v>
      </c>
      <c r="B2" s="38"/>
      <c r="C2" s="39"/>
      <c r="D2" s="40"/>
      <c r="E2" s="41" t="s">
        <v>225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226</v>
      </c>
      <c r="C3" s="43" t="s">
        <v>227</v>
      </c>
      <c r="D3" s="44" t="s">
        <v>228</v>
      </c>
      <c r="E3" s="44"/>
      <c r="F3" s="40" t="s">
        <v>229</v>
      </c>
      <c r="G3" s="45" t="s">
        <v>230</v>
      </c>
      <c r="H3" s="46"/>
      <c r="I3" s="46"/>
      <c r="J3" s="46"/>
      <c r="K3" s="46"/>
      <c r="L3" s="46"/>
      <c r="M3" s="46"/>
      <c r="N3" s="63" t="s">
        <v>175</v>
      </c>
    </row>
    <row r="4" ht="33" spans="1:14">
      <c r="A4" s="43"/>
      <c r="B4" s="43"/>
      <c r="C4" s="43" t="s">
        <v>156</v>
      </c>
      <c r="D4" s="47" t="s">
        <v>157</v>
      </c>
      <c r="E4" s="47" t="s">
        <v>158</v>
      </c>
      <c r="F4" s="47" t="s">
        <v>159</v>
      </c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160</v>
      </c>
      <c r="D5" s="47" t="s">
        <v>161</v>
      </c>
      <c r="E5" s="47" t="s">
        <v>162</v>
      </c>
      <c r="F5" s="47" t="s">
        <v>163</v>
      </c>
      <c r="G5" s="47"/>
      <c r="H5" s="47"/>
      <c r="I5" s="47"/>
      <c r="J5" s="47"/>
      <c r="K5" s="47"/>
      <c r="L5" s="47"/>
      <c r="M5" s="47"/>
      <c r="N5" s="65"/>
    </row>
    <row r="6" spans="1:14">
      <c r="A6" s="49">
        <v>1</v>
      </c>
      <c r="B6" s="50" t="s">
        <v>231</v>
      </c>
      <c r="C6" s="51"/>
      <c r="D6" s="48"/>
      <c r="E6" s="48"/>
      <c r="F6" s="48"/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232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233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234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235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236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237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238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239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240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241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242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243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244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245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246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247</v>
      </c>
      <c r="C23" s="51"/>
      <c r="D23" s="53">
        <v>127.69</v>
      </c>
      <c r="E23" s="53">
        <v>73</v>
      </c>
      <c r="F23" s="53">
        <v>94.86</v>
      </c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248</v>
      </c>
      <c r="B24" s="57"/>
      <c r="C24" s="58"/>
      <c r="D24" s="59">
        <f t="shared" ref="D24:M24" si="0">SUM(D6:D23)</f>
        <v>127.69</v>
      </c>
      <c r="E24" s="59">
        <f t="shared" si="0"/>
        <v>73</v>
      </c>
      <c r="F24" s="59">
        <f t="shared" si="0"/>
        <v>94.86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249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106</v>
      </c>
      <c r="D27" s="61">
        <f t="shared" ref="D27:F27" si="1">D24*0.97</f>
        <v>123.8593</v>
      </c>
      <c r="E27" s="61">
        <f t="shared" si="1"/>
        <v>70.81</v>
      </c>
      <c r="F27" s="61">
        <f t="shared" si="1"/>
        <v>92.0142</v>
      </c>
      <c r="G27" s="61">
        <f t="shared" ref="D27:M27" si="2">G24*0.94</f>
        <v>0</v>
      </c>
      <c r="H27" s="61">
        <f t="shared" si="2"/>
        <v>0</v>
      </c>
      <c r="I27" s="61">
        <f t="shared" si="2"/>
        <v>0</v>
      </c>
      <c r="J27" s="61">
        <f t="shared" si="2"/>
        <v>0</v>
      </c>
      <c r="K27" s="61">
        <f t="shared" si="2"/>
        <v>0</v>
      </c>
      <c r="L27" s="61">
        <f t="shared" si="2"/>
        <v>0</v>
      </c>
      <c r="M27" s="61">
        <f t="shared" si="2"/>
        <v>0</v>
      </c>
    </row>
    <row r="28" spans="3:13">
      <c r="C28" s="33" t="s">
        <v>55</v>
      </c>
      <c r="D28" s="61">
        <f t="shared" ref="D28:F28" si="3">D27*0.97</f>
        <v>120.143521</v>
      </c>
      <c r="E28" s="61">
        <f t="shared" si="3"/>
        <v>68.6857</v>
      </c>
      <c r="F28" s="61">
        <f t="shared" si="3"/>
        <v>89.253774</v>
      </c>
      <c r="G28" s="61">
        <f t="shared" ref="D28:M28" si="4">G27*0.94</f>
        <v>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61">
        <f t="shared" si="4"/>
        <v>0</v>
      </c>
      <c r="M28" s="61">
        <f t="shared" si="4"/>
        <v>0</v>
      </c>
    </row>
    <row r="29" spans="3:6">
      <c r="C29" s="33" t="s">
        <v>56</v>
      </c>
      <c r="D29" s="61">
        <f t="shared" ref="D29:F29" si="5">D28*0.97</f>
        <v>116.53921537</v>
      </c>
      <c r="E29" s="61">
        <f t="shared" si="5"/>
        <v>66.625129</v>
      </c>
      <c r="F29" s="61">
        <f t="shared" si="5"/>
        <v>86.57616078</v>
      </c>
    </row>
    <row r="30" spans="4:6">
      <c r="D30" s="61"/>
      <c r="E30" s="61"/>
      <c r="F30" s="61"/>
    </row>
    <row r="31" spans="4:6">
      <c r="D31" s="61"/>
      <c r="E31" s="61"/>
      <c r="F31" s="61"/>
    </row>
    <row r="32" spans="4:6">
      <c r="D32" s="61"/>
      <c r="E32" s="61"/>
      <c r="F32" s="61"/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250</v>
      </c>
      <c r="C1" s="25" t="s">
        <v>251</v>
      </c>
      <c r="D1" s="25" t="s">
        <v>252</v>
      </c>
    </row>
    <row r="2" ht="19.5" customHeight="1" spans="1:4">
      <c r="A2" s="25">
        <v>1</v>
      </c>
      <c r="B2" s="26" t="s">
        <v>253</v>
      </c>
      <c r="C2" s="27"/>
      <c r="D2" s="25"/>
    </row>
    <row r="3" ht="36" customHeight="1" spans="1:4">
      <c r="A3" s="25">
        <v>2</v>
      </c>
      <c r="B3" s="26" t="s">
        <v>254</v>
      </c>
      <c r="C3" s="28"/>
      <c r="D3" s="25" t="s">
        <v>255</v>
      </c>
    </row>
    <row r="4" ht="19.5" customHeight="1" spans="1:4">
      <c r="A4" s="25">
        <v>3</v>
      </c>
      <c r="B4" s="26" t="s">
        <v>256</v>
      </c>
      <c r="C4" s="27"/>
      <c r="D4" s="25"/>
    </row>
    <row r="5" ht="42.75" customHeight="1" spans="1:4">
      <c r="A5" s="25">
        <v>4</v>
      </c>
      <c r="B5" s="26" t="s">
        <v>257</v>
      </c>
      <c r="C5" s="27"/>
      <c r="D5" s="25"/>
    </row>
    <row r="6" ht="39" customHeight="1" spans="1:4">
      <c r="A6" s="25">
        <v>5</v>
      </c>
      <c r="B6" s="26" t="s">
        <v>258</v>
      </c>
      <c r="C6" s="27"/>
      <c r="D6" s="25"/>
    </row>
    <row r="7" ht="27.75" customHeight="1" spans="1:3">
      <c r="A7" s="25">
        <v>6</v>
      </c>
      <c r="B7" s="25" t="s">
        <v>259</v>
      </c>
      <c r="C7" s="28"/>
    </row>
    <row r="8" ht="36" customHeight="1" spans="1:4">
      <c r="A8" s="25">
        <v>7</v>
      </c>
      <c r="B8" s="26" t="s">
        <v>260</v>
      </c>
      <c r="C8" s="29"/>
      <c r="D8" s="25"/>
    </row>
    <row r="9" ht="34.5" customHeight="1" spans="1:4">
      <c r="A9" s="25">
        <v>8</v>
      </c>
      <c r="B9" s="25" t="s">
        <v>261</v>
      </c>
      <c r="C9" s="30"/>
      <c r="D9" s="25"/>
    </row>
    <row r="10" ht="34.5" customHeight="1" spans="1:4">
      <c r="A10" s="25">
        <v>9</v>
      </c>
      <c r="B10" s="25" t="s">
        <v>262</v>
      </c>
      <c r="C10" s="29"/>
      <c r="D10" s="25"/>
    </row>
    <row r="11" ht="34.5" customHeight="1" spans="1:4">
      <c r="A11" s="25">
        <v>10</v>
      </c>
      <c r="B11" s="25" t="s">
        <v>263</v>
      </c>
      <c r="C11" s="29"/>
      <c r="D11" s="25" t="s">
        <v>264</v>
      </c>
    </row>
    <row r="12" ht="34.5" customHeight="1" spans="1:4">
      <c r="A12" s="25">
        <v>11</v>
      </c>
      <c r="B12" s="25" t="s">
        <v>265</v>
      </c>
      <c r="C12" s="29"/>
      <c r="D12" s="25"/>
    </row>
    <row r="13" ht="24" customHeight="1" spans="1:4">
      <c r="A13" s="25">
        <v>12</v>
      </c>
      <c r="B13" s="26" t="s">
        <v>266</v>
      </c>
      <c r="C13" s="29"/>
      <c r="D13" s="25"/>
    </row>
    <row r="14" ht="24" customHeight="1" spans="1:4">
      <c r="A14" s="25">
        <v>13</v>
      </c>
      <c r="B14" s="26" t="s">
        <v>267</v>
      </c>
      <c r="C14" s="29"/>
      <c r="D14" s="25"/>
    </row>
    <row r="15" ht="24" customHeight="1" spans="1:4">
      <c r="A15" s="25">
        <v>14</v>
      </c>
      <c r="B15" s="26" t="s">
        <v>268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269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workbookViewId="0">
      <selection activeCell="F22" sqref="F22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270</v>
      </c>
      <c r="H1" s="4"/>
      <c r="I1" s="21" t="str">
        <f>销量!C6</f>
        <v>6903010BE411</v>
      </c>
    </row>
    <row r="2" ht="39" customHeight="1" spans="1:9">
      <c r="A2" s="5" t="s">
        <v>271</v>
      </c>
      <c r="B2" s="5"/>
      <c r="C2" s="6" t="s">
        <v>272</v>
      </c>
      <c r="D2" s="7"/>
      <c r="E2" s="7"/>
      <c r="F2" s="7"/>
      <c r="G2" s="7"/>
      <c r="H2" s="8"/>
      <c r="I2" s="3" t="s">
        <v>273</v>
      </c>
    </row>
    <row r="3" ht="34.5" customHeight="1" spans="1:9">
      <c r="A3" s="5"/>
      <c r="B3" s="5"/>
      <c r="C3" s="9" t="s">
        <v>274</v>
      </c>
      <c r="D3" s="9" t="s">
        <v>275</v>
      </c>
      <c r="E3" s="9" t="s">
        <v>276</v>
      </c>
      <c r="F3" s="10" t="s">
        <v>277</v>
      </c>
      <c r="G3" s="10" t="s">
        <v>278</v>
      </c>
      <c r="H3" s="10" t="s">
        <v>279</v>
      </c>
      <c r="I3" s="22">
        <f>销量!C8</f>
        <v>138.9</v>
      </c>
    </row>
    <row r="4" ht="24" customHeight="1" spans="1:9">
      <c r="A4" s="11" t="s">
        <v>280</v>
      </c>
      <c r="B4" s="11"/>
      <c r="C4" s="12"/>
      <c r="D4" s="13"/>
      <c r="E4" s="14">
        <f>I3*I4</f>
        <v>5.98659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281</v>
      </c>
      <c r="B5" s="11" t="s">
        <v>282</v>
      </c>
      <c r="C5" s="12"/>
      <c r="D5" s="13"/>
      <c r="E5" s="14">
        <f>$I$3*I5</f>
        <v>5.6949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283</v>
      </c>
      <c r="C6" s="12"/>
      <c r="D6" s="13"/>
      <c r="E6" s="14">
        <f>$I$3*I6</f>
        <v>3.01413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284</v>
      </c>
      <c r="B7" s="8"/>
      <c r="C7" s="16"/>
      <c r="D7" s="17"/>
      <c r="E7" s="14">
        <f t="shared" ref="E7:E11" si="0">$I$3*I7</f>
        <v>14.69562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90</v>
      </c>
      <c r="B8" s="11"/>
      <c r="C8" s="12"/>
      <c r="D8" s="13"/>
      <c r="E8" s="14">
        <f t="shared" si="0"/>
        <v>4.7226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285</v>
      </c>
      <c r="B9" s="11" t="s">
        <v>282</v>
      </c>
      <c r="C9" s="12"/>
      <c r="D9" s="13"/>
      <c r="E9" s="14">
        <f t="shared" si="0"/>
        <v>0.9723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283</v>
      </c>
      <c r="C10" s="12"/>
      <c r="D10" s="13"/>
      <c r="E10" s="14">
        <f t="shared" si="0"/>
        <v>6.1116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93</v>
      </c>
      <c r="B11" s="11"/>
      <c r="C11" s="12"/>
      <c r="D11" s="13"/>
      <c r="E11" s="14">
        <f t="shared" si="0"/>
        <v>4.167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270</v>
      </c>
      <c r="H13" s="4"/>
      <c r="I13" s="23" t="str">
        <f>销量!D6</f>
        <v>6905100BE411</v>
      </c>
    </row>
    <row r="14" ht="39" customHeight="1" spans="1:9">
      <c r="A14" s="5" t="s">
        <v>271</v>
      </c>
      <c r="B14" s="5"/>
      <c r="C14" s="6" t="s">
        <v>272</v>
      </c>
      <c r="D14" s="7"/>
      <c r="E14" s="7"/>
      <c r="F14" s="7"/>
      <c r="G14" s="7"/>
      <c r="H14" s="8"/>
      <c r="I14" s="3" t="s">
        <v>273</v>
      </c>
    </row>
    <row r="15" ht="34.5" customHeight="1" spans="1:9">
      <c r="A15" s="5"/>
      <c r="B15" s="5"/>
      <c r="C15" s="9" t="s">
        <v>274</v>
      </c>
      <c r="D15" s="9" t="s">
        <v>275</v>
      </c>
      <c r="E15" s="9" t="s">
        <v>276</v>
      </c>
      <c r="F15" s="10" t="s">
        <v>277</v>
      </c>
      <c r="G15" s="10" t="s">
        <v>278</v>
      </c>
      <c r="H15" s="10" t="s">
        <v>279</v>
      </c>
      <c r="I15" s="22">
        <f>销量!D8</f>
        <v>131.4</v>
      </c>
    </row>
    <row r="16" ht="24" customHeight="1" spans="1:9">
      <c r="A16" s="11" t="s">
        <v>280</v>
      </c>
      <c r="B16" s="11"/>
      <c r="C16" s="12"/>
      <c r="D16" s="13"/>
      <c r="E16" s="14">
        <f>I15*I16</f>
        <v>5.66334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281</v>
      </c>
      <c r="B17" s="11" t="s">
        <v>282</v>
      </c>
      <c r="C17" s="12"/>
      <c r="D17" s="13"/>
      <c r="E17" s="14">
        <f>$I$15*I17</f>
        <v>5.3874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283</v>
      </c>
      <c r="C18" s="12"/>
      <c r="D18" s="13"/>
      <c r="E18" s="14">
        <f t="shared" ref="E18:E23" si="1">$I$15*I18</f>
        <v>2.85138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284</v>
      </c>
      <c r="B19" s="8"/>
      <c r="C19" s="16"/>
      <c r="D19" s="17"/>
      <c r="E19" s="14">
        <f t="shared" si="1"/>
        <v>13.90212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90</v>
      </c>
      <c r="B20" s="11"/>
      <c r="C20" s="12"/>
      <c r="D20" s="13"/>
      <c r="E20" s="14">
        <f t="shared" si="1"/>
        <v>4.4676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285</v>
      </c>
      <c r="B21" s="11" t="s">
        <v>282</v>
      </c>
      <c r="C21" s="12"/>
      <c r="D21" s="13"/>
      <c r="E21" s="14">
        <f t="shared" si="1"/>
        <v>0.9198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283</v>
      </c>
      <c r="C22" s="12"/>
      <c r="D22" s="13"/>
      <c r="E22" s="14">
        <f t="shared" si="1"/>
        <v>5.7816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93</v>
      </c>
      <c r="B23" s="11"/>
      <c r="C23" s="12"/>
      <c r="D23" s="13"/>
      <c r="E23" s="14">
        <f t="shared" si="1"/>
        <v>3.942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270</v>
      </c>
      <c r="H26" s="4"/>
      <c r="I26" s="23" t="str">
        <f>销量!E6</f>
        <v>6905020CE411</v>
      </c>
    </row>
    <row r="27" ht="39" customHeight="1" spans="1:9">
      <c r="A27" s="5" t="s">
        <v>271</v>
      </c>
      <c r="B27" s="5"/>
      <c r="C27" s="6" t="s">
        <v>272</v>
      </c>
      <c r="D27" s="7"/>
      <c r="E27" s="7"/>
      <c r="F27" s="7"/>
      <c r="G27" s="7"/>
      <c r="H27" s="8"/>
      <c r="I27" s="3" t="s">
        <v>273</v>
      </c>
    </row>
    <row r="28" ht="34.5" customHeight="1" spans="1:9">
      <c r="A28" s="5"/>
      <c r="B28" s="5"/>
      <c r="C28" s="9" t="s">
        <v>274</v>
      </c>
      <c r="D28" s="9" t="s">
        <v>275</v>
      </c>
      <c r="E28" s="9" t="s">
        <v>276</v>
      </c>
      <c r="F28" s="10" t="s">
        <v>277</v>
      </c>
      <c r="G28" s="10" t="s">
        <v>278</v>
      </c>
      <c r="H28" s="10" t="s">
        <v>279</v>
      </c>
      <c r="I28" s="22">
        <f>销量!E8</f>
        <v>115.6</v>
      </c>
    </row>
    <row r="29" ht="24" customHeight="1" spans="1:9">
      <c r="A29" s="11" t="s">
        <v>280</v>
      </c>
      <c r="B29" s="11"/>
      <c r="C29" s="12"/>
      <c r="D29" s="13"/>
      <c r="E29" s="14">
        <f>I28*I29</f>
        <v>4.98236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281</v>
      </c>
      <c r="B30" s="11" t="s">
        <v>282</v>
      </c>
      <c r="C30" s="12"/>
      <c r="D30" s="13"/>
      <c r="E30" s="14">
        <f t="shared" ref="E30:E36" si="2">$I$28*I30</f>
        <v>4.7396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283</v>
      </c>
      <c r="C31" s="12"/>
      <c r="D31" s="13"/>
      <c r="E31" s="14">
        <f t="shared" si="2"/>
        <v>2.50852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284</v>
      </c>
      <c r="B32" s="8"/>
      <c r="C32" s="16"/>
      <c r="D32" s="17"/>
      <c r="E32" s="14">
        <f t="shared" si="2"/>
        <v>12.23048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90</v>
      </c>
      <c r="B33" s="11"/>
      <c r="C33" s="12"/>
      <c r="D33" s="13"/>
      <c r="E33" s="14">
        <f t="shared" si="2"/>
        <v>3.9304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285</v>
      </c>
      <c r="B34" s="11" t="s">
        <v>282</v>
      </c>
      <c r="C34" s="12"/>
      <c r="D34" s="13"/>
      <c r="E34" s="14">
        <f t="shared" si="2"/>
        <v>0.8092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283</v>
      </c>
      <c r="C35" s="12"/>
      <c r="D35" s="13"/>
      <c r="E35" s="14">
        <f t="shared" si="2"/>
        <v>5.0864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93</v>
      </c>
      <c r="B36" s="11"/>
      <c r="C36" s="12"/>
      <c r="D36" s="13"/>
      <c r="E36" s="14">
        <f t="shared" si="2"/>
        <v>3.468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270</v>
      </c>
      <c r="H39" s="4"/>
      <c r="I39" s="23"/>
    </row>
    <row r="40" ht="39" customHeight="1" spans="1:9">
      <c r="A40" s="5" t="s">
        <v>271</v>
      </c>
      <c r="B40" s="5"/>
      <c r="C40" s="6" t="s">
        <v>272</v>
      </c>
      <c r="D40" s="7"/>
      <c r="E40" s="7"/>
      <c r="F40" s="7"/>
      <c r="G40" s="7"/>
      <c r="H40" s="8"/>
      <c r="I40" s="3" t="s">
        <v>273</v>
      </c>
    </row>
    <row r="41" ht="34.5" customHeight="1" spans="1:9">
      <c r="A41" s="5"/>
      <c r="B41" s="5"/>
      <c r="C41" s="9" t="s">
        <v>274</v>
      </c>
      <c r="D41" s="9" t="s">
        <v>275</v>
      </c>
      <c r="E41" s="9" t="s">
        <v>276</v>
      </c>
      <c r="F41" s="10" t="s">
        <v>277</v>
      </c>
      <c r="G41" s="10" t="s">
        <v>278</v>
      </c>
      <c r="H41" s="10" t="s">
        <v>279</v>
      </c>
      <c r="I41" s="22"/>
    </row>
    <row r="42" ht="24" customHeight="1" spans="1:9">
      <c r="A42" s="11" t="s">
        <v>280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281</v>
      </c>
      <c r="B43" s="11" t="s">
        <v>282</v>
      </c>
      <c r="C43" s="12"/>
      <c r="D43" s="13"/>
      <c r="E43" s="14">
        <f>$I$28*I43</f>
        <v>4.7396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283</v>
      </c>
      <c r="C44" s="12"/>
      <c r="D44" s="13"/>
      <c r="E44" s="14">
        <f t="shared" ref="E44:E49" si="3">$I$28*I44</f>
        <v>2.50852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284</v>
      </c>
      <c r="B45" s="8"/>
      <c r="C45" s="16"/>
      <c r="D45" s="17"/>
      <c r="E45" s="14">
        <f t="shared" si="3"/>
        <v>12.23048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90</v>
      </c>
      <c r="B46" s="11"/>
      <c r="C46" s="12"/>
      <c r="D46" s="13"/>
      <c r="E46" s="14">
        <f t="shared" si="3"/>
        <v>3.9304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285</v>
      </c>
      <c r="B47" s="11" t="s">
        <v>282</v>
      </c>
      <c r="C47" s="12"/>
      <c r="D47" s="13"/>
      <c r="E47" s="14">
        <f t="shared" si="3"/>
        <v>0.8092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283</v>
      </c>
      <c r="C48" s="12"/>
      <c r="D48" s="13"/>
      <c r="E48" s="14">
        <f t="shared" si="3"/>
        <v>5.0864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93</v>
      </c>
      <c r="B49" s="11"/>
      <c r="C49" s="12"/>
      <c r="D49" s="13"/>
      <c r="E49" s="14">
        <f t="shared" si="3"/>
        <v>3.468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270</v>
      </c>
      <c r="H52" s="4"/>
      <c r="I52" s="23"/>
    </row>
    <row r="53" ht="39" customHeight="1" spans="1:9">
      <c r="A53" s="5" t="s">
        <v>271</v>
      </c>
      <c r="B53" s="5"/>
      <c r="C53" s="6" t="s">
        <v>272</v>
      </c>
      <c r="D53" s="7"/>
      <c r="E53" s="7"/>
      <c r="F53" s="7"/>
      <c r="G53" s="7"/>
      <c r="H53" s="8"/>
      <c r="I53" s="3" t="s">
        <v>273</v>
      </c>
    </row>
    <row r="54" ht="34.5" customHeight="1" spans="1:9">
      <c r="A54" s="5"/>
      <c r="B54" s="5"/>
      <c r="C54" s="9" t="s">
        <v>274</v>
      </c>
      <c r="D54" s="9" t="s">
        <v>275</v>
      </c>
      <c r="E54" s="9" t="s">
        <v>276</v>
      </c>
      <c r="F54" s="10" t="s">
        <v>277</v>
      </c>
      <c r="G54" s="10" t="s">
        <v>278</v>
      </c>
      <c r="H54" s="10" t="s">
        <v>279</v>
      </c>
      <c r="I54" s="22"/>
    </row>
    <row r="55" ht="24" customHeight="1" spans="1:9">
      <c r="A55" s="11" t="s">
        <v>280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281</v>
      </c>
      <c r="B56" s="11" t="s">
        <v>282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283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284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90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285</v>
      </c>
      <c r="B60" s="11" t="s">
        <v>282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283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93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270</v>
      </c>
      <c r="H65" s="4"/>
      <c r="I65" s="23"/>
    </row>
    <row r="66" ht="39" customHeight="1" spans="1:9">
      <c r="A66" s="5" t="s">
        <v>271</v>
      </c>
      <c r="B66" s="5"/>
      <c r="C66" s="6" t="s">
        <v>272</v>
      </c>
      <c r="D66" s="7"/>
      <c r="E66" s="7"/>
      <c r="F66" s="7"/>
      <c r="G66" s="7"/>
      <c r="H66" s="8"/>
      <c r="I66" s="3" t="s">
        <v>273</v>
      </c>
    </row>
    <row r="67" ht="34.5" customHeight="1" spans="1:9">
      <c r="A67" s="5"/>
      <c r="B67" s="5"/>
      <c r="C67" s="9" t="s">
        <v>274</v>
      </c>
      <c r="D67" s="9" t="s">
        <v>275</v>
      </c>
      <c r="E67" s="9" t="s">
        <v>276</v>
      </c>
      <c r="F67" s="10" t="s">
        <v>277</v>
      </c>
      <c r="G67" s="10" t="s">
        <v>278</v>
      </c>
      <c r="H67" s="10" t="s">
        <v>279</v>
      </c>
      <c r="I67" s="22"/>
    </row>
    <row r="68" ht="24" customHeight="1" spans="1:9">
      <c r="A68" s="11" t="s">
        <v>280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281</v>
      </c>
      <c r="B69" s="11" t="s">
        <v>282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283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284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90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285</v>
      </c>
      <c r="B73" s="11" t="s">
        <v>282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283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93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270</v>
      </c>
      <c r="H78" s="4"/>
      <c r="I78" s="23"/>
    </row>
    <row r="79" ht="39" customHeight="1" spans="1:9">
      <c r="A79" s="5" t="s">
        <v>271</v>
      </c>
      <c r="B79" s="5"/>
      <c r="C79" s="6" t="s">
        <v>272</v>
      </c>
      <c r="D79" s="7"/>
      <c r="E79" s="7"/>
      <c r="F79" s="7"/>
      <c r="G79" s="7"/>
      <c r="H79" s="8"/>
      <c r="I79" s="3" t="s">
        <v>273</v>
      </c>
    </row>
    <row r="80" ht="34.5" customHeight="1" spans="1:9">
      <c r="A80" s="5"/>
      <c r="B80" s="5"/>
      <c r="C80" s="9" t="s">
        <v>274</v>
      </c>
      <c r="D80" s="9" t="s">
        <v>275</v>
      </c>
      <c r="E80" s="9" t="s">
        <v>276</v>
      </c>
      <c r="F80" s="10" t="s">
        <v>277</v>
      </c>
      <c r="G80" s="10" t="s">
        <v>278</v>
      </c>
      <c r="H80" s="10" t="s">
        <v>279</v>
      </c>
      <c r="I80" s="22"/>
    </row>
    <row r="81" ht="24" customHeight="1" spans="1:9">
      <c r="A81" s="11" t="s">
        <v>280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281</v>
      </c>
      <c r="B82" s="11" t="s">
        <v>282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283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284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90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285</v>
      </c>
      <c r="B86" s="11" t="s">
        <v>282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283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93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270</v>
      </c>
      <c r="H91" s="4"/>
      <c r="I91" s="23"/>
    </row>
    <row r="92" ht="39" customHeight="1" spans="1:9">
      <c r="A92" s="5" t="s">
        <v>271</v>
      </c>
      <c r="B92" s="5"/>
      <c r="C92" s="6" t="s">
        <v>272</v>
      </c>
      <c r="D92" s="7"/>
      <c r="E92" s="7"/>
      <c r="F92" s="7"/>
      <c r="G92" s="7"/>
      <c r="H92" s="8"/>
      <c r="I92" s="3" t="s">
        <v>273</v>
      </c>
    </row>
    <row r="93" ht="34.5" customHeight="1" spans="1:9">
      <c r="A93" s="5"/>
      <c r="B93" s="5"/>
      <c r="C93" s="9" t="s">
        <v>274</v>
      </c>
      <c r="D93" s="9" t="s">
        <v>275</v>
      </c>
      <c r="E93" s="9" t="s">
        <v>276</v>
      </c>
      <c r="F93" s="10" t="s">
        <v>277</v>
      </c>
      <c r="G93" s="10" t="s">
        <v>278</v>
      </c>
      <c r="H93" s="10" t="s">
        <v>279</v>
      </c>
      <c r="I93" s="22"/>
    </row>
    <row r="94" ht="24" customHeight="1" spans="1:9">
      <c r="A94" s="11" t="s">
        <v>280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281</v>
      </c>
      <c r="B95" s="11" t="s">
        <v>282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283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284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90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285</v>
      </c>
      <c r="B99" s="11" t="s">
        <v>282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283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93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270</v>
      </c>
      <c r="H104" s="4"/>
      <c r="I104" s="23"/>
    </row>
    <row r="105" ht="39" customHeight="1" spans="1:9">
      <c r="A105" s="5" t="s">
        <v>271</v>
      </c>
      <c r="B105" s="5"/>
      <c r="C105" s="6" t="s">
        <v>272</v>
      </c>
      <c r="D105" s="7"/>
      <c r="E105" s="7"/>
      <c r="F105" s="7"/>
      <c r="G105" s="7"/>
      <c r="H105" s="8"/>
      <c r="I105" s="3" t="s">
        <v>273</v>
      </c>
    </row>
    <row r="106" ht="34.5" customHeight="1" spans="1:9">
      <c r="A106" s="5"/>
      <c r="B106" s="5"/>
      <c r="C106" s="9" t="s">
        <v>274</v>
      </c>
      <c r="D106" s="9" t="s">
        <v>275</v>
      </c>
      <c r="E106" s="9" t="s">
        <v>276</v>
      </c>
      <c r="F106" s="10" t="s">
        <v>277</v>
      </c>
      <c r="G106" s="10" t="s">
        <v>278</v>
      </c>
      <c r="H106" s="10" t="s">
        <v>279</v>
      </c>
      <c r="I106" s="22"/>
    </row>
    <row r="107" ht="24" customHeight="1" spans="1:9">
      <c r="A107" s="11" t="s">
        <v>280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281</v>
      </c>
      <c r="B108" s="11" t="s">
        <v>282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283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284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90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285</v>
      </c>
      <c r="B112" s="11" t="s">
        <v>282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283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93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270</v>
      </c>
      <c r="H117" s="4"/>
      <c r="I117" s="23"/>
    </row>
    <row r="118" ht="39" customHeight="1" spans="1:9">
      <c r="A118" s="5" t="s">
        <v>271</v>
      </c>
      <c r="B118" s="5"/>
      <c r="C118" s="6" t="s">
        <v>272</v>
      </c>
      <c r="D118" s="7"/>
      <c r="E118" s="7"/>
      <c r="F118" s="7"/>
      <c r="G118" s="7"/>
      <c r="H118" s="8"/>
      <c r="I118" s="3" t="s">
        <v>273</v>
      </c>
    </row>
    <row r="119" ht="34.5" customHeight="1" spans="1:9">
      <c r="A119" s="5"/>
      <c r="B119" s="5"/>
      <c r="C119" s="9" t="s">
        <v>274</v>
      </c>
      <c r="D119" s="9" t="s">
        <v>275</v>
      </c>
      <c r="E119" s="9" t="s">
        <v>276</v>
      </c>
      <c r="F119" s="10" t="s">
        <v>277</v>
      </c>
      <c r="G119" s="10" t="s">
        <v>278</v>
      </c>
      <c r="H119" s="10" t="s">
        <v>279</v>
      </c>
      <c r="I119" s="22"/>
    </row>
    <row r="120" ht="24" customHeight="1" spans="1:9">
      <c r="A120" s="11" t="s">
        <v>280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281</v>
      </c>
      <c r="B121" s="11" t="s">
        <v>282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283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284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90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285</v>
      </c>
      <c r="B125" s="11" t="s">
        <v>282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283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93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8" customWidth="1"/>
    <col min="2" max="2" width="28.5" style="218" customWidth="1"/>
    <col min="3" max="4" width="9.12727272727273" style="218"/>
    <col min="5" max="5" width="13.8727272727273" style="218" customWidth="1"/>
    <col min="6" max="12" width="16.1272727272727" style="218" customWidth="1"/>
    <col min="13" max="13" width="10.6272727272727" style="218" customWidth="1"/>
    <col min="14" max="254" width="9.12727272727273" style="218"/>
    <col min="255" max="255" width="8" style="218" customWidth="1"/>
    <col min="256" max="256" width="28.5" style="218" customWidth="1"/>
    <col min="257" max="268" width="9.12727272727273" style="218"/>
    <col min="269" max="269" width="10.6272727272727" style="218" customWidth="1"/>
    <col min="270" max="510" width="9.12727272727273" style="218"/>
    <col min="511" max="511" width="8" style="218" customWidth="1"/>
    <col min="512" max="512" width="28.5" style="218" customWidth="1"/>
    <col min="513" max="524" width="9.12727272727273" style="218"/>
    <col min="525" max="525" width="10.6272727272727" style="218" customWidth="1"/>
    <col min="526" max="766" width="9.12727272727273" style="218"/>
    <col min="767" max="767" width="8" style="218" customWidth="1"/>
    <col min="768" max="768" width="28.5" style="218" customWidth="1"/>
    <col min="769" max="780" width="9.12727272727273" style="218"/>
    <col min="781" max="781" width="10.6272727272727" style="218" customWidth="1"/>
    <col min="782" max="1022" width="9.12727272727273" style="218"/>
    <col min="1023" max="1023" width="8" style="218" customWidth="1"/>
    <col min="1024" max="1024" width="28.5" style="218" customWidth="1"/>
    <col min="1025" max="1036" width="9.12727272727273" style="218"/>
    <col min="1037" max="1037" width="10.6272727272727" style="218" customWidth="1"/>
    <col min="1038" max="1278" width="9.12727272727273" style="218"/>
    <col min="1279" max="1279" width="8" style="218" customWidth="1"/>
    <col min="1280" max="1280" width="28.5" style="218" customWidth="1"/>
    <col min="1281" max="1292" width="9.12727272727273" style="218"/>
    <col min="1293" max="1293" width="10.6272727272727" style="218" customWidth="1"/>
    <col min="1294" max="1534" width="9.12727272727273" style="218"/>
    <col min="1535" max="1535" width="8" style="218" customWidth="1"/>
    <col min="1536" max="1536" width="28.5" style="218" customWidth="1"/>
    <col min="1537" max="1548" width="9.12727272727273" style="218"/>
    <col min="1549" max="1549" width="10.6272727272727" style="218" customWidth="1"/>
    <col min="1550" max="1790" width="9.12727272727273" style="218"/>
    <col min="1791" max="1791" width="8" style="218" customWidth="1"/>
    <col min="1792" max="1792" width="28.5" style="218" customWidth="1"/>
    <col min="1793" max="1804" width="9.12727272727273" style="218"/>
    <col min="1805" max="1805" width="10.6272727272727" style="218" customWidth="1"/>
    <col min="1806" max="2046" width="9.12727272727273" style="218"/>
    <col min="2047" max="2047" width="8" style="218" customWidth="1"/>
    <col min="2048" max="2048" width="28.5" style="218" customWidth="1"/>
    <col min="2049" max="2060" width="9.12727272727273" style="218"/>
    <col min="2061" max="2061" width="10.6272727272727" style="218" customWidth="1"/>
    <col min="2062" max="2302" width="9.12727272727273" style="218"/>
    <col min="2303" max="2303" width="8" style="218" customWidth="1"/>
    <col min="2304" max="2304" width="28.5" style="218" customWidth="1"/>
    <col min="2305" max="2316" width="9.12727272727273" style="218"/>
    <col min="2317" max="2317" width="10.6272727272727" style="218" customWidth="1"/>
    <col min="2318" max="2558" width="9.12727272727273" style="218"/>
    <col min="2559" max="2559" width="8" style="218" customWidth="1"/>
    <col min="2560" max="2560" width="28.5" style="218" customWidth="1"/>
    <col min="2561" max="2572" width="9.12727272727273" style="218"/>
    <col min="2573" max="2573" width="10.6272727272727" style="218" customWidth="1"/>
    <col min="2574" max="2814" width="9.12727272727273" style="218"/>
    <col min="2815" max="2815" width="8" style="218" customWidth="1"/>
    <col min="2816" max="2816" width="28.5" style="218" customWidth="1"/>
    <col min="2817" max="2828" width="9.12727272727273" style="218"/>
    <col min="2829" max="2829" width="10.6272727272727" style="218" customWidth="1"/>
    <col min="2830" max="3070" width="9.12727272727273" style="218"/>
    <col min="3071" max="3071" width="8" style="218" customWidth="1"/>
    <col min="3072" max="3072" width="28.5" style="218" customWidth="1"/>
    <col min="3073" max="3084" width="9.12727272727273" style="218"/>
    <col min="3085" max="3085" width="10.6272727272727" style="218" customWidth="1"/>
    <col min="3086" max="3326" width="9.12727272727273" style="218"/>
    <col min="3327" max="3327" width="8" style="218" customWidth="1"/>
    <col min="3328" max="3328" width="28.5" style="218" customWidth="1"/>
    <col min="3329" max="3340" width="9.12727272727273" style="218"/>
    <col min="3341" max="3341" width="10.6272727272727" style="218" customWidth="1"/>
    <col min="3342" max="3582" width="9.12727272727273" style="218"/>
    <col min="3583" max="3583" width="8" style="218" customWidth="1"/>
    <col min="3584" max="3584" width="28.5" style="218" customWidth="1"/>
    <col min="3585" max="3596" width="9.12727272727273" style="218"/>
    <col min="3597" max="3597" width="10.6272727272727" style="218" customWidth="1"/>
    <col min="3598" max="3838" width="9.12727272727273" style="218"/>
    <col min="3839" max="3839" width="8" style="218" customWidth="1"/>
    <col min="3840" max="3840" width="28.5" style="218" customWidth="1"/>
    <col min="3841" max="3852" width="9.12727272727273" style="218"/>
    <col min="3853" max="3853" width="10.6272727272727" style="218" customWidth="1"/>
    <col min="3854" max="4094" width="9.12727272727273" style="218"/>
    <col min="4095" max="4095" width="8" style="218" customWidth="1"/>
    <col min="4096" max="4096" width="28.5" style="218" customWidth="1"/>
    <col min="4097" max="4108" width="9.12727272727273" style="218"/>
    <col min="4109" max="4109" width="10.6272727272727" style="218" customWidth="1"/>
    <col min="4110" max="4350" width="9.12727272727273" style="218"/>
    <col min="4351" max="4351" width="8" style="218" customWidth="1"/>
    <col min="4352" max="4352" width="28.5" style="218" customWidth="1"/>
    <col min="4353" max="4364" width="9.12727272727273" style="218"/>
    <col min="4365" max="4365" width="10.6272727272727" style="218" customWidth="1"/>
    <col min="4366" max="4606" width="9.12727272727273" style="218"/>
    <col min="4607" max="4607" width="8" style="218" customWidth="1"/>
    <col min="4608" max="4608" width="28.5" style="218" customWidth="1"/>
    <col min="4609" max="4620" width="9.12727272727273" style="218"/>
    <col min="4621" max="4621" width="10.6272727272727" style="218" customWidth="1"/>
    <col min="4622" max="4862" width="9.12727272727273" style="218"/>
    <col min="4863" max="4863" width="8" style="218" customWidth="1"/>
    <col min="4864" max="4864" width="28.5" style="218" customWidth="1"/>
    <col min="4865" max="4876" width="9.12727272727273" style="218"/>
    <col min="4877" max="4877" width="10.6272727272727" style="218" customWidth="1"/>
    <col min="4878" max="5118" width="9.12727272727273" style="218"/>
    <col min="5119" max="5119" width="8" style="218" customWidth="1"/>
    <col min="5120" max="5120" width="28.5" style="218" customWidth="1"/>
    <col min="5121" max="5132" width="9.12727272727273" style="218"/>
    <col min="5133" max="5133" width="10.6272727272727" style="218" customWidth="1"/>
    <col min="5134" max="5374" width="9.12727272727273" style="218"/>
    <col min="5375" max="5375" width="8" style="218" customWidth="1"/>
    <col min="5376" max="5376" width="28.5" style="218" customWidth="1"/>
    <col min="5377" max="5388" width="9.12727272727273" style="218"/>
    <col min="5389" max="5389" width="10.6272727272727" style="218" customWidth="1"/>
    <col min="5390" max="5630" width="9.12727272727273" style="218"/>
    <col min="5631" max="5631" width="8" style="218" customWidth="1"/>
    <col min="5632" max="5632" width="28.5" style="218" customWidth="1"/>
    <col min="5633" max="5644" width="9.12727272727273" style="218"/>
    <col min="5645" max="5645" width="10.6272727272727" style="218" customWidth="1"/>
    <col min="5646" max="5886" width="9.12727272727273" style="218"/>
    <col min="5887" max="5887" width="8" style="218" customWidth="1"/>
    <col min="5888" max="5888" width="28.5" style="218" customWidth="1"/>
    <col min="5889" max="5900" width="9.12727272727273" style="218"/>
    <col min="5901" max="5901" width="10.6272727272727" style="218" customWidth="1"/>
    <col min="5902" max="6142" width="9.12727272727273" style="218"/>
    <col min="6143" max="6143" width="8" style="218" customWidth="1"/>
    <col min="6144" max="6144" width="28.5" style="218" customWidth="1"/>
    <col min="6145" max="6156" width="9.12727272727273" style="218"/>
    <col min="6157" max="6157" width="10.6272727272727" style="218" customWidth="1"/>
    <col min="6158" max="6398" width="9.12727272727273" style="218"/>
    <col min="6399" max="6399" width="8" style="218" customWidth="1"/>
    <col min="6400" max="6400" width="28.5" style="218" customWidth="1"/>
    <col min="6401" max="6412" width="9.12727272727273" style="218"/>
    <col min="6413" max="6413" width="10.6272727272727" style="218" customWidth="1"/>
    <col min="6414" max="6654" width="9.12727272727273" style="218"/>
    <col min="6655" max="6655" width="8" style="218" customWidth="1"/>
    <col min="6656" max="6656" width="28.5" style="218" customWidth="1"/>
    <col min="6657" max="6668" width="9.12727272727273" style="218"/>
    <col min="6669" max="6669" width="10.6272727272727" style="218" customWidth="1"/>
    <col min="6670" max="6910" width="9.12727272727273" style="218"/>
    <col min="6911" max="6911" width="8" style="218" customWidth="1"/>
    <col min="6912" max="6912" width="28.5" style="218" customWidth="1"/>
    <col min="6913" max="6924" width="9.12727272727273" style="218"/>
    <col min="6925" max="6925" width="10.6272727272727" style="218" customWidth="1"/>
    <col min="6926" max="7166" width="9.12727272727273" style="218"/>
    <col min="7167" max="7167" width="8" style="218" customWidth="1"/>
    <col min="7168" max="7168" width="28.5" style="218" customWidth="1"/>
    <col min="7169" max="7180" width="9.12727272727273" style="218"/>
    <col min="7181" max="7181" width="10.6272727272727" style="218" customWidth="1"/>
    <col min="7182" max="7422" width="9.12727272727273" style="218"/>
    <col min="7423" max="7423" width="8" style="218" customWidth="1"/>
    <col min="7424" max="7424" width="28.5" style="218" customWidth="1"/>
    <col min="7425" max="7436" width="9.12727272727273" style="218"/>
    <col min="7437" max="7437" width="10.6272727272727" style="218" customWidth="1"/>
    <col min="7438" max="7678" width="9.12727272727273" style="218"/>
    <col min="7679" max="7679" width="8" style="218" customWidth="1"/>
    <col min="7680" max="7680" width="28.5" style="218" customWidth="1"/>
    <col min="7681" max="7692" width="9.12727272727273" style="218"/>
    <col min="7693" max="7693" width="10.6272727272727" style="218" customWidth="1"/>
    <col min="7694" max="7934" width="9.12727272727273" style="218"/>
    <col min="7935" max="7935" width="8" style="218" customWidth="1"/>
    <col min="7936" max="7936" width="28.5" style="218" customWidth="1"/>
    <col min="7937" max="7948" width="9.12727272727273" style="218"/>
    <col min="7949" max="7949" width="10.6272727272727" style="218" customWidth="1"/>
    <col min="7950" max="8190" width="9.12727272727273" style="218"/>
    <col min="8191" max="8191" width="8" style="218" customWidth="1"/>
    <col min="8192" max="8192" width="28.5" style="218" customWidth="1"/>
    <col min="8193" max="8204" width="9.12727272727273" style="218"/>
    <col min="8205" max="8205" width="10.6272727272727" style="218" customWidth="1"/>
    <col min="8206" max="8446" width="9.12727272727273" style="218"/>
    <col min="8447" max="8447" width="8" style="218" customWidth="1"/>
    <col min="8448" max="8448" width="28.5" style="218" customWidth="1"/>
    <col min="8449" max="8460" width="9.12727272727273" style="218"/>
    <col min="8461" max="8461" width="10.6272727272727" style="218" customWidth="1"/>
    <col min="8462" max="8702" width="9.12727272727273" style="218"/>
    <col min="8703" max="8703" width="8" style="218" customWidth="1"/>
    <col min="8704" max="8704" width="28.5" style="218" customWidth="1"/>
    <col min="8705" max="8716" width="9.12727272727273" style="218"/>
    <col min="8717" max="8717" width="10.6272727272727" style="218" customWidth="1"/>
    <col min="8718" max="8958" width="9.12727272727273" style="218"/>
    <col min="8959" max="8959" width="8" style="218" customWidth="1"/>
    <col min="8960" max="8960" width="28.5" style="218" customWidth="1"/>
    <col min="8961" max="8972" width="9.12727272727273" style="218"/>
    <col min="8973" max="8973" width="10.6272727272727" style="218" customWidth="1"/>
    <col min="8974" max="9214" width="9.12727272727273" style="218"/>
    <col min="9215" max="9215" width="8" style="218" customWidth="1"/>
    <col min="9216" max="9216" width="28.5" style="218" customWidth="1"/>
    <col min="9217" max="9228" width="9.12727272727273" style="218"/>
    <col min="9229" max="9229" width="10.6272727272727" style="218" customWidth="1"/>
    <col min="9230" max="9470" width="9.12727272727273" style="218"/>
    <col min="9471" max="9471" width="8" style="218" customWidth="1"/>
    <col min="9472" max="9472" width="28.5" style="218" customWidth="1"/>
    <col min="9473" max="9484" width="9.12727272727273" style="218"/>
    <col min="9485" max="9485" width="10.6272727272727" style="218" customWidth="1"/>
    <col min="9486" max="9726" width="9.12727272727273" style="218"/>
    <col min="9727" max="9727" width="8" style="218" customWidth="1"/>
    <col min="9728" max="9728" width="28.5" style="218" customWidth="1"/>
    <col min="9729" max="9740" width="9.12727272727273" style="218"/>
    <col min="9741" max="9741" width="10.6272727272727" style="218" customWidth="1"/>
    <col min="9742" max="9982" width="9.12727272727273" style="218"/>
    <col min="9983" max="9983" width="8" style="218" customWidth="1"/>
    <col min="9984" max="9984" width="28.5" style="218" customWidth="1"/>
    <col min="9985" max="9996" width="9.12727272727273" style="218"/>
    <col min="9997" max="9997" width="10.6272727272727" style="218" customWidth="1"/>
    <col min="9998" max="10238" width="9.12727272727273" style="218"/>
    <col min="10239" max="10239" width="8" style="218" customWidth="1"/>
    <col min="10240" max="10240" width="28.5" style="218" customWidth="1"/>
    <col min="10241" max="10252" width="9.12727272727273" style="218"/>
    <col min="10253" max="10253" width="10.6272727272727" style="218" customWidth="1"/>
    <col min="10254" max="10494" width="9.12727272727273" style="218"/>
    <col min="10495" max="10495" width="8" style="218" customWidth="1"/>
    <col min="10496" max="10496" width="28.5" style="218" customWidth="1"/>
    <col min="10497" max="10508" width="9.12727272727273" style="218"/>
    <col min="10509" max="10509" width="10.6272727272727" style="218" customWidth="1"/>
    <col min="10510" max="10750" width="9.12727272727273" style="218"/>
    <col min="10751" max="10751" width="8" style="218" customWidth="1"/>
    <col min="10752" max="10752" width="28.5" style="218" customWidth="1"/>
    <col min="10753" max="10764" width="9.12727272727273" style="218"/>
    <col min="10765" max="10765" width="10.6272727272727" style="218" customWidth="1"/>
    <col min="10766" max="11006" width="9.12727272727273" style="218"/>
    <col min="11007" max="11007" width="8" style="218" customWidth="1"/>
    <col min="11008" max="11008" width="28.5" style="218" customWidth="1"/>
    <col min="11009" max="11020" width="9.12727272727273" style="218"/>
    <col min="11021" max="11021" width="10.6272727272727" style="218" customWidth="1"/>
    <col min="11022" max="11262" width="9.12727272727273" style="218"/>
    <col min="11263" max="11263" width="8" style="218" customWidth="1"/>
    <col min="11264" max="11264" width="28.5" style="218" customWidth="1"/>
    <col min="11265" max="11276" width="9.12727272727273" style="218"/>
    <col min="11277" max="11277" width="10.6272727272727" style="218" customWidth="1"/>
    <col min="11278" max="11518" width="9.12727272727273" style="218"/>
    <col min="11519" max="11519" width="8" style="218" customWidth="1"/>
    <col min="11520" max="11520" width="28.5" style="218" customWidth="1"/>
    <col min="11521" max="11532" width="9.12727272727273" style="218"/>
    <col min="11533" max="11533" width="10.6272727272727" style="218" customWidth="1"/>
    <col min="11534" max="11774" width="9.12727272727273" style="218"/>
    <col min="11775" max="11775" width="8" style="218" customWidth="1"/>
    <col min="11776" max="11776" width="28.5" style="218" customWidth="1"/>
    <col min="11777" max="11788" width="9.12727272727273" style="218"/>
    <col min="11789" max="11789" width="10.6272727272727" style="218" customWidth="1"/>
    <col min="11790" max="12030" width="9.12727272727273" style="218"/>
    <col min="12031" max="12031" width="8" style="218" customWidth="1"/>
    <col min="12032" max="12032" width="28.5" style="218" customWidth="1"/>
    <col min="12033" max="12044" width="9.12727272727273" style="218"/>
    <col min="12045" max="12045" width="10.6272727272727" style="218" customWidth="1"/>
    <col min="12046" max="12286" width="9.12727272727273" style="218"/>
    <col min="12287" max="12287" width="8" style="218" customWidth="1"/>
    <col min="12288" max="12288" width="28.5" style="218" customWidth="1"/>
    <col min="12289" max="12300" width="9.12727272727273" style="218"/>
    <col min="12301" max="12301" width="10.6272727272727" style="218" customWidth="1"/>
    <col min="12302" max="12542" width="9.12727272727273" style="218"/>
    <col min="12543" max="12543" width="8" style="218" customWidth="1"/>
    <col min="12544" max="12544" width="28.5" style="218" customWidth="1"/>
    <col min="12545" max="12556" width="9.12727272727273" style="218"/>
    <col min="12557" max="12557" width="10.6272727272727" style="218" customWidth="1"/>
    <col min="12558" max="12798" width="9.12727272727273" style="218"/>
    <col min="12799" max="12799" width="8" style="218" customWidth="1"/>
    <col min="12800" max="12800" width="28.5" style="218" customWidth="1"/>
    <col min="12801" max="12812" width="9.12727272727273" style="218"/>
    <col min="12813" max="12813" width="10.6272727272727" style="218" customWidth="1"/>
    <col min="12814" max="13054" width="9.12727272727273" style="218"/>
    <col min="13055" max="13055" width="8" style="218" customWidth="1"/>
    <col min="13056" max="13056" width="28.5" style="218" customWidth="1"/>
    <col min="13057" max="13068" width="9.12727272727273" style="218"/>
    <col min="13069" max="13069" width="10.6272727272727" style="218" customWidth="1"/>
    <col min="13070" max="13310" width="9.12727272727273" style="218"/>
    <col min="13311" max="13311" width="8" style="218" customWidth="1"/>
    <col min="13312" max="13312" width="28.5" style="218" customWidth="1"/>
    <col min="13313" max="13324" width="9.12727272727273" style="218"/>
    <col min="13325" max="13325" width="10.6272727272727" style="218" customWidth="1"/>
    <col min="13326" max="13566" width="9.12727272727273" style="218"/>
    <col min="13567" max="13567" width="8" style="218" customWidth="1"/>
    <col min="13568" max="13568" width="28.5" style="218" customWidth="1"/>
    <col min="13569" max="13580" width="9.12727272727273" style="218"/>
    <col min="13581" max="13581" width="10.6272727272727" style="218" customWidth="1"/>
    <col min="13582" max="13822" width="9.12727272727273" style="218"/>
    <col min="13823" max="13823" width="8" style="218" customWidth="1"/>
    <col min="13824" max="13824" width="28.5" style="218" customWidth="1"/>
    <col min="13825" max="13836" width="9.12727272727273" style="218"/>
    <col min="13837" max="13837" width="10.6272727272727" style="218" customWidth="1"/>
    <col min="13838" max="14078" width="9.12727272727273" style="218"/>
    <col min="14079" max="14079" width="8" style="218" customWidth="1"/>
    <col min="14080" max="14080" width="28.5" style="218" customWidth="1"/>
    <col min="14081" max="14092" width="9.12727272727273" style="218"/>
    <col min="14093" max="14093" width="10.6272727272727" style="218" customWidth="1"/>
    <col min="14094" max="14334" width="9.12727272727273" style="218"/>
    <col min="14335" max="14335" width="8" style="218" customWidth="1"/>
    <col min="14336" max="14336" width="28.5" style="218" customWidth="1"/>
    <col min="14337" max="14348" width="9.12727272727273" style="218"/>
    <col min="14349" max="14349" width="10.6272727272727" style="218" customWidth="1"/>
    <col min="14350" max="14590" width="9.12727272727273" style="218"/>
    <col min="14591" max="14591" width="8" style="218" customWidth="1"/>
    <col min="14592" max="14592" width="28.5" style="218" customWidth="1"/>
    <col min="14593" max="14604" width="9.12727272727273" style="218"/>
    <col min="14605" max="14605" width="10.6272727272727" style="218" customWidth="1"/>
    <col min="14606" max="14846" width="9.12727272727273" style="218"/>
    <col min="14847" max="14847" width="8" style="218" customWidth="1"/>
    <col min="14848" max="14848" width="28.5" style="218" customWidth="1"/>
    <col min="14849" max="14860" width="9.12727272727273" style="218"/>
    <col min="14861" max="14861" width="10.6272727272727" style="218" customWidth="1"/>
    <col min="14862" max="15102" width="9.12727272727273" style="218"/>
    <col min="15103" max="15103" width="8" style="218" customWidth="1"/>
    <col min="15104" max="15104" width="28.5" style="218" customWidth="1"/>
    <col min="15105" max="15116" width="9.12727272727273" style="218"/>
    <col min="15117" max="15117" width="10.6272727272727" style="218" customWidth="1"/>
    <col min="15118" max="15358" width="9.12727272727273" style="218"/>
    <col min="15359" max="15359" width="8" style="218" customWidth="1"/>
    <col min="15360" max="15360" width="28.5" style="218" customWidth="1"/>
    <col min="15361" max="15372" width="9.12727272727273" style="218"/>
    <col min="15373" max="15373" width="10.6272727272727" style="218" customWidth="1"/>
    <col min="15374" max="15614" width="9.12727272727273" style="218"/>
    <col min="15615" max="15615" width="8" style="218" customWidth="1"/>
    <col min="15616" max="15616" width="28.5" style="218" customWidth="1"/>
    <col min="15617" max="15628" width="9.12727272727273" style="218"/>
    <col min="15629" max="15629" width="10.6272727272727" style="218" customWidth="1"/>
    <col min="15630" max="15870" width="9.12727272727273" style="218"/>
    <col min="15871" max="15871" width="8" style="218" customWidth="1"/>
    <col min="15872" max="15872" width="28.5" style="218" customWidth="1"/>
    <col min="15873" max="15884" width="9.12727272727273" style="218"/>
    <col min="15885" max="15885" width="10.6272727272727" style="218" customWidth="1"/>
    <col min="15886" max="16126" width="9.12727272727273" style="218"/>
    <col min="16127" max="16127" width="8" style="218" customWidth="1"/>
    <col min="16128" max="16128" width="28.5" style="218" customWidth="1"/>
    <col min="16129" max="16140" width="9.12727272727273" style="218"/>
    <col min="16141" max="16141" width="10.6272727272727" style="218" customWidth="1"/>
    <col min="16142" max="16384" width="9.12727272727273" style="218"/>
  </cols>
  <sheetData>
    <row r="1" ht="17.5" spans="1:13">
      <c r="A1" s="219" t="s">
        <v>19</v>
      </c>
      <c r="B1" s="220"/>
      <c r="C1" s="221"/>
      <c r="D1" s="221"/>
      <c r="E1" s="220"/>
      <c r="F1" s="221"/>
      <c r="G1" s="221"/>
      <c r="H1" s="220"/>
      <c r="I1" s="221"/>
      <c r="J1" s="221"/>
      <c r="K1" s="221"/>
      <c r="L1" s="221"/>
      <c r="M1" s="221"/>
    </row>
    <row r="2" ht="14" spans="1:2">
      <c r="A2" s="218" t="s">
        <v>20</v>
      </c>
      <c r="B2" s="222"/>
    </row>
    <row r="3" ht="16.9" customHeight="1" spans="1:13">
      <c r="A3" s="223" t="s">
        <v>21</v>
      </c>
      <c r="B3" s="223" t="s">
        <v>22</v>
      </c>
      <c r="C3" s="224" t="s">
        <v>23</v>
      </c>
      <c r="D3" s="224"/>
      <c r="E3" s="224"/>
      <c r="F3" s="225"/>
      <c r="G3" s="226"/>
      <c r="H3" s="227"/>
      <c r="I3" s="227"/>
      <c r="J3" s="227" t="s">
        <v>24</v>
      </c>
      <c r="K3" s="227"/>
      <c r="L3" s="227"/>
      <c r="M3" s="248"/>
    </row>
    <row r="4" ht="16.15" customHeight="1" spans="1:13">
      <c r="A4" s="228"/>
      <c r="B4" s="228" t="s">
        <v>25</v>
      </c>
      <c r="C4" s="224">
        <v>2017</v>
      </c>
      <c r="D4" s="224">
        <f t="shared" ref="D4:L4" si="0">C4+1</f>
        <v>2018</v>
      </c>
      <c r="E4" s="224">
        <f t="shared" si="0"/>
        <v>2019</v>
      </c>
      <c r="F4" s="224">
        <f t="shared" si="0"/>
        <v>2020</v>
      </c>
      <c r="G4" s="224">
        <f t="shared" si="0"/>
        <v>2021</v>
      </c>
      <c r="H4" s="229">
        <f t="shared" si="0"/>
        <v>2022</v>
      </c>
      <c r="I4" s="229">
        <f t="shared" si="0"/>
        <v>2023</v>
      </c>
      <c r="J4" s="229">
        <f t="shared" si="0"/>
        <v>2024</v>
      </c>
      <c r="K4" s="229">
        <f t="shared" si="0"/>
        <v>2025</v>
      </c>
      <c r="L4" s="229">
        <f t="shared" si="0"/>
        <v>2026</v>
      </c>
      <c r="M4" s="249" t="s">
        <v>26</v>
      </c>
    </row>
    <row r="5" ht="15.6" customHeight="1" spans="1:13">
      <c r="A5" s="230">
        <v>1</v>
      </c>
      <c r="B5" s="231" t="s">
        <v>27</v>
      </c>
      <c r="C5" s="232">
        <f>SUM(C6:C9)</f>
        <v>0</v>
      </c>
      <c r="D5" s="232">
        <f t="shared" ref="D5:L5" si="1">SUM(D6:D9)</f>
        <v>0</v>
      </c>
      <c r="E5" s="232" t="e">
        <f t="shared" si="1"/>
        <v>#REF!</v>
      </c>
      <c r="F5" s="232" t="e">
        <f t="shared" si="1"/>
        <v>#REF!</v>
      </c>
      <c r="G5" s="232" t="e">
        <f t="shared" si="1"/>
        <v>#REF!</v>
      </c>
      <c r="H5" s="232" t="e">
        <f t="shared" si="1"/>
        <v>#REF!</v>
      </c>
      <c r="I5" s="232" t="e">
        <f t="shared" si="1"/>
        <v>#REF!</v>
      </c>
      <c r="J5" s="232" t="e">
        <f t="shared" si="1"/>
        <v>#REF!</v>
      </c>
      <c r="K5" s="232" t="e">
        <f t="shared" si="1"/>
        <v>#REF!</v>
      </c>
      <c r="L5" s="232" t="e">
        <f t="shared" si="1"/>
        <v>#REF!</v>
      </c>
      <c r="M5" s="236" t="e">
        <f t="shared" ref="M5:M17" si="2">SUM(C5:L5)</f>
        <v>#REF!</v>
      </c>
    </row>
    <row r="6" ht="15.6" customHeight="1" spans="1:13">
      <c r="A6" s="230">
        <v>1.1</v>
      </c>
      <c r="B6" s="233" t="s">
        <v>28</v>
      </c>
      <c r="C6" s="234"/>
      <c r="D6" s="234"/>
      <c r="E6" s="234" t="e">
        <f>#REF!</f>
        <v>#REF!</v>
      </c>
      <c r="F6" s="234" t="e">
        <f>#REF!</f>
        <v>#REF!</v>
      </c>
      <c r="G6" s="234" t="e">
        <f>#REF!</f>
        <v>#REF!</v>
      </c>
      <c r="H6" s="234" t="e">
        <f>#REF!</f>
        <v>#REF!</v>
      </c>
      <c r="I6" s="234" t="e">
        <f>#REF!</f>
        <v>#REF!</v>
      </c>
      <c r="J6" s="234" t="e">
        <f>#REF!</f>
        <v>#REF!</v>
      </c>
      <c r="K6" s="234" t="e">
        <f>#REF!</f>
        <v>#REF!</v>
      </c>
      <c r="L6" s="234" t="e">
        <f>#REF!</f>
        <v>#REF!</v>
      </c>
      <c r="M6" s="236" t="e">
        <f t="shared" si="2"/>
        <v>#REF!</v>
      </c>
    </row>
    <row r="7" ht="15.6" customHeight="1" spans="1:13">
      <c r="A7" s="230">
        <v>1.2</v>
      </c>
      <c r="B7" s="233" t="s">
        <v>29</v>
      </c>
      <c r="C7" s="234"/>
      <c r="D7" s="234"/>
      <c r="E7" s="234">
        <f>[1]折、摊!G18</f>
        <v>0</v>
      </c>
      <c r="F7" s="234">
        <f>[1]折、摊!H18</f>
        <v>0</v>
      </c>
      <c r="G7" s="234">
        <f>[1]折、摊!I18</f>
        <v>0</v>
      </c>
      <c r="H7" s="234">
        <f>[1]折、摊!J18</f>
        <v>0</v>
      </c>
      <c r="I7" s="234">
        <f>[1]折、摊!K18</f>
        <v>0</v>
      </c>
      <c r="J7" s="234">
        <f>[1]折、摊!L18</f>
        <v>0</v>
      </c>
      <c r="K7" s="234">
        <f>[1]折、摊!M18</f>
        <v>0</v>
      </c>
      <c r="L7" s="234">
        <f>[1]折、摊!N18</f>
        <v>0</v>
      </c>
      <c r="M7" s="236">
        <f t="shared" si="2"/>
        <v>0</v>
      </c>
    </row>
    <row r="8" ht="15.6" customHeight="1" spans="1:13">
      <c r="A8" s="230">
        <v>1.3</v>
      </c>
      <c r="B8" s="233" t="s">
        <v>30</v>
      </c>
      <c r="C8" s="234" t="s">
        <v>31</v>
      </c>
      <c r="D8" s="234" t="s">
        <v>31</v>
      </c>
      <c r="E8" s="234" t="s">
        <v>31</v>
      </c>
      <c r="F8" s="234" t="s">
        <v>31</v>
      </c>
      <c r="G8" s="234" t="s">
        <v>31</v>
      </c>
      <c r="H8" s="234" t="s">
        <v>31</v>
      </c>
      <c r="I8" s="234" t="s">
        <v>31</v>
      </c>
      <c r="J8" s="234" t="s">
        <v>31</v>
      </c>
      <c r="K8" s="234" t="s">
        <v>31</v>
      </c>
      <c r="L8" s="234"/>
      <c r="M8" s="236">
        <f t="shared" si="2"/>
        <v>0</v>
      </c>
    </row>
    <row r="9" s="217" customFormat="1" ht="15.6" customHeight="1" spans="1:13">
      <c r="A9" s="235">
        <v>1.4</v>
      </c>
      <c r="B9" s="236" t="s">
        <v>32</v>
      </c>
      <c r="C9" s="234" t="s">
        <v>31</v>
      </c>
      <c r="D9" s="234" t="s">
        <v>31</v>
      </c>
      <c r="E9" s="234" t="s">
        <v>31</v>
      </c>
      <c r="F9" s="234" t="s">
        <v>31</v>
      </c>
      <c r="G9" s="234" t="s">
        <v>31</v>
      </c>
      <c r="H9" s="234" t="s">
        <v>31</v>
      </c>
      <c r="I9" s="234" t="s">
        <v>31</v>
      </c>
      <c r="J9" s="234" t="s">
        <v>31</v>
      </c>
      <c r="K9" s="234" t="s">
        <v>31</v>
      </c>
      <c r="L9" s="234" t="s">
        <v>31</v>
      </c>
      <c r="M9" s="236">
        <f t="shared" si="2"/>
        <v>0</v>
      </c>
    </row>
    <row r="10" ht="15.6" customHeight="1" spans="1:13">
      <c r="A10" s="235">
        <v>2</v>
      </c>
      <c r="B10" s="231" t="s">
        <v>33</v>
      </c>
      <c r="C10" s="232">
        <f t="shared" ref="C10:L10" si="3">SUM(C11:C16)</f>
        <v>0</v>
      </c>
      <c r="D10" s="232">
        <f t="shared" si="3"/>
        <v>0</v>
      </c>
      <c r="E10" s="232">
        <f t="shared" si="3"/>
        <v>0</v>
      </c>
      <c r="F10" s="232">
        <f t="shared" si="3"/>
        <v>0</v>
      </c>
      <c r="G10" s="232">
        <f t="shared" si="3"/>
        <v>0</v>
      </c>
      <c r="H10" s="232">
        <f t="shared" si="3"/>
        <v>0</v>
      </c>
      <c r="I10" s="232">
        <f t="shared" si="3"/>
        <v>0</v>
      </c>
      <c r="J10" s="232">
        <f t="shared" si="3"/>
        <v>0</v>
      </c>
      <c r="K10" s="232">
        <f t="shared" si="3"/>
        <v>0</v>
      </c>
      <c r="L10" s="232">
        <f t="shared" si="3"/>
        <v>0</v>
      </c>
      <c r="M10" s="236">
        <f t="shared" si="2"/>
        <v>0</v>
      </c>
    </row>
    <row r="11" ht="15" customHeight="1" spans="1:13">
      <c r="A11" s="230">
        <v>2.1</v>
      </c>
      <c r="B11" s="230" t="s">
        <v>34</v>
      </c>
      <c r="C11" s="234">
        <f>([1]计划!C6-[1]计划!C7)</f>
        <v>0</v>
      </c>
      <c r="D11" s="234">
        <f>([1]计划!D6-[1]计划!D7)</f>
        <v>0</v>
      </c>
      <c r="E11" s="234">
        <f>([1]计划!E6-[1]计划!E7)</f>
        <v>0</v>
      </c>
      <c r="F11" s="234">
        <f>([1]计划!F6-[1]计划!F7)</f>
        <v>0</v>
      </c>
      <c r="G11" s="234">
        <f>([1]计划!G6-[1]计划!G7)</f>
        <v>0</v>
      </c>
      <c r="H11" s="234">
        <f>([1]计划!H6-[1]计划!H7)</f>
        <v>0</v>
      </c>
      <c r="I11" s="234">
        <f>([1]计划!I6-[1]计划!I7)</f>
        <v>0</v>
      </c>
      <c r="J11" s="234">
        <f>([1]计划!J6-[1]计划!J7)</f>
        <v>0</v>
      </c>
      <c r="K11" s="234">
        <f>([1]计划!K6-[1]计划!K7)</f>
        <v>0</v>
      </c>
      <c r="L11" s="234">
        <f>([1]计划!L6-[1]计划!L7)</f>
        <v>0</v>
      </c>
      <c r="M11" s="236">
        <f t="shared" si="2"/>
        <v>0</v>
      </c>
    </row>
    <row r="12" s="217" customFormat="1" ht="15" customHeight="1" spans="1:13">
      <c r="A12" s="230">
        <v>2.2</v>
      </c>
      <c r="B12" s="236" t="s">
        <v>35</v>
      </c>
      <c r="C12" s="234">
        <f>[1]计划!C8</f>
        <v>0</v>
      </c>
      <c r="D12" s="234">
        <f>[1]计划!D8</f>
        <v>0</v>
      </c>
      <c r="E12" s="234">
        <f>[1]计划!E8</f>
        <v>0</v>
      </c>
      <c r="F12" s="234">
        <f>[1]计划!F8</f>
        <v>0</v>
      </c>
      <c r="G12" s="234">
        <f>[1]计划!G8</f>
        <v>0</v>
      </c>
      <c r="H12" s="234">
        <f>[1]计划!H8</f>
        <v>0</v>
      </c>
      <c r="I12" s="234">
        <f>[1]计划!I8</f>
        <v>0</v>
      </c>
      <c r="J12" s="234">
        <f>[1]计划!J8</f>
        <v>0</v>
      </c>
      <c r="K12" s="234">
        <f>[1]计划!K8</f>
        <v>0</v>
      </c>
      <c r="L12" s="234">
        <f>[1]计划!L8</f>
        <v>0</v>
      </c>
      <c r="M12" s="236">
        <f t="shared" si="2"/>
        <v>0</v>
      </c>
    </row>
    <row r="13" ht="15" customHeight="1" spans="1:13">
      <c r="A13" s="230">
        <v>2.3</v>
      </c>
      <c r="B13" s="233" t="s">
        <v>36</v>
      </c>
      <c r="C13" s="234">
        <f>[1]总成本!C22</f>
        <v>0</v>
      </c>
      <c r="D13" s="234">
        <f>[1]总成本!D22</f>
        <v>0</v>
      </c>
      <c r="E13" s="234">
        <f>[1]总成本!E22</f>
        <v>0</v>
      </c>
      <c r="F13" s="234">
        <f>[1]总成本!F22</f>
        <v>0</v>
      </c>
      <c r="G13" s="234">
        <f>[1]总成本!G22</f>
        <v>0</v>
      </c>
      <c r="H13" s="234">
        <f>[1]总成本!H22</f>
        <v>0</v>
      </c>
      <c r="I13" s="234">
        <f>[1]总成本!I22</f>
        <v>0</v>
      </c>
      <c r="J13" s="234">
        <f>[1]总成本!J22</f>
        <v>0</v>
      </c>
      <c r="K13" s="234">
        <f>[1]总成本!K22</f>
        <v>0</v>
      </c>
      <c r="L13" s="234">
        <f>[1]总成本!L22</f>
        <v>0</v>
      </c>
      <c r="M13" s="236">
        <f t="shared" si="2"/>
        <v>0</v>
      </c>
    </row>
    <row r="14" ht="15" customHeight="1" spans="1:13">
      <c r="A14" s="230">
        <v>2.4</v>
      </c>
      <c r="B14" s="233" t="s">
        <v>37</v>
      </c>
      <c r="C14" s="234">
        <f>[1]价格!D15</f>
        <v>0</v>
      </c>
      <c r="D14" s="234">
        <f>[1]价格!E15</f>
        <v>0</v>
      </c>
      <c r="E14" s="234">
        <f>[1]价格!F15</f>
        <v>0</v>
      </c>
      <c r="F14" s="234">
        <f>[1]价格!G15</f>
        <v>0</v>
      </c>
      <c r="G14" s="234">
        <f>[1]价格!H15</f>
        <v>0</v>
      </c>
      <c r="H14" s="234">
        <f>[1]价格!I15</f>
        <v>0</v>
      </c>
      <c r="I14" s="234">
        <f>[1]价格!J15</f>
        <v>0</v>
      </c>
      <c r="J14" s="234">
        <f>[1]价格!K15</f>
        <v>0</v>
      </c>
      <c r="K14" s="234">
        <f>[1]价格!L15</f>
        <v>0</v>
      </c>
      <c r="L14" s="234">
        <f>[1]价格!M15</f>
        <v>0</v>
      </c>
      <c r="M14" s="236">
        <f t="shared" si="2"/>
        <v>0</v>
      </c>
    </row>
    <row r="15" ht="15" customHeight="1" spans="1:13">
      <c r="A15" s="230">
        <v>2.5</v>
      </c>
      <c r="B15" s="233" t="s">
        <v>38</v>
      </c>
      <c r="C15" s="234">
        <f>[1]利润!C13</f>
        <v>0</v>
      </c>
      <c r="D15" s="234">
        <f>[1]利润!D13</f>
        <v>0</v>
      </c>
      <c r="E15" s="234">
        <f>[1]利润!E13</f>
        <v>0</v>
      </c>
      <c r="F15" s="234">
        <f>[1]利润!F13</f>
        <v>0</v>
      </c>
      <c r="G15" s="234">
        <f>[1]利润!G13</f>
        <v>0</v>
      </c>
      <c r="H15" s="234">
        <f>[1]利润!H13</f>
        <v>0</v>
      </c>
      <c r="I15" s="234">
        <f>[1]利润!I13</f>
        <v>0</v>
      </c>
      <c r="J15" s="234">
        <f>[1]利润!J13</f>
        <v>0</v>
      </c>
      <c r="K15" s="234">
        <f>[1]利润!K13</f>
        <v>0</v>
      </c>
      <c r="L15" s="234">
        <f>[1]利润!L13</f>
        <v>0</v>
      </c>
      <c r="M15" s="236">
        <f t="shared" si="2"/>
        <v>0</v>
      </c>
    </row>
    <row r="16" ht="15" customHeight="1" spans="1:13">
      <c r="A16" s="230">
        <v>2.6</v>
      </c>
      <c r="B16" s="233" t="s">
        <v>39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6">
        <f t="shared" si="2"/>
        <v>0</v>
      </c>
    </row>
    <row r="17" ht="14" spans="1:13">
      <c r="A17" s="230">
        <v>3</v>
      </c>
      <c r="B17" s="231" t="s">
        <v>40</v>
      </c>
      <c r="C17" s="232">
        <f t="shared" ref="C17:L17" si="4">C5-C10</f>
        <v>0</v>
      </c>
      <c r="D17" s="232">
        <f t="shared" si="4"/>
        <v>0</v>
      </c>
      <c r="E17" s="232" t="e">
        <f t="shared" si="4"/>
        <v>#REF!</v>
      </c>
      <c r="F17" s="232" t="e">
        <f t="shared" si="4"/>
        <v>#REF!</v>
      </c>
      <c r="G17" s="232" t="e">
        <f t="shared" si="4"/>
        <v>#REF!</v>
      </c>
      <c r="H17" s="232" t="e">
        <f t="shared" si="4"/>
        <v>#REF!</v>
      </c>
      <c r="I17" s="232" t="e">
        <f t="shared" si="4"/>
        <v>#REF!</v>
      </c>
      <c r="J17" s="232" t="e">
        <f t="shared" si="4"/>
        <v>#REF!</v>
      </c>
      <c r="K17" s="232" t="e">
        <f t="shared" si="4"/>
        <v>#REF!</v>
      </c>
      <c r="L17" s="232" t="e">
        <f t="shared" si="4"/>
        <v>#REF!</v>
      </c>
      <c r="M17" s="236" t="e">
        <f t="shared" si="2"/>
        <v>#REF!</v>
      </c>
    </row>
    <row r="18" ht="14" spans="1:13">
      <c r="A18" s="237">
        <v>4</v>
      </c>
      <c r="B18" s="233" t="s">
        <v>41</v>
      </c>
      <c r="C18" s="234">
        <f>C17</f>
        <v>0</v>
      </c>
      <c r="D18" s="234">
        <f t="shared" ref="D18:L18" si="5">C18+D17</f>
        <v>0</v>
      </c>
      <c r="E18" s="234" t="e">
        <f t="shared" si="5"/>
        <v>#REF!</v>
      </c>
      <c r="F18" s="234" t="e">
        <f t="shared" si="5"/>
        <v>#REF!</v>
      </c>
      <c r="G18" s="234" t="e">
        <f t="shared" si="5"/>
        <v>#REF!</v>
      </c>
      <c r="H18" s="234" t="e">
        <f t="shared" si="5"/>
        <v>#REF!</v>
      </c>
      <c r="I18" s="234" t="e">
        <f t="shared" si="5"/>
        <v>#REF!</v>
      </c>
      <c r="J18" s="234" t="e">
        <f t="shared" si="5"/>
        <v>#REF!</v>
      </c>
      <c r="K18" s="234" t="e">
        <f t="shared" si="5"/>
        <v>#REF!</v>
      </c>
      <c r="L18" s="234" t="e">
        <f t="shared" si="5"/>
        <v>#REF!</v>
      </c>
      <c r="M18" s="233" t="s">
        <v>31</v>
      </c>
    </row>
    <row r="19" s="217" customFormat="1" ht="13" spans="1:13">
      <c r="A19" s="237">
        <v>5</v>
      </c>
      <c r="B19" s="233" t="s">
        <v>42</v>
      </c>
      <c r="C19" s="234">
        <f t="shared" ref="C19:L19" si="6">C17+C15</f>
        <v>0</v>
      </c>
      <c r="D19" s="234">
        <f t="shared" si="6"/>
        <v>0</v>
      </c>
      <c r="E19" s="234" t="e">
        <f t="shared" si="6"/>
        <v>#REF!</v>
      </c>
      <c r="F19" s="234" t="e">
        <f t="shared" si="6"/>
        <v>#REF!</v>
      </c>
      <c r="G19" s="234" t="e">
        <f t="shared" si="6"/>
        <v>#REF!</v>
      </c>
      <c r="H19" s="234" t="e">
        <f t="shared" si="6"/>
        <v>#REF!</v>
      </c>
      <c r="I19" s="234" t="e">
        <f t="shared" si="6"/>
        <v>#REF!</v>
      </c>
      <c r="J19" s="234" t="e">
        <f t="shared" si="6"/>
        <v>#REF!</v>
      </c>
      <c r="K19" s="234" t="e">
        <f t="shared" si="6"/>
        <v>#REF!</v>
      </c>
      <c r="L19" s="234" t="e">
        <f t="shared" si="6"/>
        <v>#REF!</v>
      </c>
      <c r="M19" s="236" t="e">
        <f>SUM(C19:L19)</f>
        <v>#REF!</v>
      </c>
    </row>
    <row r="20" s="217" customFormat="1" ht="13" spans="1:13">
      <c r="A20" s="230">
        <v>6</v>
      </c>
      <c r="B20" s="233" t="s">
        <v>43</v>
      </c>
      <c r="C20" s="234">
        <f>C19</f>
        <v>0</v>
      </c>
      <c r="D20" s="234">
        <f t="shared" ref="D20:L20" si="7">C20+D19</f>
        <v>0</v>
      </c>
      <c r="E20" s="234" t="e">
        <f t="shared" si="7"/>
        <v>#REF!</v>
      </c>
      <c r="F20" s="234" t="e">
        <f t="shared" si="7"/>
        <v>#REF!</v>
      </c>
      <c r="G20" s="234" t="e">
        <f t="shared" si="7"/>
        <v>#REF!</v>
      </c>
      <c r="H20" s="234" t="e">
        <f t="shared" si="7"/>
        <v>#REF!</v>
      </c>
      <c r="I20" s="234" t="e">
        <f t="shared" si="7"/>
        <v>#REF!</v>
      </c>
      <c r="J20" s="234" t="e">
        <f t="shared" si="7"/>
        <v>#REF!</v>
      </c>
      <c r="K20" s="234" t="e">
        <f t="shared" si="7"/>
        <v>#REF!</v>
      </c>
      <c r="L20" s="234" t="e">
        <f t="shared" si="7"/>
        <v>#REF!</v>
      </c>
      <c r="M20" s="233" t="s">
        <v>31</v>
      </c>
    </row>
    <row r="21" ht="14" spans="1:13">
      <c r="A21" s="238"/>
      <c r="B21" s="239" t="s">
        <v>44</v>
      </c>
      <c r="C21" s="239"/>
      <c r="D21" s="239"/>
      <c r="E21" s="239" t="s">
        <v>45</v>
      </c>
      <c r="F21" s="239"/>
      <c r="G21" s="239"/>
      <c r="H21" s="239"/>
      <c r="I21" s="239" t="s">
        <v>46</v>
      </c>
      <c r="J21" s="239"/>
      <c r="K21" s="239"/>
      <c r="L21" s="239"/>
      <c r="M21" s="250"/>
    </row>
    <row r="22" ht="14" spans="1:13">
      <c r="A22" s="240"/>
      <c r="B22" s="241" t="s">
        <v>47</v>
      </c>
      <c r="C22" s="241"/>
      <c r="D22" s="242" t="s">
        <v>48</v>
      </c>
      <c r="E22" s="243" t="e">
        <f>IRR(C17:L17,0.15)</f>
        <v>#VALUE!</v>
      </c>
      <c r="F22" s="241"/>
      <c r="G22" s="241"/>
      <c r="H22" s="241"/>
      <c r="I22" s="243" t="e">
        <f>IRR(C19:L19,0.15)</f>
        <v>#VALUE!</v>
      </c>
      <c r="J22" s="241"/>
      <c r="K22" s="241"/>
      <c r="L22" s="241"/>
      <c r="M22" s="251"/>
    </row>
    <row r="23" ht="14" spans="1:18">
      <c r="A23" s="240"/>
      <c r="B23" s="241" t="s">
        <v>49</v>
      </c>
      <c r="C23" s="241"/>
      <c r="D23" s="241"/>
      <c r="E23" s="244" t="e">
        <f>NPV(0.12,C17:L17)</f>
        <v>#REF!</v>
      </c>
      <c r="F23" s="241"/>
      <c r="G23" s="241"/>
      <c r="H23" s="241"/>
      <c r="I23" s="244" t="e">
        <f>NPV(0.12,C19:L19)</f>
        <v>#REF!</v>
      </c>
      <c r="J23" s="241"/>
      <c r="K23" s="241"/>
      <c r="L23" s="241"/>
      <c r="M23" s="251"/>
      <c r="R23" s="218">
        <f>30.9-29.82</f>
        <v>1.08</v>
      </c>
    </row>
    <row r="24" ht="14" spans="1:13">
      <c r="A24" s="245"/>
      <c r="B24" s="246" t="s">
        <v>50</v>
      </c>
      <c r="C24" s="246"/>
      <c r="D24" s="246"/>
      <c r="E24" s="247" t="e">
        <f>6-H18/I17</f>
        <v>#REF!</v>
      </c>
      <c r="F24" s="246"/>
      <c r="G24" s="246"/>
      <c r="H24" s="246"/>
      <c r="I24" s="247" t="e">
        <f>6-H20/I19</f>
        <v>#REF!</v>
      </c>
      <c r="J24" s="246"/>
      <c r="K24" s="246"/>
      <c r="L24" s="246"/>
      <c r="M24" s="25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3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.5"/>
  <cols>
    <col min="1" max="1" width="5.12727272727273" style="186" customWidth="1"/>
    <col min="2" max="2" width="32.6272727272727" style="186" customWidth="1"/>
    <col min="3" max="3" width="15.7272727272727" style="186" customWidth="1"/>
    <col min="4" max="4" width="14.5" style="187" customWidth="1"/>
    <col min="5" max="6" width="14.7545454545455" style="187" customWidth="1"/>
    <col min="7" max="7" width="16.5" style="187" customWidth="1"/>
    <col min="8" max="8" width="15.5" style="186" customWidth="1"/>
    <col min="9" max="34" width="9" style="186"/>
    <col min="35" max="35" width="4.37272727272727" style="186" customWidth="1"/>
    <col min="36" max="36" width="13.8727272727273" style="186" customWidth="1"/>
    <col min="37" max="16384" width="9" style="186"/>
  </cols>
  <sheetData>
    <row r="1" ht="27" customHeight="1" spans="1:8">
      <c r="A1" s="188" t="s">
        <v>51</v>
      </c>
      <c r="B1" s="188"/>
      <c r="C1" s="188"/>
      <c r="D1" s="188"/>
      <c r="E1" s="188"/>
      <c r="F1" s="188"/>
      <c r="G1" s="188"/>
      <c r="H1" s="92" t="s">
        <v>52</v>
      </c>
    </row>
    <row r="2" ht="15.75" customHeight="1" spans="1:37">
      <c r="A2" s="189" t="s">
        <v>21</v>
      </c>
      <c r="B2" s="190" t="s">
        <v>1</v>
      </c>
      <c r="C2" s="190" t="s">
        <v>53</v>
      </c>
      <c r="D2" s="190" t="s">
        <v>54</v>
      </c>
      <c r="E2" s="190" t="s">
        <v>55</v>
      </c>
      <c r="F2" s="190" t="s">
        <v>56</v>
      </c>
      <c r="G2" s="191" t="s">
        <v>57</v>
      </c>
      <c r="AK2" s="186" t="s">
        <v>58</v>
      </c>
    </row>
    <row r="3" s="153" customFormat="1" ht="15.75" customHeight="1" spans="1:37">
      <c r="A3" s="192"/>
      <c r="B3" s="165" t="s">
        <v>3</v>
      </c>
      <c r="C3" s="193">
        <f>'2024年'!F6</f>
        <v>4500</v>
      </c>
      <c r="D3" s="193">
        <f>'2025年'!F6</f>
        <v>6000</v>
      </c>
      <c r="E3" s="193">
        <f>'2026年'!F6</f>
        <v>7800</v>
      </c>
      <c r="F3" s="193">
        <f>'2027年'!F6</f>
        <v>9000</v>
      </c>
      <c r="G3" s="193">
        <f>SUM(D3:F3)</f>
        <v>22800</v>
      </c>
      <c r="H3" s="168"/>
      <c r="AI3" s="164" t="s">
        <v>21</v>
      </c>
      <c r="AJ3" s="165" t="s">
        <v>3</v>
      </c>
      <c r="AK3" s="153" t="s">
        <v>59</v>
      </c>
    </row>
    <row r="4" s="153" customFormat="1" ht="15.75" customHeight="1" spans="1:37">
      <c r="A4" s="155">
        <v>1</v>
      </c>
      <c r="B4" s="165" t="s">
        <v>60</v>
      </c>
      <c r="C4" s="193">
        <f>'2024年'!F7</f>
        <v>578850</v>
      </c>
      <c r="D4" s="193">
        <f>'2025年'!F7</f>
        <v>771800</v>
      </c>
      <c r="E4" s="193">
        <f>'2026年'!F7</f>
        <v>1003340</v>
      </c>
      <c r="F4" s="193">
        <f>'2027年'!F7</f>
        <v>1157700</v>
      </c>
      <c r="G4" s="193">
        <f>SUM(D4:F4)</f>
        <v>2932840</v>
      </c>
      <c r="H4" s="168"/>
      <c r="AI4" s="164" t="s">
        <v>61</v>
      </c>
      <c r="AJ4" s="165" t="s">
        <v>60</v>
      </c>
      <c r="AK4" s="153" t="s">
        <v>59</v>
      </c>
    </row>
    <row r="5" s="153" customFormat="1" ht="15.75" customHeight="1" spans="1:37">
      <c r="A5" s="155">
        <v>2</v>
      </c>
      <c r="B5" s="155" t="s">
        <v>62</v>
      </c>
      <c r="C5" s="193">
        <f>'2024年'!C8</f>
        <v>0</v>
      </c>
      <c r="D5" s="193">
        <f>'2025年'!F8</f>
        <v>7718.00000000001</v>
      </c>
      <c r="E5" s="193">
        <f>'2026年'!F8</f>
        <v>19966.4659999999</v>
      </c>
      <c r="F5" s="193">
        <f>'2027年'!F8</f>
        <v>34384.8477</v>
      </c>
      <c r="G5" s="193">
        <f t="shared" ref="G3:G10" si="0">SUM(D5:F5)</f>
        <v>62069.3136999999</v>
      </c>
      <c r="H5" s="168"/>
      <c r="AI5" s="164" t="s">
        <v>63</v>
      </c>
      <c r="AJ5" s="155" t="s">
        <v>64</v>
      </c>
      <c r="AK5" s="153" t="s">
        <v>59</v>
      </c>
    </row>
    <row r="6" s="153" customFormat="1" ht="15.75" customHeight="1" spans="1:37">
      <c r="A6" s="155">
        <v>3</v>
      </c>
      <c r="B6" s="165" t="s">
        <v>65</v>
      </c>
      <c r="C6" s="194">
        <f>'2024年'!F9</f>
        <v>578850</v>
      </c>
      <c r="D6" s="194">
        <f>D4-D5</f>
        <v>764082</v>
      </c>
      <c r="E6" s="194">
        <f>'2026年'!F9</f>
        <v>983373.534</v>
      </c>
      <c r="F6" s="193">
        <f>'2027年'!F9</f>
        <v>1123315.1523</v>
      </c>
      <c r="G6" s="193">
        <f t="shared" si="0"/>
        <v>2870770.6863</v>
      </c>
      <c r="H6" s="168"/>
      <c r="AI6" s="164" t="s">
        <v>66</v>
      </c>
      <c r="AJ6" s="165" t="s">
        <v>65</v>
      </c>
      <c r="AK6" s="153" t="s">
        <v>67</v>
      </c>
    </row>
    <row r="7" s="153" customFormat="1" ht="15.75" customHeight="1" spans="1:37">
      <c r="A7" s="155">
        <v>4</v>
      </c>
      <c r="B7" s="164" t="s">
        <v>68</v>
      </c>
      <c r="C7" s="194">
        <f>'2024年'!F10</f>
        <v>443325</v>
      </c>
      <c r="D7" s="193">
        <f>'2025年'!F10</f>
        <v>573367</v>
      </c>
      <c r="E7" s="194">
        <f>'2026年'!F10</f>
        <v>723015.787</v>
      </c>
      <c r="F7" s="193">
        <f>'2027年'!F10</f>
        <v>809221.51545</v>
      </c>
      <c r="G7" s="193">
        <f t="shared" si="0"/>
        <v>2105604.30245</v>
      </c>
      <c r="H7" s="168"/>
      <c r="AI7" s="164" t="s">
        <v>69</v>
      </c>
      <c r="AJ7" s="164" t="s">
        <v>70</v>
      </c>
      <c r="AK7" s="153" t="s">
        <v>71</v>
      </c>
    </row>
    <row r="8" s="153" customFormat="1" ht="15.75" customHeight="1" spans="1:36">
      <c r="A8" s="155">
        <v>5</v>
      </c>
      <c r="B8" s="164" t="s">
        <v>72</v>
      </c>
      <c r="C8" s="194">
        <f>'2024年'!F11</f>
        <v>24948.435</v>
      </c>
      <c r="D8" s="193">
        <f>'2025年'!F11</f>
        <v>33264.58</v>
      </c>
      <c r="E8" s="194">
        <f>'2026年'!F11</f>
        <v>43243.954</v>
      </c>
      <c r="F8" s="193">
        <f>'2027年'!F11</f>
        <v>49896.87</v>
      </c>
      <c r="G8" s="193">
        <f t="shared" si="0"/>
        <v>126405.404</v>
      </c>
      <c r="H8" s="168"/>
      <c r="AI8" s="164" t="s">
        <v>73</v>
      </c>
      <c r="AJ8" s="164" t="s">
        <v>72</v>
      </c>
    </row>
    <row r="9" s="153" customFormat="1" ht="15.75" customHeight="1" spans="1:36">
      <c r="A9" s="155">
        <v>6</v>
      </c>
      <c r="B9" s="164" t="s">
        <v>74</v>
      </c>
      <c r="C9" s="194">
        <f>'2024年'!F12</f>
        <v>12561.045</v>
      </c>
      <c r="D9" s="193">
        <f>'2025年'!F12</f>
        <v>16748.06</v>
      </c>
      <c r="E9" s="194">
        <f>'2026年'!F12</f>
        <v>21772.478</v>
      </c>
      <c r="F9" s="193">
        <f>'2027年'!F12</f>
        <v>25122.09</v>
      </c>
      <c r="G9" s="193">
        <f t="shared" si="0"/>
        <v>63642.628</v>
      </c>
      <c r="H9" s="168"/>
      <c r="AI9" s="164" t="s">
        <v>75</v>
      </c>
      <c r="AJ9" s="164" t="s">
        <v>74</v>
      </c>
    </row>
    <row r="10" s="153" customFormat="1" ht="15.75" customHeight="1" spans="1:37">
      <c r="A10" s="155">
        <v>7</v>
      </c>
      <c r="B10" s="164" t="s">
        <v>76</v>
      </c>
      <c r="C10" s="194">
        <f>'2024年'!F13</f>
        <v>25469.4</v>
      </c>
      <c r="D10" s="193">
        <f>'2025年'!F13</f>
        <v>33959.2</v>
      </c>
      <c r="E10" s="194">
        <f>'2026年'!F13</f>
        <v>44146.96</v>
      </c>
      <c r="F10" s="193">
        <f>'2027年'!F13</f>
        <v>50938.8</v>
      </c>
      <c r="G10" s="193">
        <f t="shared" si="0"/>
        <v>129044.96</v>
      </c>
      <c r="H10" s="168"/>
      <c r="AI10" s="164" t="s">
        <v>77</v>
      </c>
      <c r="AJ10" s="164" t="s">
        <v>76</v>
      </c>
      <c r="AK10" s="153" t="s">
        <v>59</v>
      </c>
    </row>
    <row r="11" s="153" customFormat="1" ht="15.75" customHeight="1" spans="1:36">
      <c r="A11" s="155">
        <v>8</v>
      </c>
      <c r="B11" s="195" t="s">
        <v>78</v>
      </c>
      <c r="C11" s="196">
        <f>SUM(C8:C10)</f>
        <v>62978.88</v>
      </c>
      <c r="D11" s="196">
        <f>SUM(D8:D10)</f>
        <v>83971.84</v>
      </c>
      <c r="E11" s="196">
        <f>SUM(E8:E10)</f>
        <v>109163.392</v>
      </c>
      <c r="F11" s="196">
        <f>SUM(F8:F10)</f>
        <v>125957.76</v>
      </c>
      <c r="G11" s="196">
        <f>SUM(G8:G10)</f>
        <v>319092.992</v>
      </c>
      <c r="H11" s="168"/>
      <c r="AI11" s="164" t="s">
        <v>79</v>
      </c>
      <c r="AJ11" s="169" t="s">
        <v>78</v>
      </c>
    </row>
    <row r="12" s="153" customFormat="1" ht="15.75" customHeight="1" spans="1:36">
      <c r="A12" s="155">
        <v>9</v>
      </c>
      <c r="B12" s="197" t="s">
        <v>80</v>
      </c>
      <c r="C12" s="194">
        <f>'2024年'!F15</f>
        <v>72546.12</v>
      </c>
      <c r="D12" s="193">
        <f>'2025年'!F15</f>
        <v>106743.16</v>
      </c>
      <c r="E12" s="194">
        <f>'2026年'!F15</f>
        <v>151194.355</v>
      </c>
      <c r="F12" s="193">
        <f>'2027年'!F15</f>
        <v>188135.87685</v>
      </c>
      <c r="G12" s="193">
        <f>SUM(D12:F12)</f>
        <v>446073.39185</v>
      </c>
      <c r="H12" s="168"/>
      <c r="J12" s="186"/>
      <c r="K12" s="186"/>
      <c r="L12" s="186"/>
      <c r="M12" s="186"/>
      <c r="N12" s="186"/>
      <c r="O12" s="186"/>
      <c r="AI12" s="164" t="s">
        <v>81</v>
      </c>
      <c r="AJ12" s="169" t="s">
        <v>80</v>
      </c>
    </row>
    <row r="13" ht="15.75" customHeight="1" spans="1:36">
      <c r="A13" s="155">
        <v>10</v>
      </c>
      <c r="B13" s="198" t="s">
        <v>82</v>
      </c>
      <c r="C13" s="199">
        <f>+C12/C6</f>
        <v>0.125328012438456</v>
      </c>
      <c r="D13" s="199">
        <f>+D12/D6</f>
        <v>0.139701183904345</v>
      </c>
      <c r="E13" s="199">
        <f>+E12/E6</f>
        <v>0.153750685545702</v>
      </c>
      <c r="F13" s="199">
        <f>+F12/F6</f>
        <v>0.167482719755707</v>
      </c>
      <c r="G13" s="199">
        <f>+G12/G6</f>
        <v>0.155384543244352</v>
      </c>
      <c r="H13" s="168"/>
      <c r="AI13" s="198" t="s">
        <v>83</v>
      </c>
      <c r="AJ13" s="198" t="s">
        <v>82</v>
      </c>
    </row>
    <row r="14" ht="15.75" customHeight="1" spans="1:36">
      <c r="A14" s="155">
        <v>11</v>
      </c>
      <c r="B14" s="198" t="s">
        <v>84</v>
      </c>
      <c r="C14" s="194">
        <f>'2024年'!F17</f>
        <v>23732.85</v>
      </c>
      <c r="D14" s="193">
        <f>'2025年'!F17</f>
        <v>31643.8</v>
      </c>
      <c r="E14" s="194">
        <f>'2026年'!F17</f>
        <v>41136.94</v>
      </c>
      <c r="F14" s="193">
        <f>'2027年'!F17</f>
        <v>47465.7</v>
      </c>
      <c r="G14" s="193">
        <f>SUM(D14:F14)</f>
        <v>120246.44</v>
      </c>
      <c r="H14" s="168"/>
      <c r="AI14" s="198" t="s">
        <v>85</v>
      </c>
      <c r="AJ14" s="198" t="s">
        <v>84</v>
      </c>
    </row>
    <row r="15" ht="15.75" customHeight="1" spans="1:36">
      <c r="A15" s="155"/>
      <c r="B15" s="172" t="s">
        <v>86</v>
      </c>
      <c r="C15" s="193"/>
      <c r="D15" s="193"/>
      <c r="E15" s="194"/>
      <c r="F15" s="193"/>
      <c r="G15" s="193">
        <f>SUM(D15:F15)</f>
        <v>0</v>
      </c>
      <c r="H15" s="174" t="s">
        <v>87</v>
      </c>
      <c r="AI15" s="198"/>
      <c r="AJ15" s="198"/>
    </row>
    <row r="16" ht="15.75" customHeight="1" spans="1:37">
      <c r="A16" s="155">
        <v>12</v>
      </c>
      <c r="B16" s="198" t="s">
        <v>88</v>
      </c>
      <c r="C16" s="194">
        <f>'2024年'!F19</f>
        <v>4051.95</v>
      </c>
      <c r="D16" s="200">
        <f>'2025年'!F19</f>
        <v>5402.6</v>
      </c>
      <c r="E16" s="200">
        <f>'2026年'!F19</f>
        <v>7023.38</v>
      </c>
      <c r="F16" s="193">
        <f>'2027年'!F19</f>
        <v>8103.9</v>
      </c>
      <c r="G16" s="193">
        <f>SUM(D16:F16)</f>
        <v>20529.88</v>
      </c>
      <c r="H16" s="168"/>
      <c r="P16" s="168"/>
      <c r="AI16" s="198" t="s">
        <v>89</v>
      </c>
      <c r="AJ16" s="198" t="s">
        <v>88</v>
      </c>
      <c r="AK16" s="186" t="s">
        <v>59</v>
      </c>
    </row>
    <row r="17" ht="15.75" customHeight="1" spans="1:36">
      <c r="A17" s="155">
        <v>13</v>
      </c>
      <c r="B17" s="198" t="s">
        <v>90</v>
      </c>
      <c r="C17" s="194">
        <f>'2024年'!F20</f>
        <v>19680.9</v>
      </c>
      <c r="D17" s="200">
        <f>'2025年'!F20</f>
        <v>26241.2</v>
      </c>
      <c r="E17" s="200">
        <f>'2026年'!F20</f>
        <v>34113.56</v>
      </c>
      <c r="F17" s="193">
        <f>'2027年'!F20</f>
        <v>39361.8</v>
      </c>
      <c r="G17" s="193">
        <f>SUM(D17:F17)</f>
        <v>99716.56</v>
      </c>
      <c r="H17" s="168"/>
      <c r="AI17" s="198" t="s">
        <v>91</v>
      </c>
      <c r="AJ17" s="198" t="s">
        <v>90</v>
      </c>
    </row>
    <row r="18" s="152" customFormat="1" ht="15.75" customHeight="1" spans="1:36">
      <c r="A18" s="155">
        <v>14</v>
      </c>
      <c r="B18" s="176" t="s">
        <v>92</v>
      </c>
      <c r="C18" s="193"/>
      <c r="D18" s="201">
        <f>'2025年'!F21</f>
        <v>1000</v>
      </c>
      <c r="E18" s="201">
        <f>'2026年'!F21</f>
        <v>1000</v>
      </c>
      <c r="F18" s="201">
        <f>'2027年'!F21</f>
        <v>1000</v>
      </c>
      <c r="G18" s="193">
        <f>SUM(D18:F18)</f>
        <v>3000</v>
      </c>
      <c r="H18" s="168"/>
      <c r="AI18" s="176"/>
      <c r="AJ18" s="176"/>
    </row>
    <row r="19" s="153" customFormat="1" ht="15.75" customHeight="1" spans="1:36">
      <c r="A19" s="155">
        <v>15</v>
      </c>
      <c r="B19" s="164" t="s">
        <v>93</v>
      </c>
      <c r="C19" s="194">
        <f>'2024年'!F22</f>
        <v>17365.5</v>
      </c>
      <c r="D19" s="200">
        <f>'2025年'!F22</f>
        <v>23154</v>
      </c>
      <c r="E19" s="200">
        <f>'2026年'!F22</f>
        <v>30100.2</v>
      </c>
      <c r="F19" s="193">
        <f>'2027年'!F22</f>
        <v>34731</v>
      </c>
      <c r="G19" s="193">
        <f>SUM(D19:F19)</f>
        <v>87985.2</v>
      </c>
      <c r="H19" s="168"/>
      <c r="AI19" s="164" t="s">
        <v>94</v>
      </c>
      <c r="AJ19" s="164" t="s">
        <v>93</v>
      </c>
    </row>
    <row r="20" s="184" customFormat="1" ht="15.75" customHeight="1" spans="1:36">
      <c r="A20" s="155">
        <v>16</v>
      </c>
      <c r="B20" s="202" t="s">
        <v>95</v>
      </c>
      <c r="C20" s="196">
        <f>+C19+C18+C17+C16+C14</f>
        <v>64831.2</v>
      </c>
      <c r="D20" s="196">
        <f>+D19+D18+D17+D16+D14</f>
        <v>87441.6</v>
      </c>
      <c r="E20" s="196">
        <f>+E19+E18+E17+E16+E14</f>
        <v>113374.08</v>
      </c>
      <c r="F20" s="196">
        <f>+F19+F18+F17+F16+F14</f>
        <v>130662.4</v>
      </c>
      <c r="G20" s="196">
        <f>+G19+G18+G17+G16+G14</f>
        <v>331478.08</v>
      </c>
      <c r="H20" s="168"/>
      <c r="AI20" s="214" t="s">
        <v>96</v>
      </c>
      <c r="AJ20" s="215" t="s">
        <v>95</v>
      </c>
    </row>
    <row r="21" ht="15.75" customHeight="1" spans="1:36">
      <c r="A21" s="155">
        <v>17</v>
      </c>
      <c r="B21" s="198" t="s">
        <v>97</v>
      </c>
      <c r="C21" s="194">
        <f>'2024年'!F24</f>
        <v>6714.91999999999</v>
      </c>
      <c r="D21" s="203">
        <f>'2025年'!F24</f>
        <v>19301.56</v>
      </c>
      <c r="E21" s="203">
        <f>'2026年'!F24</f>
        <v>37820.275</v>
      </c>
      <c r="F21" s="193">
        <f>'2027年'!F24</f>
        <v>57473.47685</v>
      </c>
      <c r="G21" s="193">
        <f>SUM(D21:F21)</f>
        <v>114595.31185</v>
      </c>
      <c r="H21" s="204" t="s">
        <v>52</v>
      </c>
      <c r="AI21" s="198" t="s">
        <v>98</v>
      </c>
      <c r="AJ21" s="198" t="s">
        <v>97</v>
      </c>
    </row>
    <row r="22" ht="15.75" customHeight="1" spans="1:36">
      <c r="A22" s="155">
        <v>18</v>
      </c>
      <c r="B22" s="198" t="s">
        <v>38</v>
      </c>
      <c r="C22" s="194">
        <f>'2024年'!F25</f>
        <v>10936.7466666667</v>
      </c>
      <c r="D22" s="203">
        <f>'2025年'!F25</f>
        <v>15048.1066666667</v>
      </c>
      <c r="E22" s="203">
        <f>'2026年'!F25</f>
        <v>20122.7746666667</v>
      </c>
      <c r="F22" s="193">
        <f>'2027年'!F25</f>
        <v>23810.9463666667</v>
      </c>
      <c r="G22" s="193">
        <f>SUM(D22:F22)</f>
        <v>58981.8277</v>
      </c>
      <c r="H22" s="168"/>
      <c r="AI22" s="198" t="s">
        <v>99</v>
      </c>
      <c r="AJ22" s="198" t="s">
        <v>38</v>
      </c>
    </row>
    <row r="23" ht="15.75" customHeight="1" spans="1:36">
      <c r="A23" s="155">
        <v>19</v>
      </c>
      <c r="B23" s="198" t="s">
        <v>100</v>
      </c>
      <c r="C23" s="194">
        <f>'2024年'!F26</f>
        <v>-4221.82666666668</v>
      </c>
      <c r="D23" s="203">
        <f>'2025年'!F26</f>
        <v>4253.45333333336</v>
      </c>
      <c r="E23" s="203">
        <f>'2026年'!F26</f>
        <v>17697.5003333334</v>
      </c>
      <c r="F23" s="193">
        <f>'2027年'!F26</f>
        <v>33662.5304833334</v>
      </c>
      <c r="G23" s="193">
        <f>SUM(D23:F23)</f>
        <v>55613.4841500001</v>
      </c>
      <c r="H23" s="204" t="s">
        <v>52</v>
      </c>
      <c r="AI23" s="198" t="s">
        <v>101</v>
      </c>
      <c r="AJ23" s="198" t="s">
        <v>100</v>
      </c>
    </row>
    <row r="24" ht="15.75" customHeight="1" spans="1:36">
      <c r="A24" s="155">
        <v>20</v>
      </c>
      <c r="B24" s="198" t="s">
        <v>102</v>
      </c>
      <c r="C24" s="205">
        <f>C23/C4</f>
        <v>-0.00729347269010396</v>
      </c>
      <c r="D24" s="205">
        <f>D23/D4</f>
        <v>0.00551108231838995</v>
      </c>
      <c r="E24" s="205">
        <f>E23/E4</f>
        <v>0.0176385874512462</v>
      </c>
      <c r="F24" s="205">
        <f>F23/F4</f>
        <v>0.029077075652875</v>
      </c>
      <c r="G24" s="205">
        <f>G23/G4</f>
        <v>0.0189623314432428</v>
      </c>
      <c r="H24" s="204" t="s">
        <v>52</v>
      </c>
      <c r="AI24" s="216" t="s">
        <v>103</v>
      </c>
      <c r="AJ24" s="216" t="s">
        <v>104</v>
      </c>
    </row>
    <row r="25" s="185" customFormat="1" ht="15.75" customHeight="1" spans="4:8">
      <c r="D25" s="206"/>
      <c r="E25" s="206"/>
      <c r="F25" s="206"/>
      <c r="G25" s="206"/>
      <c r="H25" s="207"/>
    </row>
    <row r="26" s="185" customFormat="1" ht="15.75" customHeight="1" spans="1:35">
      <c r="A26" s="185" t="s">
        <v>105</v>
      </c>
      <c r="D26" s="208"/>
      <c r="E26" s="208"/>
      <c r="F26" s="208"/>
      <c r="G26" s="208"/>
      <c r="H26" s="207"/>
      <c r="AI26" s="185" t="s">
        <v>105</v>
      </c>
    </row>
    <row r="27" ht="15.75" customHeight="1" spans="1:37">
      <c r="A27" s="198" t="s">
        <v>21</v>
      </c>
      <c r="B27" s="209" t="s">
        <v>1</v>
      </c>
      <c r="C27" s="190" t="s">
        <v>53</v>
      </c>
      <c r="D27" s="190" t="s">
        <v>106</v>
      </c>
      <c r="E27" s="190" t="s">
        <v>55</v>
      </c>
      <c r="F27" s="190" t="s">
        <v>56</v>
      </c>
      <c r="G27" s="191" t="s">
        <v>57</v>
      </c>
      <c r="AK27" s="186" t="s">
        <v>58</v>
      </c>
    </row>
    <row r="28" s="153" customFormat="1" ht="15.75" customHeight="1" spans="1:36">
      <c r="A28" s="164" t="s">
        <v>107</v>
      </c>
      <c r="B28" s="169" t="s">
        <v>108</v>
      </c>
      <c r="C28" s="169"/>
      <c r="D28" s="175"/>
      <c r="E28" s="175"/>
      <c r="F28" s="175"/>
      <c r="G28" s="175"/>
      <c r="H28" s="168"/>
      <c r="AI28" s="164" t="s">
        <v>109</v>
      </c>
      <c r="AJ28" s="169" t="s">
        <v>108</v>
      </c>
    </row>
    <row r="29" s="153" customFormat="1" ht="15.75" customHeight="1" spans="1:36">
      <c r="A29" s="164" t="s">
        <v>61</v>
      </c>
      <c r="B29" s="164" t="s">
        <v>110</v>
      </c>
      <c r="C29" s="167">
        <f>+C6/C3</f>
        <v>128.633333333333</v>
      </c>
      <c r="D29" s="167">
        <f>+D6/D3</f>
        <v>127.347</v>
      </c>
      <c r="E29" s="167">
        <f>+E6/E3</f>
        <v>126.07353</v>
      </c>
      <c r="F29" s="167">
        <f>+F6/F3</f>
        <v>124.8127947</v>
      </c>
      <c r="G29" s="167">
        <f>+G6/G3</f>
        <v>125.910995013158</v>
      </c>
      <c r="H29" s="168"/>
      <c r="AI29" s="164" t="s">
        <v>61</v>
      </c>
      <c r="AJ29" s="164" t="s">
        <v>110</v>
      </c>
    </row>
    <row r="30" s="153" customFormat="1" ht="15.75" customHeight="1" spans="1:36">
      <c r="A30" s="164" t="s">
        <v>63</v>
      </c>
      <c r="B30" s="164" t="s">
        <v>111</v>
      </c>
      <c r="C30" s="167">
        <f>+C7/C3</f>
        <v>98.5166666666667</v>
      </c>
      <c r="D30" s="167">
        <f>+D7/D3</f>
        <v>95.5611666666667</v>
      </c>
      <c r="E30" s="167">
        <f>+E7/E3</f>
        <v>92.6943316666667</v>
      </c>
      <c r="F30" s="167">
        <f>+F7/F3</f>
        <v>89.9135017166667</v>
      </c>
      <c r="G30" s="167">
        <f>+G7/G3</f>
        <v>92.3510658969298</v>
      </c>
      <c r="H30" s="168"/>
      <c r="AI30" s="164" t="s">
        <v>63</v>
      </c>
      <c r="AJ30" s="164" t="s">
        <v>111</v>
      </c>
    </row>
    <row r="31" s="153" customFormat="1" ht="15.75" customHeight="1" spans="1:36">
      <c r="A31" s="164" t="s">
        <v>112</v>
      </c>
      <c r="B31" s="164" t="s">
        <v>113</v>
      </c>
      <c r="C31" s="175">
        <f>C29-C30</f>
        <v>30.1166666666667</v>
      </c>
      <c r="D31" s="175">
        <f>D29-D30</f>
        <v>31.7858333333333</v>
      </c>
      <c r="E31" s="175">
        <f>E29-E30</f>
        <v>33.3791983333333</v>
      </c>
      <c r="F31" s="175">
        <f>F29-F30</f>
        <v>34.8992929833334</v>
      </c>
      <c r="G31" s="175">
        <f>G29-G30</f>
        <v>33.5599291162281</v>
      </c>
      <c r="H31" s="168"/>
      <c r="AI31" s="164" t="s">
        <v>112</v>
      </c>
      <c r="AJ31" s="164" t="s">
        <v>113</v>
      </c>
    </row>
    <row r="32" s="153" customFormat="1" ht="15.75" customHeight="1" spans="1:36">
      <c r="A32" s="164">
        <v>3.1</v>
      </c>
      <c r="B32" s="164" t="s">
        <v>114</v>
      </c>
      <c r="C32" s="170">
        <f>C31/C29</f>
        <v>0.234128012438456</v>
      </c>
      <c r="D32" s="170">
        <f>D31/D29</f>
        <v>0.249600173803335</v>
      </c>
      <c r="E32" s="170">
        <f>E31/E29</f>
        <v>0.264759766251753</v>
      </c>
      <c r="F32" s="170">
        <f>F31/F29</f>
        <v>0.279613104307273</v>
      </c>
      <c r="G32" s="170">
        <f>G31/G29</f>
        <v>0.266536922472267</v>
      </c>
      <c r="H32" s="168"/>
      <c r="AI32" s="164"/>
      <c r="AJ32" s="164"/>
    </row>
    <row r="33" s="153" customFormat="1" ht="15.75" customHeight="1" spans="1:36">
      <c r="A33" s="164" t="s">
        <v>109</v>
      </c>
      <c r="B33" s="169" t="s">
        <v>10</v>
      </c>
      <c r="C33" s="175"/>
      <c r="D33" s="175"/>
      <c r="E33" s="175"/>
      <c r="F33" s="175"/>
      <c r="G33" s="175"/>
      <c r="H33" s="168"/>
      <c r="AI33" s="164" t="s">
        <v>115</v>
      </c>
      <c r="AJ33" s="169" t="s">
        <v>10</v>
      </c>
    </row>
    <row r="34" s="153" customFormat="1" ht="15.75" customHeight="1" spans="1:36">
      <c r="A34" s="164" t="s">
        <v>61</v>
      </c>
      <c r="B34" s="176" t="s">
        <v>116</v>
      </c>
      <c r="C34" s="167">
        <f>+C8/C3</f>
        <v>5.54409666666667</v>
      </c>
      <c r="D34" s="167">
        <f>+D8/D3</f>
        <v>5.54409666666667</v>
      </c>
      <c r="E34" s="167">
        <f>+E8/E3</f>
        <v>5.54409666666667</v>
      </c>
      <c r="F34" s="167">
        <f>+F8/F3</f>
        <v>5.54409666666667</v>
      </c>
      <c r="G34" s="167">
        <f>+G8/G3</f>
        <v>5.54409666666667</v>
      </c>
      <c r="H34" s="168"/>
      <c r="AI34" s="164" t="s">
        <v>112</v>
      </c>
      <c r="AJ34" s="164" t="s">
        <v>116</v>
      </c>
    </row>
    <row r="35" s="153" customFormat="1" ht="15.75" customHeight="1" spans="1:36">
      <c r="A35" s="164" t="s">
        <v>63</v>
      </c>
      <c r="B35" s="176" t="s">
        <v>117</v>
      </c>
      <c r="C35" s="167">
        <f>+C9/C3</f>
        <v>2.79134333333333</v>
      </c>
      <c r="D35" s="167">
        <f>+D9/D3</f>
        <v>2.79134333333333</v>
      </c>
      <c r="E35" s="167">
        <f>+E9/E3</f>
        <v>2.79134333333333</v>
      </c>
      <c r="F35" s="167">
        <f>+F9/F3</f>
        <v>2.79134333333333</v>
      </c>
      <c r="G35" s="167">
        <f>+G9/G3</f>
        <v>2.79134333333333</v>
      </c>
      <c r="H35" s="168"/>
      <c r="AI35" s="164" t="s">
        <v>66</v>
      </c>
      <c r="AJ35" s="164" t="s">
        <v>117</v>
      </c>
    </row>
    <row r="36" s="153" customFormat="1" ht="15.75" customHeight="1" spans="1:36">
      <c r="A36" s="164" t="s">
        <v>112</v>
      </c>
      <c r="B36" s="176" t="s">
        <v>118</v>
      </c>
      <c r="C36" s="167">
        <f>+C10/C3</f>
        <v>5.65986666666667</v>
      </c>
      <c r="D36" s="167">
        <f>+D10/D3</f>
        <v>5.65986666666667</v>
      </c>
      <c r="E36" s="167">
        <f>+E10/E3</f>
        <v>5.65986666666667</v>
      </c>
      <c r="F36" s="167">
        <f>+F10/F3</f>
        <v>5.65986666666667</v>
      </c>
      <c r="G36" s="167">
        <f>+G10/G3</f>
        <v>5.65986666666667</v>
      </c>
      <c r="H36" s="168"/>
      <c r="AI36" s="164" t="s">
        <v>73</v>
      </c>
      <c r="AJ36" s="164" t="s">
        <v>118</v>
      </c>
    </row>
    <row r="37" s="153" customFormat="1" ht="15.75" customHeight="1" spans="1:36">
      <c r="A37" s="164" t="s">
        <v>119</v>
      </c>
      <c r="B37" s="197" t="s">
        <v>120</v>
      </c>
      <c r="C37" s="167"/>
      <c r="D37" s="167"/>
      <c r="E37" s="167"/>
      <c r="F37" s="167"/>
      <c r="G37" s="167"/>
      <c r="H37" s="168"/>
      <c r="AI37" s="164" t="s">
        <v>119</v>
      </c>
      <c r="AJ37" s="169" t="s">
        <v>120</v>
      </c>
    </row>
    <row r="38" s="153" customFormat="1" spans="1:36">
      <c r="A38" s="164" t="s">
        <v>61</v>
      </c>
      <c r="B38" s="176" t="s">
        <v>121</v>
      </c>
      <c r="C38" s="167">
        <f>+C12/C3</f>
        <v>16.12136</v>
      </c>
      <c r="D38" s="167">
        <f>+D12/D3</f>
        <v>17.7905266666667</v>
      </c>
      <c r="E38" s="167">
        <f>+E12/E3</f>
        <v>19.3838916666667</v>
      </c>
      <c r="F38" s="167">
        <f>+F12/F3</f>
        <v>20.9039863166667</v>
      </c>
      <c r="G38" s="167">
        <f>+G12/G3</f>
        <v>19.5646224495614</v>
      </c>
      <c r="H38" s="168"/>
      <c r="AI38" s="164" t="s">
        <v>61</v>
      </c>
      <c r="AJ38" s="164" t="s">
        <v>122</v>
      </c>
    </row>
    <row r="39" s="153" customFormat="1" ht="15.75" customHeight="1" spans="1:36">
      <c r="A39" s="164" t="s">
        <v>63</v>
      </c>
      <c r="B39" s="176" t="s">
        <v>123</v>
      </c>
      <c r="C39" s="193">
        <f>+C20/C38</f>
        <v>4021.44732206216</v>
      </c>
      <c r="D39" s="193">
        <f>+D20/D38</f>
        <v>4915.06528380835</v>
      </c>
      <c r="E39" s="193">
        <f>+E20/E38</f>
        <v>5848.8812231118</v>
      </c>
      <c r="F39" s="193">
        <f>+F20/F38</f>
        <v>6250.5972794205</v>
      </c>
      <c r="G39" s="193">
        <f>+G20/G38</f>
        <v>16942.7281745184</v>
      </c>
      <c r="H39" s="168"/>
      <c r="AI39" s="164" t="s">
        <v>63</v>
      </c>
      <c r="AJ39" s="164" t="s">
        <v>123</v>
      </c>
    </row>
    <row r="40" s="153" customFormat="1" ht="15.75" customHeight="1" spans="1:36">
      <c r="A40" s="164" t="s">
        <v>124</v>
      </c>
      <c r="B40" s="169" t="s">
        <v>125</v>
      </c>
      <c r="C40" s="175"/>
      <c r="D40" s="175"/>
      <c r="E40" s="175"/>
      <c r="F40" s="175"/>
      <c r="G40" s="175"/>
      <c r="H40" s="168"/>
      <c r="AI40" s="164" t="s">
        <v>124</v>
      </c>
      <c r="AJ40" s="169" t="s">
        <v>125</v>
      </c>
    </row>
    <row r="41" s="153" customFormat="1" ht="15.75" customHeight="1" spans="1:36">
      <c r="A41" s="164" t="s">
        <v>61</v>
      </c>
      <c r="B41" s="164" t="s">
        <v>126</v>
      </c>
      <c r="C41" s="175">
        <f>+C14/C3</f>
        <v>5.27396666666667</v>
      </c>
      <c r="D41" s="175">
        <f>+D14/D3</f>
        <v>5.27396666666667</v>
      </c>
      <c r="E41" s="175">
        <f>+E14/E3</f>
        <v>5.27396666666667</v>
      </c>
      <c r="F41" s="175">
        <f>+F14/F3</f>
        <v>5.27396666666667</v>
      </c>
      <c r="G41" s="175">
        <f>+G14/G3</f>
        <v>5.27396666666667</v>
      </c>
      <c r="H41" s="168"/>
      <c r="AI41" s="164" t="s">
        <v>61</v>
      </c>
      <c r="AJ41" s="164" t="s">
        <v>126</v>
      </c>
    </row>
    <row r="42" s="153" customFormat="1" ht="15.75" customHeight="1" spans="1:36">
      <c r="A42" s="164" t="s">
        <v>63</v>
      </c>
      <c r="B42" s="164" t="s">
        <v>127</v>
      </c>
      <c r="C42" s="175">
        <f>+C16/C3</f>
        <v>0.900433333333333</v>
      </c>
      <c r="D42" s="175">
        <f>+D16/D3</f>
        <v>0.900433333333333</v>
      </c>
      <c r="E42" s="175">
        <f>+E16/E3</f>
        <v>0.900433333333333</v>
      </c>
      <c r="F42" s="175">
        <f>+F16/F3</f>
        <v>0.900433333333333</v>
      </c>
      <c r="G42" s="175">
        <f>+G16/G3</f>
        <v>0.900433333333333</v>
      </c>
      <c r="H42" s="168"/>
      <c r="AI42" s="164" t="s">
        <v>63</v>
      </c>
      <c r="AJ42" s="164" t="s">
        <v>127</v>
      </c>
    </row>
    <row r="43" s="153" customFormat="1" ht="15.75" customHeight="1" spans="1:36">
      <c r="A43" s="164" t="s">
        <v>112</v>
      </c>
      <c r="B43" s="164" t="s">
        <v>128</v>
      </c>
      <c r="C43" s="175">
        <f>+C17/C3</f>
        <v>4.37353333333333</v>
      </c>
      <c r="D43" s="175">
        <f>+D17/D3</f>
        <v>4.37353333333333</v>
      </c>
      <c r="E43" s="175">
        <f>+E17/E3</f>
        <v>4.37353333333333</v>
      </c>
      <c r="F43" s="175">
        <f>+F17/F3</f>
        <v>4.37353333333333</v>
      </c>
      <c r="G43" s="175">
        <f>+G17/G3</f>
        <v>4.37353333333333</v>
      </c>
      <c r="H43" s="168"/>
      <c r="AI43" s="164" t="s">
        <v>112</v>
      </c>
      <c r="AJ43" s="164" t="s">
        <v>128</v>
      </c>
    </row>
    <row r="44" s="153" customFormat="1" ht="15.75" customHeight="1" spans="1:36">
      <c r="A44" s="164" t="s">
        <v>66</v>
      </c>
      <c r="B44" s="164" t="s">
        <v>129</v>
      </c>
      <c r="C44" s="175">
        <f>C18/C3</f>
        <v>0</v>
      </c>
      <c r="D44" s="175">
        <f>D18/D3</f>
        <v>0.166666666666667</v>
      </c>
      <c r="E44" s="175">
        <f>E18/E3</f>
        <v>0.128205128205128</v>
      </c>
      <c r="F44" s="175">
        <f>F18/F3</f>
        <v>0.111111111111111</v>
      </c>
      <c r="G44" s="175">
        <f>G18/G3</f>
        <v>0.131578947368421</v>
      </c>
      <c r="H44" s="168"/>
      <c r="AI44" s="164" t="s">
        <v>66</v>
      </c>
      <c r="AJ44" s="164" t="s">
        <v>130</v>
      </c>
    </row>
    <row r="45" s="153" customFormat="1" ht="15.75" customHeight="1" spans="1:36">
      <c r="A45" s="164" t="s">
        <v>69</v>
      </c>
      <c r="B45" s="164" t="s">
        <v>131</v>
      </c>
      <c r="C45" s="175">
        <f>C19/C3</f>
        <v>3.859</v>
      </c>
      <c r="D45" s="175">
        <f>D19/D3</f>
        <v>3.859</v>
      </c>
      <c r="E45" s="175">
        <f>E19/E3</f>
        <v>3.859</v>
      </c>
      <c r="F45" s="175">
        <f>F19/F3</f>
        <v>3.859</v>
      </c>
      <c r="G45" s="175">
        <f>G19/G3</f>
        <v>3.859</v>
      </c>
      <c r="H45" s="168"/>
      <c r="AI45" s="164" t="s">
        <v>69</v>
      </c>
      <c r="AJ45" s="164" t="s">
        <v>131</v>
      </c>
    </row>
    <row r="46" s="153" customFormat="1" ht="15.75" customHeight="1" spans="1:36">
      <c r="A46" s="164" t="s">
        <v>132</v>
      </c>
      <c r="B46" s="169" t="s">
        <v>133</v>
      </c>
      <c r="C46" s="175"/>
      <c r="D46" s="175"/>
      <c r="E46" s="175"/>
      <c r="F46" s="175"/>
      <c r="G46" s="175"/>
      <c r="H46" s="168"/>
      <c r="AI46" s="164" t="s">
        <v>132</v>
      </c>
      <c r="AJ46" s="169" t="s">
        <v>133</v>
      </c>
    </row>
    <row r="47" s="153" customFormat="1" ht="15.75" customHeight="1" spans="1:36">
      <c r="A47" s="164" t="s">
        <v>61</v>
      </c>
      <c r="B47" s="164" t="s">
        <v>134</v>
      </c>
      <c r="C47" s="178">
        <f>+(C10+C16)/C6</f>
        <v>0.051</v>
      </c>
      <c r="D47" s="178">
        <f>+(D10+D16)/D6</f>
        <v>0.0515151515151515</v>
      </c>
      <c r="E47" s="178">
        <f>+(E10+E16)/E6</f>
        <v>0.0520355065809611</v>
      </c>
      <c r="F47" s="178">
        <f>+(F10+F16)/F6</f>
        <v>0.0525611177585466</v>
      </c>
      <c r="G47" s="178">
        <f>+(G10+G16)/G6</f>
        <v>0.0521026777630852</v>
      </c>
      <c r="H47" s="168"/>
      <c r="AI47" s="164" t="s">
        <v>61</v>
      </c>
      <c r="AJ47" s="164" t="s">
        <v>134</v>
      </c>
    </row>
    <row r="48" s="153" customFormat="1" ht="15.75" customHeight="1" spans="1:36">
      <c r="A48" s="164" t="s">
        <v>63</v>
      </c>
      <c r="B48" s="164" t="s">
        <v>135</v>
      </c>
      <c r="C48" s="178">
        <f>+(C8+C9+C14)/C6</f>
        <v>0.1058</v>
      </c>
      <c r="D48" s="178">
        <f>+(D8+D9+D14)/D6</f>
        <v>0.106868686868687</v>
      </c>
      <c r="E48" s="178">
        <f>+(E8+E9+E14)/E6</f>
        <v>0.107948168554229</v>
      </c>
      <c r="F48" s="178">
        <f>+(F8+F9+F14)/F6</f>
        <v>0.109038554095181</v>
      </c>
      <c r="G48" s="178">
        <f>+(G8+G9+G14)/G6</f>
        <v>0.108087515830087</v>
      </c>
      <c r="H48" s="168"/>
      <c r="AI48" s="164" t="s">
        <v>63</v>
      </c>
      <c r="AJ48" s="164" t="s">
        <v>135</v>
      </c>
    </row>
    <row r="49" s="153" customFormat="1" ht="15.75" customHeight="1" spans="1:36">
      <c r="A49" s="164" t="s">
        <v>112</v>
      </c>
      <c r="B49" s="164" t="s">
        <v>136</v>
      </c>
      <c r="C49" s="178">
        <f>+C17/C6</f>
        <v>0.034</v>
      </c>
      <c r="D49" s="178">
        <f>+D17/D6</f>
        <v>0.0343434343434343</v>
      </c>
      <c r="E49" s="178">
        <f>+E17/E6</f>
        <v>0.0346903377206408</v>
      </c>
      <c r="F49" s="178">
        <f>+F17/F6</f>
        <v>0.0350407451723644</v>
      </c>
      <c r="G49" s="178">
        <f>+G17/G6</f>
        <v>0.0347351185087235</v>
      </c>
      <c r="H49" s="168"/>
      <c r="AI49" s="164" t="s">
        <v>112</v>
      </c>
      <c r="AJ49" s="164" t="s">
        <v>136</v>
      </c>
    </row>
    <row r="50" s="153" customFormat="1" ht="15.75" customHeight="1" spans="1:36">
      <c r="A50" s="164" t="s">
        <v>66</v>
      </c>
      <c r="B50" s="164" t="s">
        <v>137</v>
      </c>
      <c r="C50" s="178">
        <f>+C18/C6</f>
        <v>0</v>
      </c>
      <c r="D50" s="178">
        <f>+D18/D6</f>
        <v>0.00130876005454912</v>
      </c>
      <c r="E50" s="178">
        <f>+E18/E6</f>
        <v>0.00101690757929224</v>
      </c>
      <c r="F50" s="178">
        <f>+F18/F6</f>
        <v>0.00089022212328614</v>
      </c>
      <c r="G50" s="178">
        <f>+G18/G6</f>
        <v>0.00104501554732905</v>
      </c>
      <c r="H50" s="168"/>
      <c r="AI50" s="164" t="s">
        <v>66</v>
      </c>
      <c r="AJ50" s="164" t="s">
        <v>137</v>
      </c>
    </row>
    <row r="51" s="153" customFormat="1" ht="15.75" customHeight="1" spans="1:36">
      <c r="A51" s="164" t="s">
        <v>69</v>
      </c>
      <c r="B51" s="164" t="s">
        <v>138</v>
      </c>
      <c r="C51" s="178">
        <f>+C19/C6</f>
        <v>0.03</v>
      </c>
      <c r="D51" s="178">
        <f>+D19/D6</f>
        <v>0.0303030303030303</v>
      </c>
      <c r="E51" s="178">
        <f>+E19/E6</f>
        <v>0.0306091215182124</v>
      </c>
      <c r="F51" s="178">
        <f>+F19/F6</f>
        <v>0.0309183045638509</v>
      </c>
      <c r="G51" s="178">
        <f>+G19/G6</f>
        <v>0.0306486339782854</v>
      </c>
      <c r="H51" s="168"/>
      <c r="AI51" s="164" t="s">
        <v>69</v>
      </c>
      <c r="AJ51" s="164" t="s">
        <v>138</v>
      </c>
    </row>
    <row r="52" s="153" customFormat="1" ht="15.75" customHeight="1" spans="1:36">
      <c r="A52" s="164" t="s">
        <v>73</v>
      </c>
      <c r="B52" s="164" t="s">
        <v>139</v>
      </c>
      <c r="C52" s="178">
        <f>+C23/C6</f>
        <v>-0.00729347269010396</v>
      </c>
      <c r="D52" s="178">
        <f>+D23/D6</f>
        <v>0.00556674981655551</v>
      </c>
      <c r="E52" s="178">
        <f>+E23/E6</f>
        <v>0.0179967222234937</v>
      </c>
      <c r="F52" s="178">
        <f>+F23/F6</f>
        <v>0.0299671293620574</v>
      </c>
      <c r="G52" s="178">
        <f>+G23/G6</f>
        <v>0.0193723185259627</v>
      </c>
      <c r="H52" s="168"/>
      <c r="AI52" s="164" t="s">
        <v>73</v>
      </c>
      <c r="AJ52" s="164" t="s">
        <v>140</v>
      </c>
    </row>
    <row r="53" s="153" customFormat="1" ht="15.75" customHeight="1" spans="1:36">
      <c r="A53" s="164" t="s">
        <v>141</v>
      </c>
      <c r="B53" s="169" t="s">
        <v>142</v>
      </c>
      <c r="C53" s="175">
        <f>+C21/C3</f>
        <v>1.49220444444444</v>
      </c>
      <c r="D53" s="175">
        <f>+D21/D3</f>
        <v>3.21692666666667</v>
      </c>
      <c r="E53" s="175">
        <f>+E21/E3</f>
        <v>4.84875320512821</v>
      </c>
      <c r="F53" s="175">
        <f>+F21/F3</f>
        <v>6.38594187222223</v>
      </c>
      <c r="G53" s="175">
        <f>+G21/G3</f>
        <v>5.02611016885965</v>
      </c>
      <c r="H53" s="168"/>
      <c r="AI53" s="164" t="s">
        <v>141</v>
      </c>
      <c r="AJ53" s="169" t="s">
        <v>142</v>
      </c>
    </row>
    <row r="54" s="153" customFormat="1" ht="15.75" customHeight="1" spans="1:36">
      <c r="A54" s="164" t="s">
        <v>143</v>
      </c>
      <c r="B54" s="210" t="s">
        <v>144</v>
      </c>
      <c r="C54" s="175"/>
      <c r="D54" s="175"/>
      <c r="E54" s="175"/>
      <c r="F54" s="175"/>
      <c r="G54" s="175"/>
      <c r="H54" s="168"/>
      <c r="AI54" s="164"/>
      <c r="AJ54" s="169"/>
    </row>
    <row r="55" s="153" customFormat="1" ht="15.75" customHeight="1" spans="1:8">
      <c r="A55" s="164" t="s">
        <v>61</v>
      </c>
      <c r="B55" s="164" t="s">
        <v>145</v>
      </c>
      <c r="C55" s="175"/>
      <c r="D55" s="175"/>
      <c r="E55" s="175"/>
      <c r="F55" s="175"/>
      <c r="G55" s="175"/>
      <c r="H55" s="168"/>
    </row>
    <row r="56" s="153" customFormat="1" ht="15.75" customHeight="1" spans="1:8">
      <c r="A56" s="164">
        <v>1.1</v>
      </c>
      <c r="B56" s="211" t="s">
        <v>146</v>
      </c>
      <c r="C56" s="175"/>
      <c r="D56" s="175"/>
      <c r="E56" s="175"/>
      <c r="F56" s="175"/>
      <c r="G56" s="175"/>
      <c r="H56" s="168"/>
    </row>
    <row r="57" s="153" customFormat="1" ht="15.75" customHeight="1" spans="1:8">
      <c r="A57" s="164">
        <v>1.2</v>
      </c>
      <c r="B57" s="164" t="s">
        <v>147</v>
      </c>
      <c r="C57" s="175"/>
      <c r="D57" s="175"/>
      <c r="E57" s="175"/>
      <c r="F57" s="175"/>
      <c r="G57" s="175"/>
      <c r="H57" s="168"/>
    </row>
    <row r="58" ht="15.75" customHeight="1" spans="1:8">
      <c r="A58" s="198" t="s">
        <v>63</v>
      </c>
      <c r="B58" s="198" t="s">
        <v>148</v>
      </c>
      <c r="C58" s="212">
        <f>C59+C60</f>
        <v>-4221.82666666668</v>
      </c>
      <c r="D58" s="212">
        <f>D59+D60</f>
        <v>4253.45333333336</v>
      </c>
      <c r="E58" s="212">
        <f>E59+E60</f>
        <v>17697.5003333334</v>
      </c>
      <c r="F58" s="212">
        <f>F59+F60</f>
        <v>33662.5304833334</v>
      </c>
      <c r="G58" s="212">
        <f>G59+G60</f>
        <v>55613.4841500001</v>
      </c>
      <c r="H58" s="168"/>
    </row>
    <row r="59" ht="15.75" customHeight="1" spans="1:8">
      <c r="A59" s="198" t="s">
        <v>112</v>
      </c>
      <c r="B59" s="198" t="s">
        <v>149</v>
      </c>
      <c r="C59" s="212">
        <f>C23</f>
        <v>-4221.82666666668</v>
      </c>
      <c r="D59" s="212">
        <f>D23</f>
        <v>4253.45333333336</v>
      </c>
      <c r="E59" s="212">
        <f>E23</f>
        <v>17697.5003333334</v>
      </c>
      <c r="F59" s="212">
        <f>F23</f>
        <v>33662.5304833334</v>
      </c>
      <c r="G59" s="212">
        <f>G23</f>
        <v>55613.4841500001</v>
      </c>
      <c r="H59" s="168"/>
    </row>
    <row r="60" ht="15.75" customHeight="1" spans="1:8">
      <c r="A60" s="198" t="s">
        <v>66</v>
      </c>
      <c r="B60" s="198" t="s">
        <v>150</v>
      </c>
      <c r="C60" s="198"/>
      <c r="D60" s="212">
        <f>'[2]2023年'!I18</f>
        <v>0</v>
      </c>
      <c r="E60" s="212"/>
      <c r="F60" s="212"/>
      <c r="G60" s="212">
        <f>[2]项目投资!G26</f>
        <v>0</v>
      </c>
      <c r="H60" s="168"/>
    </row>
    <row r="61" ht="15.75" customHeight="1" spans="1:8">
      <c r="A61" s="198" t="s">
        <v>69</v>
      </c>
      <c r="B61" s="198" t="s">
        <v>151</v>
      </c>
      <c r="C61" s="198"/>
      <c r="D61" s="213"/>
      <c r="E61" s="213"/>
      <c r="F61" s="213"/>
      <c r="G61" s="212"/>
      <c r="H61" s="168"/>
    </row>
    <row r="63" spans="2:3">
      <c r="B63"/>
      <c r="C63"/>
    </row>
  </sheetData>
  <mergeCells count="2">
    <mergeCell ref="A1:G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" sqref="C2:F2"/>
    </sheetView>
  </sheetViews>
  <sheetFormatPr defaultColWidth="9" defaultRowHeight="14.5"/>
  <cols>
    <col min="1" max="1" width="5.12727272727273" style="153" customWidth="1"/>
    <col min="2" max="2" width="17.5" style="153" customWidth="1"/>
    <col min="3" max="5" width="14.3636363636364" style="154" customWidth="1"/>
    <col min="6" max="6" width="18.7545454545455" style="154" customWidth="1"/>
    <col min="7" max="7" width="12.3727272727273" style="153" customWidth="1"/>
    <col min="8" max="8" width="10.1272727272727" style="153" customWidth="1"/>
    <col min="9" max="15" width="9" style="153" customWidth="1"/>
    <col min="16" max="16" width="9" style="153"/>
    <col min="17" max="17" width="9" style="153" hidden="1" customWidth="1"/>
    <col min="18" max="32" width="9" style="153"/>
    <col min="33" max="33" width="4.37272727272727" style="153" customWidth="1"/>
    <col min="34" max="34" width="13.8727272727273" style="153" customWidth="1"/>
    <col min="35" max="16384" width="9" style="153"/>
  </cols>
  <sheetData>
    <row r="1" spans="1:6">
      <c r="A1" s="155" t="s">
        <v>152</v>
      </c>
      <c r="B1" s="155"/>
      <c r="C1" s="156" t="s">
        <v>153</v>
      </c>
      <c r="D1" s="157"/>
      <c r="E1" s="157"/>
      <c r="F1" s="158"/>
    </row>
    <row r="2" spans="1:6">
      <c r="A2" s="155" t="s">
        <v>154</v>
      </c>
      <c r="B2" s="155"/>
      <c r="C2" s="159" t="s">
        <v>155</v>
      </c>
      <c r="D2" s="159"/>
      <c r="E2" s="159"/>
      <c r="F2" s="159"/>
    </row>
    <row r="3" ht="28" spans="1:6">
      <c r="A3" s="155" t="s">
        <v>156</v>
      </c>
      <c r="B3" s="155"/>
      <c r="C3" s="77" t="s">
        <v>157</v>
      </c>
      <c r="D3" s="77" t="s">
        <v>158</v>
      </c>
      <c r="E3" s="77" t="s">
        <v>159</v>
      </c>
      <c r="F3" s="160" t="s">
        <v>57</v>
      </c>
    </row>
    <row r="4" spans="1:6">
      <c r="A4" s="155" t="s">
        <v>160</v>
      </c>
      <c r="B4" s="155"/>
      <c r="C4" s="79" t="s">
        <v>161</v>
      </c>
      <c r="D4" s="79" t="s">
        <v>162</v>
      </c>
      <c r="E4" s="80" t="s">
        <v>163</v>
      </c>
      <c r="F4" s="161"/>
    </row>
    <row r="5" ht="16.5" spans="1:35">
      <c r="A5" s="155" t="s">
        <v>164</v>
      </c>
      <c r="B5" s="155"/>
      <c r="C5" s="162"/>
      <c r="D5" s="162"/>
      <c r="E5" s="162"/>
      <c r="F5" s="163"/>
      <c r="AI5" s="153" t="s">
        <v>58</v>
      </c>
    </row>
    <row r="6" ht="16.5" spans="1:35">
      <c r="A6" s="164" t="s">
        <v>21</v>
      </c>
      <c r="B6" s="165" t="s">
        <v>165</v>
      </c>
      <c r="C6" s="166">
        <f>销量!C9</f>
        <v>1500</v>
      </c>
      <c r="D6" s="166">
        <f>销量!D9</f>
        <v>1500</v>
      </c>
      <c r="E6" s="166">
        <f>销量!E9</f>
        <v>1500</v>
      </c>
      <c r="F6" s="167">
        <f t="shared" ref="F6:F15" si="0">+SUM(C6:E6)</f>
        <v>4500</v>
      </c>
      <c r="Q6" s="165" t="s">
        <v>3</v>
      </c>
      <c r="AG6" s="164" t="s">
        <v>21</v>
      </c>
      <c r="AH6" s="165" t="s">
        <v>3</v>
      </c>
      <c r="AI6" s="153" t="s">
        <v>59</v>
      </c>
    </row>
    <row r="7" spans="1:35">
      <c r="A7" s="155">
        <v>1</v>
      </c>
      <c r="B7" s="165" t="s">
        <v>60</v>
      </c>
      <c r="C7" s="167">
        <f>C6*销量!C8</f>
        <v>208350</v>
      </c>
      <c r="D7" s="167">
        <f>D6*销量!D8</f>
        <v>197100</v>
      </c>
      <c r="E7" s="167">
        <f>E6*销量!E8</f>
        <v>173400</v>
      </c>
      <c r="F7" s="167">
        <f t="shared" si="0"/>
        <v>578850</v>
      </c>
      <c r="G7" s="154"/>
      <c r="Q7" s="165" t="s">
        <v>60</v>
      </c>
      <c r="AG7" s="164" t="s">
        <v>61</v>
      </c>
      <c r="AH7" s="165" t="s">
        <v>60</v>
      </c>
      <c r="AI7" s="153" t="s">
        <v>59</v>
      </c>
    </row>
    <row r="8" spans="1:35">
      <c r="A8" s="155">
        <v>2</v>
      </c>
      <c r="B8" s="155" t="s">
        <v>62</v>
      </c>
      <c r="C8" s="167"/>
      <c r="D8" s="167"/>
      <c r="E8" s="167"/>
      <c r="F8" s="167">
        <f>+SUM(C8:D8)</f>
        <v>0</v>
      </c>
      <c r="G8" s="168"/>
      <c r="Q8" s="155" t="s">
        <v>64</v>
      </c>
      <c r="AG8" s="164" t="s">
        <v>63</v>
      </c>
      <c r="AH8" s="155" t="s">
        <v>64</v>
      </c>
      <c r="AI8" s="153" t="s">
        <v>59</v>
      </c>
    </row>
    <row r="9" spans="1:35">
      <c r="A9" s="155">
        <v>3</v>
      </c>
      <c r="B9" s="165" t="s">
        <v>65</v>
      </c>
      <c r="C9" s="167">
        <f>+C7-C8</f>
        <v>208350</v>
      </c>
      <c r="D9" s="167">
        <f>+D7-D8</f>
        <v>197100</v>
      </c>
      <c r="E9" s="167">
        <f>+E7-E8</f>
        <v>173400</v>
      </c>
      <c r="F9" s="167">
        <f t="shared" si="0"/>
        <v>578850</v>
      </c>
      <c r="Q9" s="165" t="s">
        <v>65</v>
      </c>
      <c r="AG9" s="164" t="s">
        <v>66</v>
      </c>
      <c r="AH9" s="165" t="s">
        <v>65</v>
      </c>
      <c r="AI9" s="153" t="s">
        <v>67</v>
      </c>
    </row>
    <row r="10" spans="1:35">
      <c r="A10" s="155">
        <v>4</v>
      </c>
      <c r="B10" s="164" t="s">
        <v>70</v>
      </c>
      <c r="C10" s="167">
        <f>C6*C33</f>
        <v>191535</v>
      </c>
      <c r="D10" s="167">
        <f>D6*D33</f>
        <v>109500</v>
      </c>
      <c r="E10" s="167">
        <f>E6*E33</f>
        <v>142290</v>
      </c>
      <c r="F10" s="167">
        <f t="shared" si="0"/>
        <v>443325</v>
      </c>
      <c r="Q10" s="164" t="s">
        <v>70</v>
      </c>
      <c r="AG10" s="164" t="s">
        <v>69</v>
      </c>
      <c r="AH10" s="164" t="s">
        <v>70</v>
      </c>
      <c r="AI10" s="153" t="s">
        <v>71</v>
      </c>
    </row>
    <row r="11" spans="1:34">
      <c r="A11" s="155">
        <v>5</v>
      </c>
      <c r="B11" s="164" t="s">
        <v>72</v>
      </c>
      <c r="C11" s="167">
        <f>+C6*C36</f>
        <v>8979.885</v>
      </c>
      <c r="D11" s="167">
        <f>+D6*D36</f>
        <v>8495.01</v>
      </c>
      <c r="E11" s="167">
        <f>+E6*E36</f>
        <v>7473.54</v>
      </c>
      <c r="F11" s="167">
        <f t="shared" si="0"/>
        <v>24948.435</v>
      </c>
      <c r="Q11" s="164" t="s">
        <v>72</v>
      </c>
      <c r="AG11" s="164" t="s">
        <v>73</v>
      </c>
      <c r="AH11" s="164" t="s">
        <v>72</v>
      </c>
    </row>
    <row r="12" spans="1:34">
      <c r="A12" s="155">
        <v>6</v>
      </c>
      <c r="B12" s="164" t="s">
        <v>74</v>
      </c>
      <c r="C12" s="167">
        <f>+C6*C37</f>
        <v>4521.195</v>
      </c>
      <c r="D12" s="167">
        <f>+D6*D37</f>
        <v>4277.07</v>
      </c>
      <c r="E12" s="167">
        <f>+E6*E37</f>
        <v>3762.78</v>
      </c>
      <c r="F12" s="167">
        <f t="shared" si="0"/>
        <v>12561.045</v>
      </c>
      <c r="Q12" s="164" t="s">
        <v>74</v>
      </c>
      <c r="AG12" s="164" t="s">
        <v>75</v>
      </c>
      <c r="AH12" s="164" t="s">
        <v>74</v>
      </c>
    </row>
    <row r="13" spans="1:35">
      <c r="A13" s="155">
        <v>7</v>
      </c>
      <c r="B13" s="164" t="s">
        <v>76</v>
      </c>
      <c r="C13" s="167">
        <f>+C6*C38</f>
        <v>9167.4</v>
      </c>
      <c r="D13" s="167">
        <f>+D6*D38</f>
        <v>8672.4</v>
      </c>
      <c r="E13" s="167">
        <f>+E6*E38</f>
        <v>7629.6</v>
      </c>
      <c r="F13" s="167">
        <f t="shared" si="0"/>
        <v>25469.4</v>
      </c>
      <c r="Q13" s="164" t="s">
        <v>76</v>
      </c>
      <c r="AG13" s="164" t="s">
        <v>77</v>
      </c>
      <c r="AH13" s="164" t="s">
        <v>76</v>
      </c>
      <c r="AI13" s="153" t="s">
        <v>59</v>
      </c>
    </row>
    <row r="14" spans="1:34">
      <c r="A14" s="155">
        <v>8</v>
      </c>
      <c r="B14" s="169" t="s">
        <v>78</v>
      </c>
      <c r="C14" s="167">
        <f>SUM(C11:C13)</f>
        <v>22668.48</v>
      </c>
      <c r="D14" s="167">
        <f>SUM(D11:D13)</f>
        <v>21444.48</v>
      </c>
      <c r="E14" s="167">
        <f>SUM(E11:E13)</f>
        <v>18865.92</v>
      </c>
      <c r="F14" s="167">
        <f t="shared" si="0"/>
        <v>62978.88</v>
      </c>
      <c r="Q14" s="169" t="s">
        <v>78</v>
      </c>
      <c r="AG14" s="164" t="s">
        <v>79</v>
      </c>
      <c r="AH14" s="169" t="s">
        <v>78</v>
      </c>
    </row>
    <row r="15" spans="1:34">
      <c r="A15" s="155">
        <v>9</v>
      </c>
      <c r="B15" s="169" t="s">
        <v>80</v>
      </c>
      <c r="C15" s="167">
        <f>+C9-C10-C14</f>
        <v>-5853.48</v>
      </c>
      <c r="D15" s="167">
        <f>+D9-D10-D14</f>
        <v>66155.52</v>
      </c>
      <c r="E15" s="167">
        <f>+E9-E10-E14</f>
        <v>12244.08</v>
      </c>
      <c r="F15" s="167">
        <f t="shared" si="0"/>
        <v>72546.12</v>
      </c>
      <c r="Q15" s="169" t="s">
        <v>80</v>
      </c>
      <c r="AG15" s="164" t="s">
        <v>81</v>
      </c>
      <c r="AH15" s="169" t="s">
        <v>80</v>
      </c>
    </row>
    <row r="16" spans="1:34">
      <c r="A16" s="155">
        <v>10</v>
      </c>
      <c r="B16" s="164" t="s">
        <v>82</v>
      </c>
      <c r="C16" s="170">
        <f t="shared" ref="C16:F16" si="1">+C15/C9</f>
        <v>-0.0280944564434845</v>
      </c>
      <c r="D16" s="170">
        <f t="shared" si="1"/>
        <v>0.335644444444444</v>
      </c>
      <c r="E16" s="170">
        <f t="shared" si="1"/>
        <v>0.0706117647058824</v>
      </c>
      <c r="F16" s="170">
        <f t="shared" si="1"/>
        <v>0.125328012438456</v>
      </c>
      <c r="Q16" s="164" t="s">
        <v>82</v>
      </c>
      <c r="AG16" s="164" t="s">
        <v>83</v>
      </c>
      <c r="AH16" s="164" t="s">
        <v>82</v>
      </c>
    </row>
    <row r="17" spans="1:34">
      <c r="A17" s="155">
        <v>11</v>
      </c>
      <c r="B17" s="164" t="s">
        <v>84</v>
      </c>
      <c r="C17" s="167">
        <f>C6*C43+C18</f>
        <v>8542.35</v>
      </c>
      <c r="D17" s="167">
        <f>D6*D43+D18</f>
        <v>8081.1</v>
      </c>
      <c r="E17" s="167">
        <f>E6*E43+E18</f>
        <v>7109.4</v>
      </c>
      <c r="F17" s="167">
        <f t="shared" ref="F17:F20" si="2">+SUM(C17:E17)</f>
        <v>23732.85</v>
      </c>
      <c r="G17" s="168"/>
      <c r="Q17" s="164" t="s">
        <v>84</v>
      </c>
      <c r="AG17" s="164" t="s">
        <v>85</v>
      </c>
      <c r="AH17" s="164" t="s">
        <v>84</v>
      </c>
    </row>
    <row r="18" s="151" customFormat="1" spans="1:9">
      <c r="A18" s="155">
        <v>12</v>
      </c>
      <c r="B18" s="172" t="s">
        <v>86</v>
      </c>
      <c r="C18" s="173">
        <f>$F$18/$F$6*C6</f>
        <v>0</v>
      </c>
      <c r="D18" s="173">
        <f>$F$18/$F$6*D6</f>
        <v>0</v>
      </c>
      <c r="E18" s="173">
        <f>$F$18/$F$6*E6</f>
        <v>0</v>
      </c>
      <c r="F18" s="167">
        <f>项目投资!D26</f>
        <v>0</v>
      </c>
      <c r="G18" s="174" t="s">
        <v>87</v>
      </c>
      <c r="H18" s="174"/>
      <c r="I18" s="174"/>
    </row>
    <row r="19" spans="1:35">
      <c r="A19" s="155">
        <v>13</v>
      </c>
      <c r="B19" s="164" t="s">
        <v>88</v>
      </c>
      <c r="C19" s="167">
        <f>C6*C44</f>
        <v>1458.45</v>
      </c>
      <c r="D19" s="167">
        <f>D6*D44</f>
        <v>1379.7</v>
      </c>
      <c r="E19" s="167">
        <f>E6*E44</f>
        <v>1213.8</v>
      </c>
      <c r="F19" s="167">
        <f t="shared" si="2"/>
        <v>4051.95</v>
      </c>
      <c r="G19" s="151"/>
      <c r="Q19" s="164" t="s">
        <v>88</v>
      </c>
      <c r="AG19" s="164" t="s">
        <v>89</v>
      </c>
      <c r="AH19" s="164" t="s">
        <v>88</v>
      </c>
      <c r="AI19" s="153" t="s">
        <v>59</v>
      </c>
    </row>
    <row r="20" spans="1:34">
      <c r="A20" s="155">
        <v>14</v>
      </c>
      <c r="B20" s="164" t="s">
        <v>90</v>
      </c>
      <c r="C20" s="167">
        <f>C6*C45</f>
        <v>7083.9</v>
      </c>
      <c r="D20" s="167">
        <f>D6*D45</f>
        <v>6701.4</v>
      </c>
      <c r="E20" s="167">
        <f>E6*E45</f>
        <v>5895.6</v>
      </c>
      <c r="F20" s="167">
        <f t="shared" si="2"/>
        <v>19680.9</v>
      </c>
      <c r="Q20" s="164" t="s">
        <v>90</v>
      </c>
      <c r="AG20" s="164" t="s">
        <v>91</v>
      </c>
      <c r="AH20" s="164" t="s">
        <v>90</v>
      </c>
    </row>
    <row r="21" spans="1:34">
      <c r="A21" s="155">
        <v>15</v>
      </c>
      <c r="B21" s="164" t="s">
        <v>92</v>
      </c>
      <c r="C21" s="175">
        <f>$F$21/$F$6*C6</f>
        <v>333.333333333333</v>
      </c>
      <c r="D21" s="175">
        <f>$F$21/$F$6*D6</f>
        <v>333.333333333333</v>
      </c>
      <c r="E21" s="175">
        <f>$F$21/$F$6*E6</f>
        <v>333.333333333333</v>
      </c>
      <c r="F21" s="167">
        <f>项目投资!D27</f>
        <v>1000</v>
      </c>
      <c r="Q21" s="164" t="s">
        <v>92</v>
      </c>
      <c r="AG21" s="164"/>
      <c r="AH21" s="164"/>
    </row>
    <row r="22" spans="1:34">
      <c r="A22" s="155">
        <v>16</v>
      </c>
      <c r="B22" s="164" t="s">
        <v>93</v>
      </c>
      <c r="C22" s="167">
        <f>C6*C47</f>
        <v>6250.5</v>
      </c>
      <c r="D22" s="167">
        <f>D6*D47</f>
        <v>5913</v>
      </c>
      <c r="E22" s="167">
        <f>E6*E47</f>
        <v>5202</v>
      </c>
      <c r="F22" s="167">
        <f t="shared" ref="F22:F26" si="3">+SUM(C22:E22)</f>
        <v>17365.5</v>
      </c>
      <c r="Q22" s="164" t="s">
        <v>93</v>
      </c>
      <c r="AG22" s="164" t="s">
        <v>94</v>
      </c>
      <c r="AH22" s="164" t="s">
        <v>93</v>
      </c>
    </row>
    <row r="23" spans="1:34">
      <c r="A23" s="155">
        <v>17</v>
      </c>
      <c r="B23" s="169" t="s">
        <v>95</v>
      </c>
      <c r="C23" s="175">
        <f>+C22+C21+C20+C19+C17</f>
        <v>23668.5333333333</v>
      </c>
      <c r="D23" s="175">
        <f>+D22+D21+D20+D19+D17</f>
        <v>22408.5333333333</v>
      </c>
      <c r="E23" s="175">
        <f>+E22+E21+E20+E19+E17</f>
        <v>19754.1333333333</v>
      </c>
      <c r="F23" s="167">
        <f t="shared" si="3"/>
        <v>65831.2</v>
      </c>
      <c r="Q23" s="169" t="s">
        <v>95</v>
      </c>
      <c r="AG23" s="164" t="s">
        <v>96</v>
      </c>
      <c r="AH23" s="169" t="s">
        <v>95</v>
      </c>
    </row>
    <row r="24" spans="1:34">
      <c r="A24" s="155">
        <v>18</v>
      </c>
      <c r="B24" s="176" t="s">
        <v>97</v>
      </c>
      <c r="C24" s="175">
        <f>+C15-C23</f>
        <v>-29522.0133333333</v>
      </c>
      <c r="D24" s="175">
        <f>+D15-D23</f>
        <v>43746.9866666667</v>
      </c>
      <c r="E24" s="175">
        <f>+E15-E23</f>
        <v>-7510.05333333333</v>
      </c>
      <c r="F24" s="167">
        <f t="shared" si="3"/>
        <v>6714.91999999999</v>
      </c>
      <c r="H24" s="177"/>
      <c r="Q24" s="164" t="s">
        <v>97</v>
      </c>
      <c r="AG24" s="164" t="s">
        <v>98</v>
      </c>
      <c r="AH24" s="164" t="s">
        <v>97</v>
      </c>
    </row>
    <row r="25" spans="1:34">
      <c r="A25" s="155">
        <v>19</v>
      </c>
      <c r="B25" s="164" t="s">
        <v>166</v>
      </c>
      <c r="C25" s="175">
        <f>IF(C24&lt;0,0,C24*0.25)</f>
        <v>0</v>
      </c>
      <c r="D25" s="175">
        <f>IF(D24&lt;0,0,D24*0.25)</f>
        <v>10936.7466666667</v>
      </c>
      <c r="E25" s="175">
        <f>IF(E24&lt;0,0,E24*0.25)</f>
        <v>0</v>
      </c>
      <c r="F25" s="167">
        <f t="shared" si="3"/>
        <v>10936.7466666667</v>
      </c>
      <c r="G25" s="2"/>
      <c r="H25" s="2"/>
      <c r="I25" s="2"/>
      <c r="Q25" s="164" t="s">
        <v>38</v>
      </c>
      <c r="AG25" s="164" t="s">
        <v>99</v>
      </c>
      <c r="AH25" s="164" t="s">
        <v>38</v>
      </c>
    </row>
    <row r="26" spans="1:34">
      <c r="A26" s="155">
        <v>20</v>
      </c>
      <c r="B26" s="164" t="s">
        <v>100</v>
      </c>
      <c r="C26" s="175">
        <f>C24-C25</f>
        <v>-29522.0133333333</v>
      </c>
      <c r="D26" s="175">
        <f>D24-D25</f>
        <v>32810.24</v>
      </c>
      <c r="E26" s="175">
        <f>E24-E25</f>
        <v>-7510.05333333333</v>
      </c>
      <c r="F26" s="167">
        <f t="shared" si="3"/>
        <v>-4221.82666666668</v>
      </c>
      <c r="G26" s="2"/>
      <c r="H26" s="2"/>
      <c r="I26" s="2"/>
      <c r="Q26" s="164" t="s">
        <v>100</v>
      </c>
      <c r="AG26" s="164" t="s">
        <v>101</v>
      </c>
      <c r="AH26" s="164" t="s">
        <v>100</v>
      </c>
    </row>
    <row r="27" spans="1:34">
      <c r="A27" s="155">
        <v>21</v>
      </c>
      <c r="B27" s="164" t="s">
        <v>104</v>
      </c>
      <c r="C27" s="178">
        <f>C26/C7</f>
        <v>-0.141694328453724</v>
      </c>
      <c r="D27" s="178">
        <f t="shared" ref="C27:F27" si="4">D26/D7</f>
        <v>0.166464941653983</v>
      </c>
      <c r="E27" s="178">
        <f t="shared" si="4"/>
        <v>-0.0433105728565936</v>
      </c>
      <c r="F27" s="178">
        <f t="shared" si="4"/>
        <v>-0.00729347269010396</v>
      </c>
      <c r="G27" s="2"/>
      <c r="H27" s="2"/>
      <c r="I27" s="2"/>
      <c r="Q27" s="164" t="s">
        <v>104</v>
      </c>
      <c r="AG27" s="164" t="s">
        <v>103</v>
      </c>
      <c r="AH27" s="164" t="s">
        <v>104</v>
      </c>
    </row>
    <row r="28" spans="7:17">
      <c r="G28" s="2"/>
      <c r="H28" s="2"/>
      <c r="I28" s="2"/>
      <c r="Q28" s="164"/>
    </row>
    <row r="29" spans="1:33">
      <c r="A29" s="153" t="s">
        <v>105</v>
      </c>
      <c r="F29" s="154" t="s">
        <v>167</v>
      </c>
      <c r="G29" s="2"/>
      <c r="H29" s="2"/>
      <c r="I29" s="2"/>
      <c r="Q29" s="164"/>
      <c r="AG29" s="153" t="s">
        <v>105</v>
      </c>
    </row>
    <row r="30" spans="1:34">
      <c r="A30" s="164" t="s">
        <v>107</v>
      </c>
      <c r="B30" s="169" t="s">
        <v>108</v>
      </c>
      <c r="C30" s="175"/>
      <c r="D30" s="175"/>
      <c r="E30" s="175"/>
      <c r="F30" s="175"/>
      <c r="G30" s="2"/>
      <c r="H30" s="2"/>
      <c r="I30" s="2"/>
      <c r="K30" s="2"/>
      <c r="Q30" s="169" t="s">
        <v>108</v>
      </c>
      <c r="AG30" s="164" t="s">
        <v>109</v>
      </c>
      <c r="AH30" s="169" t="s">
        <v>108</v>
      </c>
    </row>
    <row r="31" spans="1:34">
      <c r="A31" s="155">
        <v>1</v>
      </c>
      <c r="B31" s="172" t="s">
        <v>110</v>
      </c>
      <c r="C31" s="179">
        <f>(C7-C8)/C6</f>
        <v>138.9</v>
      </c>
      <c r="D31" s="179">
        <f>(D7-D8)/D6</f>
        <v>131.4</v>
      </c>
      <c r="E31" s="179">
        <f>(E7-E8)/E6</f>
        <v>115.6</v>
      </c>
      <c r="F31" s="175"/>
      <c r="G31" s="2"/>
      <c r="H31" s="2"/>
      <c r="I31" s="2"/>
      <c r="K31" s="2"/>
      <c r="Q31" s="164" t="s">
        <v>110</v>
      </c>
      <c r="AG31" s="164" t="s">
        <v>61</v>
      </c>
      <c r="AH31" s="164" t="s">
        <v>110</v>
      </c>
    </row>
    <row r="32" spans="1:34">
      <c r="A32" s="155">
        <v>2</v>
      </c>
      <c r="B32" s="164" t="s">
        <v>168</v>
      </c>
      <c r="C32" s="167">
        <f>C31*1</f>
        <v>138.9</v>
      </c>
      <c r="D32" s="167">
        <f>D31*1</f>
        <v>131.4</v>
      </c>
      <c r="E32" s="167">
        <f>E31*1</f>
        <v>115.6</v>
      </c>
      <c r="F32" s="175"/>
      <c r="G32" s="2"/>
      <c r="H32" s="2"/>
      <c r="I32" s="2"/>
      <c r="J32" s="2"/>
      <c r="K32" s="2"/>
      <c r="L32" s="2"/>
      <c r="M32" s="2"/>
      <c r="AG32" s="164"/>
      <c r="AH32" s="164"/>
    </row>
    <row r="33" spans="1:34">
      <c r="A33" s="155">
        <v>3</v>
      </c>
      <c r="B33" s="172" t="s">
        <v>111</v>
      </c>
      <c r="C33" s="167">
        <f>材料成本!D24</f>
        <v>127.69</v>
      </c>
      <c r="D33" s="167">
        <f>材料成本!E24</f>
        <v>73</v>
      </c>
      <c r="E33" s="167">
        <f>材料成本!F24</f>
        <v>94.86</v>
      </c>
      <c r="F33" s="175"/>
      <c r="H33" s="2"/>
      <c r="I33" s="2"/>
      <c r="J33" s="2"/>
      <c r="K33" s="2"/>
      <c r="L33" s="2"/>
      <c r="M33" s="2"/>
      <c r="Q33" s="164" t="s">
        <v>111</v>
      </c>
      <c r="AG33" s="164" t="s">
        <v>63</v>
      </c>
      <c r="AH33" s="164" t="s">
        <v>111</v>
      </c>
    </row>
    <row r="34" ht="17.25" customHeight="1" spans="1:34">
      <c r="A34" s="155">
        <v>4</v>
      </c>
      <c r="B34" s="164" t="s">
        <v>113</v>
      </c>
      <c r="C34" s="180">
        <f>C32-C33</f>
        <v>11.21</v>
      </c>
      <c r="D34" s="180">
        <f>D32-D33</f>
        <v>58.4</v>
      </c>
      <c r="E34" s="180">
        <f>E32-E33</f>
        <v>20.74</v>
      </c>
      <c r="F34" s="175"/>
      <c r="H34" s="2"/>
      <c r="I34" s="2"/>
      <c r="J34" s="2"/>
      <c r="K34" s="2"/>
      <c r="L34" s="2"/>
      <c r="M34" s="2"/>
      <c r="Q34" s="164" t="s">
        <v>113</v>
      </c>
      <c r="AG34" s="164" t="s">
        <v>112</v>
      </c>
      <c r="AH34" s="164" t="s">
        <v>113</v>
      </c>
    </row>
    <row r="35" spans="1:34">
      <c r="A35" s="164" t="s">
        <v>109</v>
      </c>
      <c r="B35" s="169" t="s">
        <v>10</v>
      </c>
      <c r="C35" s="175"/>
      <c r="D35" s="175"/>
      <c r="E35" s="175"/>
      <c r="F35" s="175"/>
      <c r="G35" s="2"/>
      <c r="H35" s="2"/>
      <c r="I35" s="2"/>
      <c r="J35" s="2"/>
      <c r="K35" s="2"/>
      <c r="L35" s="2"/>
      <c r="M35" s="2"/>
      <c r="N35" s="2"/>
      <c r="O35" s="2"/>
      <c r="P35" s="2"/>
      <c r="Q35" s="169" t="s">
        <v>10</v>
      </c>
      <c r="AG35" s="164" t="s">
        <v>115</v>
      </c>
      <c r="AH35" s="169" t="s">
        <v>10</v>
      </c>
    </row>
    <row r="36" spans="1:34">
      <c r="A36" s="155">
        <v>1</v>
      </c>
      <c r="B36" s="164" t="s">
        <v>116</v>
      </c>
      <c r="C36" s="173">
        <f>标准成本!E4</f>
        <v>5.98659</v>
      </c>
      <c r="D36" s="173">
        <f>标准成本!E16</f>
        <v>5.66334</v>
      </c>
      <c r="E36" s="173">
        <f>标准成本!E29</f>
        <v>4.98236</v>
      </c>
      <c r="F36" s="179"/>
      <c r="G36" s="2"/>
      <c r="H36" s="2"/>
      <c r="I36" s="2"/>
      <c r="J36" s="2"/>
      <c r="K36" s="2"/>
      <c r="L36" s="2"/>
      <c r="M36" s="2"/>
      <c r="N36" s="2"/>
      <c r="O36" s="2"/>
      <c r="P36" s="2"/>
      <c r="Q36" s="164" t="s">
        <v>116</v>
      </c>
      <c r="AG36" s="164" t="s">
        <v>112</v>
      </c>
      <c r="AH36" s="164" t="s">
        <v>116</v>
      </c>
    </row>
    <row r="37" spans="1:34">
      <c r="A37" s="155">
        <v>2</v>
      </c>
      <c r="B37" s="164" t="s">
        <v>117</v>
      </c>
      <c r="C37" s="173">
        <f>标准成本!E6</f>
        <v>3.01413</v>
      </c>
      <c r="D37" s="173">
        <f>标准成本!E18</f>
        <v>2.85138</v>
      </c>
      <c r="E37" s="173">
        <f>标准成本!E31</f>
        <v>2.50852</v>
      </c>
      <c r="F37" s="179"/>
      <c r="G37" s="2"/>
      <c r="H37" s="2"/>
      <c r="I37" s="2"/>
      <c r="J37" s="2"/>
      <c r="K37" s="2"/>
      <c r="L37" s="2"/>
      <c r="M37" s="2"/>
      <c r="N37" s="2"/>
      <c r="O37" s="2"/>
      <c r="P37" s="2"/>
      <c r="Q37" s="164" t="s">
        <v>117</v>
      </c>
      <c r="AG37" s="164" t="s">
        <v>66</v>
      </c>
      <c r="AH37" s="164" t="s">
        <v>117</v>
      </c>
    </row>
    <row r="38" spans="1:34">
      <c r="A38" s="155">
        <v>3</v>
      </c>
      <c r="B38" s="164" t="s">
        <v>118</v>
      </c>
      <c r="C38" s="173">
        <f>标准成本!E10</f>
        <v>6.1116</v>
      </c>
      <c r="D38" s="173">
        <f>标准成本!E22</f>
        <v>5.7816</v>
      </c>
      <c r="E38" s="173">
        <f>标准成本!E35</f>
        <v>5.0864</v>
      </c>
      <c r="F38" s="179"/>
      <c r="G38" s="2"/>
      <c r="H38" s="2"/>
      <c r="I38" s="2"/>
      <c r="J38" s="2"/>
      <c r="K38" s="2"/>
      <c r="L38" s="2"/>
      <c r="M38" s="2"/>
      <c r="N38" s="2"/>
      <c r="O38" s="2"/>
      <c r="P38" s="2"/>
      <c r="Q38" s="164" t="s">
        <v>118</v>
      </c>
      <c r="AG38" s="164" t="s">
        <v>73</v>
      </c>
      <c r="AH38" s="164" t="s">
        <v>118</v>
      </c>
    </row>
    <row r="39" spans="1:34">
      <c r="A39" s="164" t="s">
        <v>115</v>
      </c>
      <c r="B39" s="169" t="s">
        <v>120</v>
      </c>
      <c r="C39" s="175"/>
      <c r="D39" s="175"/>
      <c r="E39" s="175"/>
      <c r="F39" s="175"/>
      <c r="Q39" s="169" t="s">
        <v>120</v>
      </c>
      <c r="AG39" s="164" t="s">
        <v>119</v>
      </c>
      <c r="AH39" s="169" t="s">
        <v>120</v>
      </c>
    </row>
    <row r="40" spans="1:34">
      <c r="A40" s="155">
        <v>1</v>
      </c>
      <c r="B40" s="164" t="s">
        <v>122</v>
      </c>
      <c r="C40" s="175">
        <f>C34-C36-C37-C38</f>
        <v>-3.90231999999999</v>
      </c>
      <c r="D40" s="175">
        <f>D34-D36-D37-D38</f>
        <v>44.10368</v>
      </c>
      <c r="E40" s="175">
        <f>E34-E36-E37-E38</f>
        <v>8.16271999999999</v>
      </c>
      <c r="F40" s="175"/>
      <c r="Q40" s="164" t="s">
        <v>122</v>
      </c>
      <c r="AG40" s="164" t="s">
        <v>61</v>
      </c>
      <c r="AH40" s="164" t="s">
        <v>122</v>
      </c>
    </row>
    <row r="41" spans="1:34">
      <c r="A41" s="155">
        <v>2</v>
      </c>
      <c r="B41" s="164" t="s">
        <v>123</v>
      </c>
      <c r="C41" s="175"/>
      <c r="D41" s="175"/>
      <c r="E41" s="175"/>
      <c r="F41" s="175"/>
      <c r="Q41" s="164" t="s">
        <v>123</v>
      </c>
      <c r="AG41" s="164" t="s">
        <v>63</v>
      </c>
      <c r="AH41" s="164" t="s">
        <v>123</v>
      </c>
    </row>
    <row r="42" spans="1:34">
      <c r="A42" s="164" t="s">
        <v>119</v>
      </c>
      <c r="B42" s="169" t="s">
        <v>125</v>
      </c>
      <c r="C42" s="175"/>
      <c r="D42" s="175"/>
      <c r="E42" s="175"/>
      <c r="F42" s="175"/>
      <c r="Q42" s="169" t="s">
        <v>125</v>
      </c>
      <c r="AG42" s="164" t="s">
        <v>124</v>
      </c>
      <c r="AH42" s="169" t="s">
        <v>125</v>
      </c>
    </row>
    <row r="43" spans="1:34">
      <c r="A43" s="155">
        <v>1</v>
      </c>
      <c r="B43" s="176" t="s">
        <v>126</v>
      </c>
      <c r="C43" s="173">
        <f>标准成本!E5</f>
        <v>5.6949</v>
      </c>
      <c r="D43" s="173">
        <f>标准成本!E17</f>
        <v>5.3874</v>
      </c>
      <c r="E43" s="173">
        <f>标准成本!E30</f>
        <v>4.7396</v>
      </c>
      <c r="F43" s="175"/>
      <c r="Q43" s="164" t="s">
        <v>126</v>
      </c>
      <c r="AG43" s="164" t="s">
        <v>61</v>
      </c>
      <c r="AH43" s="164" t="s">
        <v>126</v>
      </c>
    </row>
    <row r="44" spans="1:34">
      <c r="A44" s="155">
        <v>2</v>
      </c>
      <c r="B44" s="176" t="s">
        <v>127</v>
      </c>
      <c r="C44" s="173">
        <f>标准成本!E9</f>
        <v>0.9723</v>
      </c>
      <c r="D44" s="173">
        <f>标准成本!E21</f>
        <v>0.9198</v>
      </c>
      <c r="E44" s="173">
        <f>标准成本!E34</f>
        <v>0.8092</v>
      </c>
      <c r="F44" s="175"/>
      <c r="Q44" s="164" t="s">
        <v>127</v>
      </c>
      <c r="AG44" s="164" t="s">
        <v>63</v>
      </c>
      <c r="AH44" s="164" t="s">
        <v>127</v>
      </c>
    </row>
    <row r="45" spans="1:34">
      <c r="A45" s="155">
        <v>3</v>
      </c>
      <c r="B45" s="176" t="s">
        <v>128</v>
      </c>
      <c r="C45" s="173">
        <f>标准成本!E8</f>
        <v>4.7226</v>
      </c>
      <c r="D45" s="173">
        <f>标准成本!E20</f>
        <v>4.4676</v>
      </c>
      <c r="E45" s="173">
        <f>标准成本!E33</f>
        <v>3.9304</v>
      </c>
      <c r="F45" s="175"/>
      <c r="Q45" s="164" t="s">
        <v>128</v>
      </c>
      <c r="AG45" s="164" t="s">
        <v>112</v>
      </c>
      <c r="AH45" s="164" t="s">
        <v>128</v>
      </c>
    </row>
    <row r="46" s="152" customFormat="1" spans="1:34">
      <c r="A46" s="155">
        <v>4</v>
      </c>
      <c r="B46" s="176" t="s">
        <v>129</v>
      </c>
      <c r="C46" s="181">
        <f>C21/C6</f>
        <v>0.222222222222222</v>
      </c>
      <c r="D46" s="181">
        <f>D21/D6</f>
        <v>0.222222222222222</v>
      </c>
      <c r="E46" s="181">
        <f>E21/E6</f>
        <v>0.222222222222222</v>
      </c>
      <c r="F46" s="181"/>
      <c r="Q46" s="176" t="s">
        <v>131</v>
      </c>
      <c r="AG46" s="176" t="s">
        <v>69</v>
      </c>
      <c r="AH46" s="176" t="s">
        <v>131</v>
      </c>
    </row>
    <row r="47" s="152" customFormat="1" spans="1:34">
      <c r="A47" s="155">
        <v>5</v>
      </c>
      <c r="B47" s="176" t="s">
        <v>131</v>
      </c>
      <c r="C47" s="181">
        <f>标准成本!E11</f>
        <v>4.167</v>
      </c>
      <c r="D47" s="181">
        <f>标准成本!E23</f>
        <v>3.942</v>
      </c>
      <c r="E47" s="181">
        <f>标准成本!E36</f>
        <v>3.468</v>
      </c>
      <c r="F47" s="181"/>
      <c r="Q47" s="176" t="s">
        <v>131</v>
      </c>
      <c r="AG47" s="176" t="s">
        <v>69</v>
      </c>
      <c r="AH47" s="176" t="s">
        <v>131</v>
      </c>
    </row>
    <row r="48" spans="1:34">
      <c r="A48" s="164" t="s">
        <v>124</v>
      </c>
      <c r="B48" s="169" t="s">
        <v>142</v>
      </c>
      <c r="C48" s="175">
        <f>C40-C43-C44-C45-C47-C46</f>
        <v>-19.6813422222222</v>
      </c>
      <c r="D48" s="175">
        <f>D40-D43-D44-D45-D47-D46</f>
        <v>29.1646577777778</v>
      </c>
      <c r="E48" s="175">
        <f>E40-E43-E44-E45-E47-E46</f>
        <v>-5.00670222222223</v>
      </c>
      <c r="F48" s="175"/>
      <c r="Q48" s="169" t="s">
        <v>142</v>
      </c>
      <c r="AG48" s="164" t="s">
        <v>141</v>
      </c>
      <c r="AH48" s="169" t="s">
        <v>142</v>
      </c>
    </row>
    <row r="51" spans="3:5">
      <c r="C51" s="182"/>
      <c r="D51" s="182"/>
      <c r="E51" s="182"/>
    </row>
    <row r="54" spans="2:11">
      <c r="B54" s="2"/>
      <c r="C54" s="183"/>
      <c r="D54" s="183"/>
      <c r="E54" s="183"/>
      <c r="F54" s="183"/>
      <c r="G54" s="2"/>
      <c r="H54" s="2"/>
      <c r="I54" s="2"/>
      <c r="J54" s="2"/>
      <c r="K54" s="2"/>
    </row>
    <row r="55" spans="2:11">
      <c r="B55" s="2"/>
      <c r="C55" s="183"/>
      <c r="D55" s="183"/>
      <c r="E55" s="183"/>
      <c r="F55" s="183"/>
      <c r="G55" s="2"/>
      <c r="H55" s="2"/>
      <c r="I55" s="2"/>
      <c r="J55" s="2"/>
      <c r="K55" s="2"/>
    </row>
    <row r="56" spans="2:11">
      <c r="B56" s="2"/>
      <c r="C56" s="183"/>
      <c r="D56" s="183"/>
      <c r="E56" s="183"/>
      <c r="F56" s="183"/>
      <c r="G56" s="2"/>
      <c r="H56" s="2"/>
      <c r="I56" s="2"/>
      <c r="J56" s="2"/>
      <c r="K56" s="2"/>
    </row>
    <row r="57" spans="2:11">
      <c r="B57" s="2"/>
      <c r="C57" s="183"/>
      <c r="D57" s="183"/>
      <c r="E57" s="183"/>
      <c r="F57" s="183"/>
      <c r="G57" s="2"/>
      <c r="H57" s="2"/>
      <c r="I57" s="2"/>
      <c r="J57" s="2"/>
      <c r="K57" s="2"/>
    </row>
    <row r="58" spans="2:11">
      <c r="B58" s="2"/>
      <c r="C58" s="183"/>
      <c r="D58" s="183"/>
      <c r="E58" s="183"/>
      <c r="F58" s="183"/>
      <c r="G58" s="2"/>
      <c r="H58" s="2"/>
      <c r="I58" s="2"/>
      <c r="J58" s="2"/>
      <c r="K58" s="2"/>
    </row>
    <row r="59" spans="2:11">
      <c r="B59" s="2"/>
      <c r="C59" s="183"/>
      <c r="D59" s="183"/>
      <c r="E59" s="183"/>
      <c r="F59" s="183"/>
      <c r="G59" s="2"/>
      <c r="H59" s="2"/>
      <c r="I59" s="2"/>
      <c r="J59" s="2"/>
      <c r="K59" s="2"/>
    </row>
    <row r="60" spans="2:11">
      <c r="B60" s="2"/>
      <c r="C60" s="183"/>
      <c r="D60" s="183"/>
      <c r="E60" s="183"/>
      <c r="F60" s="183"/>
      <c r="G60" s="2"/>
      <c r="H60" s="2"/>
      <c r="I60" s="2"/>
      <c r="J60" s="2"/>
      <c r="K60" s="2"/>
    </row>
    <row r="61" spans="2:11">
      <c r="B61" s="2"/>
      <c r="C61" s="183"/>
      <c r="D61" s="183"/>
      <c r="E61" s="183"/>
      <c r="F61" s="183"/>
      <c r="G61" s="2"/>
      <c r="H61" s="2"/>
      <c r="I61" s="2"/>
      <c r="J61" s="2"/>
      <c r="K61" s="2"/>
    </row>
    <row r="62" spans="2:11">
      <c r="B62" s="2"/>
      <c r="C62" s="183"/>
      <c r="D62" s="183"/>
      <c r="E62" s="183"/>
      <c r="F62" s="183"/>
      <c r="G62" s="2"/>
      <c r="H62" s="2"/>
      <c r="I62" s="2"/>
      <c r="J62" s="2"/>
      <c r="K62" s="2"/>
    </row>
    <row r="63" spans="2:11">
      <c r="B63" s="2"/>
      <c r="C63" s="183"/>
      <c r="D63" s="183"/>
      <c r="E63" s="183"/>
      <c r="F63" s="183"/>
      <c r="G63" s="2"/>
      <c r="H63" s="2"/>
      <c r="I63" s="2"/>
      <c r="J63" s="2"/>
      <c r="K63" s="2"/>
    </row>
    <row r="64" spans="2:11">
      <c r="B64" s="2"/>
      <c r="C64" s="183"/>
      <c r="D64" s="183"/>
      <c r="E64" s="183"/>
      <c r="F64" s="183"/>
      <c r="G64" s="2"/>
      <c r="H64" s="2"/>
      <c r="I64" s="2"/>
      <c r="J64" s="2"/>
      <c r="K64" s="2"/>
    </row>
    <row r="65" spans="2:11">
      <c r="B65" s="2"/>
      <c r="C65" s="183"/>
      <c r="D65" s="183"/>
      <c r="E65" s="183"/>
      <c r="F65" s="183"/>
      <c r="G65" s="2"/>
      <c r="H65" s="2"/>
      <c r="I65" s="2"/>
      <c r="J65" s="2"/>
      <c r="K65" s="2"/>
    </row>
    <row r="66" spans="2:11">
      <c r="B66" s="2"/>
      <c r="C66" s="183"/>
      <c r="D66" s="183"/>
      <c r="E66" s="183"/>
      <c r="F66" s="183"/>
      <c r="G66" s="2"/>
      <c r="H66" s="2"/>
      <c r="I66" s="2"/>
      <c r="J66" s="2"/>
      <c r="K66" s="2"/>
    </row>
    <row r="67" spans="2:7">
      <c r="B67" s="2"/>
      <c r="C67" s="183"/>
      <c r="D67" s="183"/>
      <c r="E67" s="183"/>
      <c r="F67" s="183"/>
      <c r="G67" s="2"/>
    </row>
    <row r="68" spans="2:7">
      <c r="B68" s="2"/>
      <c r="C68" s="183"/>
      <c r="D68" s="183"/>
      <c r="E68" s="183"/>
      <c r="F68" s="183"/>
      <c r="G68" s="2"/>
    </row>
    <row r="69" spans="2:7">
      <c r="B69" s="2"/>
      <c r="C69" s="183"/>
      <c r="D69" s="183"/>
      <c r="E69" s="183"/>
      <c r="F69" s="183"/>
      <c r="G69" s="2"/>
    </row>
    <row r="70" spans="2:7">
      <c r="B70" s="2"/>
      <c r="C70" s="183"/>
      <c r="D70" s="183"/>
      <c r="E70" s="183"/>
      <c r="F70" s="183"/>
      <c r="G70" s="2"/>
    </row>
    <row r="71" spans="2:7">
      <c r="B71" s="2"/>
      <c r="C71" s="183"/>
      <c r="D71" s="183"/>
      <c r="E71" s="183"/>
      <c r="F71" s="183"/>
      <c r="G71" s="2"/>
    </row>
    <row r="72" spans="2:7">
      <c r="B72" s="2"/>
      <c r="C72" s="183"/>
      <c r="D72" s="183"/>
      <c r="E72" s="183"/>
      <c r="F72" s="183"/>
      <c r="G72" s="2"/>
    </row>
    <row r="73" spans="2:7">
      <c r="B73" s="2"/>
      <c r="C73" s="183"/>
      <c r="D73" s="183"/>
      <c r="E73" s="183"/>
      <c r="F73" s="183"/>
      <c r="G73" s="2"/>
    </row>
    <row r="74" spans="2:7">
      <c r="B74" s="2"/>
      <c r="C74" s="183"/>
      <c r="D74" s="183"/>
      <c r="E74" s="183"/>
      <c r="F74" s="18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" sqref="C2:F2"/>
    </sheetView>
  </sheetViews>
  <sheetFormatPr defaultColWidth="9" defaultRowHeight="14.5"/>
  <cols>
    <col min="1" max="1" width="5.12727272727273" style="153" customWidth="1"/>
    <col min="2" max="2" width="17.5" style="153" customWidth="1"/>
    <col min="3" max="5" width="14.3636363636364" style="154" customWidth="1"/>
    <col min="6" max="6" width="18.7545454545455" style="154" customWidth="1"/>
    <col min="7" max="7" width="12.3727272727273" style="153" customWidth="1"/>
    <col min="8" max="8" width="10.1272727272727" style="153" customWidth="1"/>
    <col min="9" max="15" width="9" style="153" customWidth="1"/>
    <col min="16" max="16" width="9" style="153"/>
    <col min="17" max="17" width="9" style="153" hidden="1" customWidth="1"/>
    <col min="18" max="32" width="9" style="153"/>
    <col min="33" max="33" width="4.37272727272727" style="153" customWidth="1"/>
    <col min="34" max="34" width="13.8727272727273" style="153" customWidth="1"/>
    <col min="35" max="16384" width="9" style="153"/>
  </cols>
  <sheetData>
    <row r="1" spans="1:6">
      <c r="A1" s="155" t="s">
        <v>152</v>
      </c>
      <c r="B1" s="155"/>
      <c r="C1" s="156" t="s">
        <v>169</v>
      </c>
      <c r="D1" s="157"/>
      <c r="E1" s="157"/>
      <c r="F1" s="158"/>
    </row>
    <row r="2" spans="1:6">
      <c r="A2" s="155" t="s">
        <v>154</v>
      </c>
      <c r="B2" s="155"/>
      <c r="C2" s="159" t="s">
        <v>155</v>
      </c>
      <c r="D2" s="159"/>
      <c r="E2" s="159"/>
      <c r="F2" s="159"/>
    </row>
    <row r="3" ht="28" spans="1:6">
      <c r="A3" s="155" t="s">
        <v>156</v>
      </c>
      <c r="B3" s="155"/>
      <c r="C3" s="77" t="s">
        <v>157</v>
      </c>
      <c r="D3" s="77" t="s">
        <v>158</v>
      </c>
      <c r="E3" s="77" t="s">
        <v>159</v>
      </c>
      <c r="F3" s="160" t="s">
        <v>57</v>
      </c>
    </row>
    <row r="4" spans="1:6">
      <c r="A4" s="155" t="s">
        <v>160</v>
      </c>
      <c r="B4" s="155"/>
      <c r="C4" s="79" t="s">
        <v>161</v>
      </c>
      <c r="D4" s="79" t="s">
        <v>162</v>
      </c>
      <c r="E4" s="80" t="s">
        <v>163</v>
      </c>
      <c r="F4" s="161"/>
    </row>
    <row r="5" ht="16.5" spans="1:35">
      <c r="A5" s="155" t="s">
        <v>164</v>
      </c>
      <c r="B5" s="155"/>
      <c r="C5" s="162"/>
      <c r="D5" s="162"/>
      <c r="E5" s="162"/>
      <c r="F5" s="163"/>
      <c r="AI5" s="153" t="s">
        <v>58</v>
      </c>
    </row>
    <row r="6" ht="16.5" spans="1:35">
      <c r="A6" s="164" t="s">
        <v>21</v>
      </c>
      <c r="B6" s="165" t="s">
        <v>165</v>
      </c>
      <c r="C6" s="166">
        <f>销量!C10</f>
        <v>2000</v>
      </c>
      <c r="D6" s="166">
        <f>销量!D10</f>
        <v>2000</v>
      </c>
      <c r="E6" s="166">
        <f>销量!E10</f>
        <v>2000</v>
      </c>
      <c r="F6" s="167">
        <f t="shared" ref="F6:F15" si="0">+SUM(C6:E6)</f>
        <v>6000</v>
      </c>
      <c r="Q6" s="165" t="s">
        <v>3</v>
      </c>
      <c r="AG6" s="164" t="s">
        <v>21</v>
      </c>
      <c r="AH6" s="165" t="s">
        <v>3</v>
      </c>
      <c r="AI6" s="153" t="s">
        <v>59</v>
      </c>
    </row>
    <row r="7" spans="1:35">
      <c r="A7" s="155">
        <v>1</v>
      </c>
      <c r="B7" s="165" t="s">
        <v>60</v>
      </c>
      <c r="C7" s="167">
        <f>C6*销量!C8</f>
        <v>277800</v>
      </c>
      <c r="D7" s="167">
        <f>D6*销量!D8</f>
        <v>262800</v>
      </c>
      <c r="E7" s="167">
        <f>E6*销量!E8</f>
        <v>231200</v>
      </c>
      <c r="F7" s="167">
        <f t="shared" si="0"/>
        <v>771800</v>
      </c>
      <c r="G7" s="154"/>
      <c r="Q7" s="165" t="s">
        <v>60</v>
      </c>
      <c r="AG7" s="164" t="s">
        <v>61</v>
      </c>
      <c r="AH7" s="165" t="s">
        <v>60</v>
      </c>
      <c r="AI7" s="153" t="s">
        <v>59</v>
      </c>
    </row>
    <row r="8" spans="1:35">
      <c r="A8" s="155">
        <v>2</v>
      </c>
      <c r="B8" s="155" t="s">
        <v>62</v>
      </c>
      <c r="C8" s="167">
        <f>C7*(1-销量!$P$7)</f>
        <v>2778</v>
      </c>
      <c r="D8" s="167">
        <f>D7*(1-销量!$P$7)</f>
        <v>2628</v>
      </c>
      <c r="E8" s="167">
        <f>E7*(1-销量!$P$7)</f>
        <v>2312</v>
      </c>
      <c r="F8" s="167">
        <f t="shared" si="0"/>
        <v>7718.00000000001</v>
      </c>
      <c r="G8" s="168"/>
      <c r="Q8" s="155" t="s">
        <v>64</v>
      </c>
      <c r="AG8" s="164" t="s">
        <v>63</v>
      </c>
      <c r="AH8" s="155" t="s">
        <v>64</v>
      </c>
      <c r="AI8" s="153" t="s">
        <v>59</v>
      </c>
    </row>
    <row r="9" spans="1:35">
      <c r="A9" s="155">
        <v>3</v>
      </c>
      <c r="B9" s="165" t="s">
        <v>65</v>
      </c>
      <c r="C9" s="167">
        <f>+C7-C8</f>
        <v>275022</v>
      </c>
      <c r="D9" s="167">
        <f>+D7-D8</f>
        <v>260172</v>
      </c>
      <c r="E9" s="167">
        <f>+E7-E8</f>
        <v>228888</v>
      </c>
      <c r="F9" s="167">
        <f t="shared" si="0"/>
        <v>764082</v>
      </c>
      <c r="Q9" s="165" t="s">
        <v>65</v>
      </c>
      <c r="AG9" s="164" t="s">
        <v>66</v>
      </c>
      <c r="AH9" s="165" t="s">
        <v>65</v>
      </c>
      <c r="AI9" s="153" t="s">
        <v>67</v>
      </c>
    </row>
    <row r="10" spans="1:35">
      <c r="A10" s="155">
        <v>4</v>
      </c>
      <c r="B10" s="164" t="s">
        <v>70</v>
      </c>
      <c r="C10" s="167">
        <f>C6*C33</f>
        <v>247718.6</v>
      </c>
      <c r="D10" s="167">
        <f>D6*D33</f>
        <v>141620</v>
      </c>
      <c r="E10" s="167">
        <f>E6*E33</f>
        <v>184028.4</v>
      </c>
      <c r="F10" s="167">
        <f t="shared" si="0"/>
        <v>573367</v>
      </c>
      <c r="Q10" s="164" t="s">
        <v>70</v>
      </c>
      <c r="AG10" s="164" t="s">
        <v>69</v>
      </c>
      <c r="AH10" s="164" t="s">
        <v>70</v>
      </c>
      <c r="AI10" s="153" t="s">
        <v>71</v>
      </c>
    </row>
    <row r="11" spans="1:34">
      <c r="A11" s="155">
        <v>5</v>
      </c>
      <c r="B11" s="164" t="s">
        <v>72</v>
      </c>
      <c r="C11" s="167">
        <f>+C6*C36</f>
        <v>11973.18</v>
      </c>
      <c r="D11" s="167">
        <f>+D6*D36</f>
        <v>11326.68</v>
      </c>
      <c r="E11" s="167">
        <f>+E6*E36</f>
        <v>9964.72</v>
      </c>
      <c r="F11" s="167">
        <f t="shared" si="0"/>
        <v>33264.58</v>
      </c>
      <c r="Q11" s="164" t="s">
        <v>72</v>
      </c>
      <c r="AG11" s="164" t="s">
        <v>73</v>
      </c>
      <c r="AH11" s="164" t="s">
        <v>72</v>
      </c>
    </row>
    <row r="12" spans="1:34">
      <c r="A12" s="155">
        <v>6</v>
      </c>
      <c r="B12" s="164" t="s">
        <v>74</v>
      </c>
      <c r="C12" s="167">
        <f>+C6*C37</f>
        <v>6028.26</v>
      </c>
      <c r="D12" s="167">
        <f>+D6*D37</f>
        <v>5702.76</v>
      </c>
      <c r="E12" s="167">
        <f>+E6*E37</f>
        <v>5017.04</v>
      </c>
      <c r="F12" s="167">
        <f t="shared" si="0"/>
        <v>16748.06</v>
      </c>
      <c r="Q12" s="164" t="s">
        <v>74</v>
      </c>
      <c r="AG12" s="164" t="s">
        <v>75</v>
      </c>
      <c r="AH12" s="164" t="s">
        <v>74</v>
      </c>
    </row>
    <row r="13" spans="1:35">
      <c r="A13" s="155">
        <v>7</v>
      </c>
      <c r="B13" s="164" t="s">
        <v>76</v>
      </c>
      <c r="C13" s="167">
        <f>+C6*C38</f>
        <v>12223.2</v>
      </c>
      <c r="D13" s="167">
        <f>+D6*D38</f>
        <v>11563.2</v>
      </c>
      <c r="E13" s="167">
        <f>+E6*E38</f>
        <v>10172.8</v>
      </c>
      <c r="F13" s="167">
        <f t="shared" si="0"/>
        <v>33959.2</v>
      </c>
      <c r="Q13" s="164" t="s">
        <v>76</v>
      </c>
      <c r="AG13" s="164" t="s">
        <v>77</v>
      </c>
      <c r="AH13" s="164" t="s">
        <v>76</v>
      </c>
      <c r="AI13" s="153" t="s">
        <v>59</v>
      </c>
    </row>
    <row r="14" spans="1:34">
      <c r="A14" s="155">
        <v>8</v>
      </c>
      <c r="B14" s="169" t="s">
        <v>78</v>
      </c>
      <c r="C14" s="167">
        <f>SUM(C11:C13)</f>
        <v>30224.64</v>
      </c>
      <c r="D14" s="167">
        <f>SUM(D11:D13)</f>
        <v>28592.64</v>
      </c>
      <c r="E14" s="167">
        <f>SUM(E11:E13)</f>
        <v>25154.56</v>
      </c>
      <c r="F14" s="167">
        <f t="shared" si="0"/>
        <v>83971.84</v>
      </c>
      <c r="Q14" s="169" t="s">
        <v>78</v>
      </c>
      <c r="AG14" s="164" t="s">
        <v>79</v>
      </c>
      <c r="AH14" s="169" t="s">
        <v>78</v>
      </c>
    </row>
    <row r="15" spans="1:34">
      <c r="A15" s="155">
        <v>9</v>
      </c>
      <c r="B15" s="169" t="s">
        <v>80</v>
      </c>
      <c r="C15" s="167">
        <f>+C9-C10-C14</f>
        <v>-2921.23999999998</v>
      </c>
      <c r="D15" s="167">
        <f>+D9-D10-D14</f>
        <v>89959.36</v>
      </c>
      <c r="E15" s="167">
        <f>+E9-E10-E14</f>
        <v>19705.04</v>
      </c>
      <c r="F15" s="167">
        <f t="shared" si="0"/>
        <v>106743.16</v>
      </c>
      <c r="Q15" s="169" t="s">
        <v>80</v>
      </c>
      <c r="AG15" s="164" t="s">
        <v>81</v>
      </c>
      <c r="AH15" s="169" t="s">
        <v>80</v>
      </c>
    </row>
    <row r="16" spans="1:34">
      <c r="A16" s="155">
        <v>10</v>
      </c>
      <c r="B16" s="164" t="s">
        <v>82</v>
      </c>
      <c r="C16" s="170">
        <f>+C15/C9</f>
        <v>-0.0106218411617979</v>
      </c>
      <c r="D16" s="170">
        <f>+D15/D9</f>
        <v>0.345768799102132</v>
      </c>
      <c r="E16" s="170">
        <f>+E15/E9</f>
        <v>0.0860903149138444</v>
      </c>
      <c r="F16" s="170">
        <f>+F15/F9</f>
        <v>0.139701183904345</v>
      </c>
      <c r="Q16" s="164" t="s">
        <v>82</v>
      </c>
      <c r="AG16" s="164" t="s">
        <v>83</v>
      </c>
      <c r="AH16" s="164" t="s">
        <v>82</v>
      </c>
    </row>
    <row r="17" spans="1:34">
      <c r="A17" s="155">
        <v>11</v>
      </c>
      <c r="B17" s="164" t="s">
        <v>84</v>
      </c>
      <c r="C17" s="167">
        <f>C6*C43+C18</f>
        <v>11389.8</v>
      </c>
      <c r="D17" s="167">
        <f>D6*D43+D18</f>
        <v>10774.8</v>
      </c>
      <c r="E17" s="167">
        <f>E6*E43+E18</f>
        <v>9479.2</v>
      </c>
      <c r="F17" s="167">
        <f t="shared" ref="F17:F20" si="1">+SUM(C17:E17)</f>
        <v>31643.8</v>
      </c>
      <c r="G17" s="168"/>
      <c r="Q17" s="164" t="s">
        <v>84</v>
      </c>
      <c r="AG17" s="164" t="s">
        <v>85</v>
      </c>
      <c r="AH17" s="164" t="s">
        <v>84</v>
      </c>
    </row>
    <row r="18" s="151" customFormat="1" spans="1:9">
      <c r="A18" s="155">
        <v>12</v>
      </c>
      <c r="B18" s="172" t="s">
        <v>86</v>
      </c>
      <c r="C18" s="173">
        <f>$F$18/$F$6*C6</f>
        <v>0</v>
      </c>
      <c r="D18" s="173">
        <f>$F$18/$F$6*D6</f>
        <v>0</v>
      </c>
      <c r="E18" s="173">
        <f>$F$18/$F$6*E6</f>
        <v>0</v>
      </c>
      <c r="F18" s="167">
        <f>项目投资!E26</f>
        <v>0</v>
      </c>
      <c r="G18" s="174" t="s">
        <v>87</v>
      </c>
      <c r="H18" s="174"/>
      <c r="I18" s="174"/>
    </row>
    <row r="19" spans="1:35">
      <c r="A19" s="155">
        <v>13</v>
      </c>
      <c r="B19" s="164" t="s">
        <v>88</v>
      </c>
      <c r="C19" s="167">
        <f>C6*C44</f>
        <v>1944.6</v>
      </c>
      <c r="D19" s="167">
        <f>D6*D44</f>
        <v>1839.6</v>
      </c>
      <c r="E19" s="167">
        <f>E6*E44</f>
        <v>1618.4</v>
      </c>
      <c r="F19" s="167">
        <f t="shared" si="1"/>
        <v>5402.6</v>
      </c>
      <c r="G19" s="151"/>
      <c r="Q19" s="164" t="s">
        <v>88</v>
      </c>
      <c r="AG19" s="164" t="s">
        <v>89</v>
      </c>
      <c r="AH19" s="164" t="s">
        <v>88</v>
      </c>
      <c r="AI19" s="153" t="s">
        <v>59</v>
      </c>
    </row>
    <row r="20" spans="1:34">
      <c r="A20" s="155">
        <v>14</v>
      </c>
      <c r="B20" s="164" t="s">
        <v>90</v>
      </c>
      <c r="C20" s="167">
        <f>C6*C45</f>
        <v>9445.2</v>
      </c>
      <c r="D20" s="167">
        <f>D6*D45</f>
        <v>8935.2</v>
      </c>
      <c r="E20" s="167">
        <f>E6*E45</f>
        <v>7860.8</v>
      </c>
      <c r="F20" s="167">
        <f t="shared" si="1"/>
        <v>26241.2</v>
      </c>
      <c r="Q20" s="164" t="s">
        <v>90</v>
      </c>
      <c r="AG20" s="164" t="s">
        <v>91</v>
      </c>
      <c r="AH20" s="164" t="s">
        <v>90</v>
      </c>
    </row>
    <row r="21" spans="1:34">
      <c r="A21" s="155">
        <v>15</v>
      </c>
      <c r="B21" s="164" t="s">
        <v>92</v>
      </c>
      <c r="C21" s="175">
        <f>$F$21/$F$6*C6</f>
        <v>333.333333333333</v>
      </c>
      <c r="D21" s="175">
        <f>$F$21/$F$6*D6</f>
        <v>333.333333333333</v>
      </c>
      <c r="E21" s="175">
        <f>$F$21/$F$6*E6</f>
        <v>333.333333333333</v>
      </c>
      <c r="F21" s="167">
        <f>项目投资!D27</f>
        <v>1000</v>
      </c>
      <c r="Q21" s="164" t="s">
        <v>92</v>
      </c>
      <c r="AG21" s="164"/>
      <c r="AH21" s="164"/>
    </row>
    <row r="22" spans="1:34">
      <c r="A22" s="155">
        <v>16</v>
      </c>
      <c r="B22" s="164" t="s">
        <v>93</v>
      </c>
      <c r="C22" s="167">
        <f>C6*C47</f>
        <v>8334</v>
      </c>
      <c r="D22" s="167">
        <f>D6*D47</f>
        <v>7884</v>
      </c>
      <c r="E22" s="167">
        <f>E6*E47</f>
        <v>6936</v>
      </c>
      <c r="F22" s="167">
        <f t="shared" ref="F22:F26" si="2">+SUM(C22:E22)</f>
        <v>23154</v>
      </c>
      <c r="Q22" s="164" t="s">
        <v>93</v>
      </c>
      <c r="AG22" s="164" t="s">
        <v>94</v>
      </c>
      <c r="AH22" s="164" t="s">
        <v>93</v>
      </c>
    </row>
    <row r="23" spans="1:34">
      <c r="A23" s="155">
        <v>17</v>
      </c>
      <c r="B23" s="169" t="s">
        <v>95</v>
      </c>
      <c r="C23" s="175">
        <f>+C22+C21+C20+C19+C17</f>
        <v>31446.9333333333</v>
      </c>
      <c r="D23" s="175">
        <f>+D22+D21+D20+D19+D17</f>
        <v>29766.9333333333</v>
      </c>
      <c r="E23" s="175">
        <f>+E22+E21+E20+E19+E17</f>
        <v>26227.7333333333</v>
      </c>
      <c r="F23" s="167">
        <f t="shared" si="2"/>
        <v>87441.6</v>
      </c>
      <c r="Q23" s="169" t="s">
        <v>95</v>
      </c>
      <c r="AG23" s="164" t="s">
        <v>96</v>
      </c>
      <c r="AH23" s="169" t="s">
        <v>95</v>
      </c>
    </row>
    <row r="24" spans="1:34">
      <c r="A24" s="155">
        <v>18</v>
      </c>
      <c r="B24" s="176" t="s">
        <v>97</v>
      </c>
      <c r="C24" s="175">
        <f>+C15-C23</f>
        <v>-34368.1733333333</v>
      </c>
      <c r="D24" s="175">
        <f>+D15-D23</f>
        <v>60192.4266666667</v>
      </c>
      <c r="E24" s="175">
        <f>+E15-E23</f>
        <v>-6522.69333333333</v>
      </c>
      <c r="F24" s="167">
        <f t="shared" si="2"/>
        <v>19301.56</v>
      </c>
      <c r="H24" s="177"/>
      <c r="Q24" s="164" t="s">
        <v>97</v>
      </c>
      <c r="AG24" s="164" t="s">
        <v>98</v>
      </c>
      <c r="AH24" s="164" t="s">
        <v>97</v>
      </c>
    </row>
    <row r="25" spans="1:34">
      <c r="A25" s="155">
        <v>19</v>
      </c>
      <c r="B25" s="164" t="s">
        <v>166</v>
      </c>
      <c r="C25" s="175">
        <f>IF(C24&lt;0,0,C24*0.25)</f>
        <v>0</v>
      </c>
      <c r="D25" s="175">
        <f>IF(D24&lt;0,0,D24*0.25)</f>
        <v>15048.1066666667</v>
      </c>
      <c r="E25" s="175">
        <f>IF(E24&lt;0,0,E24*0.25)</f>
        <v>0</v>
      </c>
      <c r="F25" s="167">
        <f t="shared" si="2"/>
        <v>15048.1066666667</v>
      </c>
      <c r="G25" s="2"/>
      <c r="H25" s="2"/>
      <c r="I25" s="2"/>
      <c r="Q25" s="164" t="s">
        <v>38</v>
      </c>
      <c r="AG25" s="164" t="s">
        <v>99</v>
      </c>
      <c r="AH25" s="164" t="s">
        <v>38</v>
      </c>
    </row>
    <row r="26" spans="1:34">
      <c r="A26" s="155">
        <v>20</v>
      </c>
      <c r="B26" s="164" t="s">
        <v>100</v>
      </c>
      <c r="C26" s="175">
        <f>C24-C25</f>
        <v>-34368.1733333333</v>
      </c>
      <c r="D26" s="175">
        <f>D24-D25</f>
        <v>45144.32</v>
      </c>
      <c r="E26" s="175">
        <f>E24-E25</f>
        <v>-6522.69333333333</v>
      </c>
      <c r="F26" s="167">
        <f t="shared" si="2"/>
        <v>4253.45333333336</v>
      </c>
      <c r="G26" s="2"/>
      <c r="H26" s="2"/>
      <c r="I26" s="2"/>
      <c r="Q26" s="164" t="s">
        <v>100</v>
      </c>
      <c r="AG26" s="164" t="s">
        <v>101</v>
      </c>
      <c r="AH26" s="164" t="s">
        <v>100</v>
      </c>
    </row>
    <row r="27" spans="1:34">
      <c r="A27" s="155">
        <v>21</v>
      </c>
      <c r="B27" s="164" t="s">
        <v>104</v>
      </c>
      <c r="C27" s="178">
        <f>C26/C7</f>
        <v>-0.123715526757859</v>
      </c>
      <c r="D27" s="178">
        <f>D26/D7</f>
        <v>0.17178203957382</v>
      </c>
      <c r="E27" s="178">
        <f>E26/E7</f>
        <v>-0.0282123414071511</v>
      </c>
      <c r="F27" s="178">
        <f>F26/F7</f>
        <v>0.00551108231838995</v>
      </c>
      <c r="G27" s="2"/>
      <c r="H27" s="2"/>
      <c r="I27" s="2"/>
      <c r="Q27" s="164" t="s">
        <v>104</v>
      </c>
      <c r="AG27" s="164" t="s">
        <v>103</v>
      </c>
      <c r="AH27" s="164" t="s">
        <v>104</v>
      </c>
    </row>
    <row r="28" spans="7:17">
      <c r="G28" s="2"/>
      <c r="H28" s="2"/>
      <c r="I28" s="2"/>
      <c r="Q28" s="164"/>
    </row>
    <row r="29" spans="1:33">
      <c r="A29" s="153" t="s">
        <v>105</v>
      </c>
      <c r="F29" s="154" t="s">
        <v>167</v>
      </c>
      <c r="G29" s="2"/>
      <c r="H29" s="2"/>
      <c r="I29" s="2"/>
      <c r="Q29" s="164"/>
      <c r="AG29" s="153" t="s">
        <v>105</v>
      </c>
    </row>
    <row r="30" spans="1:34">
      <c r="A30" s="164" t="s">
        <v>107</v>
      </c>
      <c r="B30" s="169" t="s">
        <v>108</v>
      </c>
      <c r="C30" s="175"/>
      <c r="D30" s="175"/>
      <c r="E30" s="175"/>
      <c r="F30" s="175"/>
      <c r="G30" s="2"/>
      <c r="H30" s="2"/>
      <c r="I30" s="2"/>
      <c r="K30" s="2"/>
      <c r="Q30" s="169" t="s">
        <v>108</v>
      </c>
      <c r="AG30" s="164" t="s">
        <v>109</v>
      </c>
      <c r="AH30" s="169" t="s">
        <v>108</v>
      </c>
    </row>
    <row r="31" spans="1:34">
      <c r="A31" s="155">
        <v>1</v>
      </c>
      <c r="B31" s="172" t="s">
        <v>110</v>
      </c>
      <c r="C31" s="179">
        <f>(C7-C8)/C6</f>
        <v>137.511</v>
      </c>
      <c r="D31" s="179">
        <f>(D7-D8)/D6</f>
        <v>130.086</v>
      </c>
      <c r="E31" s="179">
        <f>(E7-E8)/E6</f>
        <v>114.444</v>
      </c>
      <c r="F31" s="175"/>
      <c r="G31" s="2"/>
      <c r="H31" s="2"/>
      <c r="I31" s="2"/>
      <c r="K31" s="2"/>
      <c r="Q31" s="164" t="s">
        <v>110</v>
      </c>
      <c r="AG31" s="164" t="s">
        <v>61</v>
      </c>
      <c r="AH31" s="164" t="s">
        <v>110</v>
      </c>
    </row>
    <row r="32" spans="1:34">
      <c r="A32" s="155">
        <v>2</v>
      </c>
      <c r="B32" s="164" t="s">
        <v>168</v>
      </c>
      <c r="C32" s="167">
        <f>C31*1</f>
        <v>137.511</v>
      </c>
      <c r="D32" s="167">
        <f>D31*1</f>
        <v>130.086</v>
      </c>
      <c r="E32" s="167">
        <f>E31*1</f>
        <v>114.444</v>
      </c>
      <c r="F32" s="175"/>
      <c r="G32" s="2"/>
      <c r="H32" s="2"/>
      <c r="I32" s="2"/>
      <c r="J32" s="2"/>
      <c r="K32" s="2"/>
      <c r="L32" s="2"/>
      <c r="M32" s="2"/>
      <c r="AG32" s="164"/>
      <c r="AH32" s="164"/>
    </row>
    <row r="33" spans="1:34">
      <c r="A33" s="155">
        <v>3</v>
      </c>
      <c r="B33" s="172" t="s">
        <v>111</v>
      </c>
      <c r="C33" s="167">
        <f>材料成本!D27</f>
        <v>123.8593</v>
      </c>
      <c r="D33" s="167">
        <f>材料成本!E27</f>
        <v>70.81</v>
      </c>
      <c r="E33" s="167">
        <f>材料成本!F27</f>
        <v>92.0142</v>
      </c>
      <c r="F33" s="175"/>
      <c r="H33" s="2"/>
      <c r="I33" s="2"/>
      <c r="J33" s="2"/>
      <c r="K33" s="2"/>
      <c r="L33" s="2"/>
      <c r="M33" s="2"/>
      <c r="Q33" s="164" t="s">
        <v>111</v>
      </c>
      <c r="AG33" s="164" t="s">
        <v>63</v>
      </c>
      <c r="AH33" s="164" t="s">
        <v>111</v>
      </c>
    </row>
    <row r="34" ht="17.25" customHeight="1" spans="1:34">
      <c r="A34" s="155">
        <v>4</v>
      </c>
      <c r="B34" s="164" t="s">
        <v>113</v>
      </c>
      <c r="C34" s="180">
        <f>C32-C33</f>
        <v>13.6517</v>
      </c>
      <c r="D34" s="180">
        <f>D32-D33</f>
        <v>59.276</v>
      </c>
      <c r="E34" s="180">
        <f>E32-E33</f>
        <v>22.4298</v>
      </c>
      <c r="F34" s="175"/>
      <c r="H34" s="2"/>
      <c r="I34" s="2"/>
      <c r="J34" s="2"/>
      <c r="K34" s="2"/>
      <c r="L34" s="2"/>
      <c r="M34" s="2"/>
      <c r="Q34" s="164" t="s">
        <v>113</v>
      </c>
      <c r="AG34" s="164" t="s">
        <v>112</v>
      </c>
      <c r="AH34" s="164" t="s">
        <v>113</v>
      </c>
    </row>
    <row r="35" spans="1:34">
      <c r="A35" s="164" t="s">
        <v>109</v>
      </c>
      <c r="B35" s="169" t="s">
        <v>10</v>
      </c>
      <c r="C35" s="175"/>
      <c r="D35" s="175"/>
      <c r="E35" s="175"/>
      <c r="F35" s="175"/>
      <c r="G35" s="2"/>
      <c r="H35" s="2"/>
      <c r="I35" s="2"/>
      <c r="J35" s="2"/>
      <c r="K35" s="2"/>
      <c r="L35" s="2"/>
      <c r="M35" s="2"/>
      <c r="N35" s="2"/>
      <c r="O35" s="2"/>
      <c r="P35" s="2"/>
      <c r="Q35" s="169" t="s">
        <v>10</v>
      </c>
      <c r="AG35" s="164" t="s">
        <v>115</v>
      </c>
      <c r="AH35" s="169" t="s">
        <v>10</v>
      </c>
    </row>
    <row r="36" spans="1:34">
      <c r="A36" s="155">
        <v>1</v>
      </c>
      <c r="B36" s="164" t="s">
        <v>116</v>
      </c>
      <c r="C36" s="173">
        <f>标准成本!E4</f>
        <v>5.98659</v>
      </c>
      <c r="D36" s="173">
        <f>标准成本!E16</f>
        <v>5.66334</v>
      </c>
      <c r="E36" s="173">
        <f>标准成本!E29</f>
        <v>4.98236</v>
      </c>
      <c r="F36" s="179"/>
      <c r="G36" s="2"/>
      <c r="H36" s="2"/>
      <c r="I36" s="2"/>
      <c r="J36" s="2"/>
      <c r="K36" s="2"/>
      <c r="L36" s="2"/>
      <c r="M36" s="2"/>
      <c r="N36" s="2"/>
      <c r="O36" s="2"/>
      <c r="P36" s="2"/>
      <c r="Q36" s="164" t="s">
        <v>116</v>
      </c>
      <c r="AG36" s="164" t="s">
        <v>112</v>
      </c>
      <c r="AH36" s="164" t="s">
        <v>116</v>
      </c>
    </row>
    <row r="37" spans="1:34">
      <c r="A37" s="155">
        <v>2</v>
      </c>
      <c r="B37" s="164" t="s">
        <v>117</v>
      </c>
      <c r="C37" s="173">
        <f>标准成本!E6</f>
        <v>3.01413</v>
      </c>
      <c r="D37" s="173">
        <f>标准成本!E18</f>
        <v>2.85138</v>
      </c>
      <c r="E37" s="173">
        <f>标准成本!E31</f>
        <v>2.50852</v>
      </c>
      <c r="F37" s="179"/>
      <c r="G37" s="2"/>
      <c r="H37" s="2"/>
      <c r="I37" s="2"/>
      <c r="J37" s="2"/>
      <c r="K37" s="2"/>
      <c r="L37" s="2"/>
      <c r="M37" s="2"/>
      <c r="N37" s="2"/>
      <c r="O37" s="2"/>
      <c r="P37" s="2"/>
      <c r="Q37" s="164" t="s">
        <v>117</v>
      </c>
      <c r="AG37" s="164" t="s">
        <v>66</v>
      </c>
      <c r="AH37" s="164" t="s">
        <v>117</v>
      </c>
    </row>
    <row r="38" spans="1:34">
      <c r="A38" s="155">
        <v>3</v>
      </c>
      <c r="B38" s="164" t="s">
        <v>118</v>
      </c>
      <c r="C38" s="173">
        <f>标准成本!E10</f>
        <v>6.1116</v>
      </c>
      <c r="D38" s="173">
        <f>标准成本!E22</f>
        <v>5.7816</v>
      </c>
      <c r="E38" s="173">
        <f>标准成本!E35</f>
        <v>5.0864</v>
      </c>
      <c r="F38" s="179"/>
      <c r="G38" s="2"/>
      <c r="H38" s="2"/>
      <c r="I38" s="2"/>
      <c r="J38" s="2"/>
      <c r="K38" s="2"/>
      <c r="L38" s="2"/>
      <c r="M38" s="2"/>
      <c r="N38" s="2"/>
      <c r="O38" s="2"/>
      <c r="P38" s="2"/>
      <c r="Q38" s="164" t="s">
        <v>118</v>
      </c>
      <c r="AG38" s="164" t="s">
        <v>73</v>
      </c>
      <c r="AH38" s="164" t="s">
        <v>118</v>
      </c>
    </row>
    <row r="39" spans="1:34">
      <c r="A39" s="164" t="s">
        <v>115</v>
      </c>
      <c r="B39" s="169" t="s">
        <v>120</v>
      </c>
      <c r="C39" s="175"/>
      <c r="D39" s="175"/>
      <c r="E39" s="175"/>
      <c r="F39" s="175"/>
      <c r="Q39" s="169" t="s">
        <v>120</v>
      </c>
      <c r="AG39" s="164" t="s">
        <v>119</v>
      </c>
      <c r="AH39" s="169" t="s">
        <v>120</v>
      </c>
    </row>
    <row r="40" spans="1:34">
      <c r="A40" s="155">
        <v>1</v>
      </c>
      <c r="B40" s="164" t="s">
        <v>122</v>
      </c>
      <c r="C40" s="175">
        <f>C34-C36-C37-C38</f>
        <v>-1.46062</v>
      </c>
      <c r="D40" s="175">
        <f>D34-D36-D37-D38</f>
        <v>44.97968</v>
      </c>
      <c r="E40" s="175">
        <f>E34-E36-E37-E38</f>
        <v>9.85252</v>
      </c>
      <c r="F40" s="175"/>
      <c r="Q40" s="164" t="s">
        <v>122</v>
      </c>
      <c r="AG40" s="164" t="s">
        <v>61</v>
      </c>
      <c r="AH40" s="164" t="s">
        <v>122</v>
      </c>
    </row>
    <row r="41" spans="1:34">
      <c r="A41" s="155">
        <v>2</v>
      </c>
      <c r="B41" s="164" t="s">
        <v>123</v>
      </c>
      <c r="C41" s="175"/>
      <c r="D41" s="175"/>
      <c r="E41" s="175"/>
      <c r="F41" s="175"/>
      <c r="Q41" s="164" t="s">
        <v>123</v>
      </c>
      <c r="AG41" s="164" t="s">
        <v>63</v>
      </c>
      <c r="AH41" s="164" t="s">
        <v>123</v>
      </c>
    </row>
    <row r="42" spans="1:34">
      <c r="A42" s="164" t="s">
        <v>119</v>
      </c>
      <c r="B42" s="169" t="s">
        <v>125</v>
      </c>
      <c r="C42" s="175"/>
      <c r="D42" s="175"/>
      <c r="E42" s="175"/>
      <c r="F42" s="175"/>
      <c r="Q42" s="169" t="s">
        <v>125</v>
      </c>
      <c r="AG42" s="164" t="s">
        <v>124</v>
      </c>
      <c r="AH42" s="169" t="s">
        <v>125</v>
      </c>
    </row>
    <row r="43" spans="1:34">
      <c r="A43" s="155">
        <v>1</v>
      </c>
      <c r="B43" s="176" t="s">
        <v>126</v>
      </c>
      <c r="C43" s="173">
        <f>标准成本!E5</f>
        <v>5.6949</v>
      </c>
      <c r="D43" s="173">
        <f>标准成本!E17</f>
        <v>5.3874</v>
      </c>
      <c r="E43" s="173">
        <f>标准成本!E30</f>
        <v>4.7396</v>
      </c>
      <c r="F43" s="175"/>
      <c r="Q43" s="164" t="s">
        <v>126</v>
      </c>
      <c r="AG43" s="164" t="s">
        <v>61</v>
      </c>
      <c r="AH43" s="164" t="s">
        <v>126</v>
      </c>
    </row>
    <row r="44" spans="1:34">
      <c r="A44" s="155">
        <v>2</v>
      </c>
      <c r="B44" s="176" t="s">
        <v>127</v>
      </c>
      <c r="C44" s="173">
        <f>标准成本!E9</f>
        <v>0.9723</v>
      </c>
      <c r="D44" s="173">
        <f>标准成本!E21</f>
        <v>0.9198</v>
      </c>
      <c r="E44" s="173">
        <f>标准成本!E34</f>
        <v>0.8092</v>
      </c>
      <c r="F44" s="175"/>
      <c r="Q44" s="164" t="s">
        <v>127</v>
      </c>
      <c r="AG44" s="164" t="s">
        <v>63</v>
      </c>
      <c r="AH44" s="164" t="s">
        <v>127</v>
      </c>
    </row>
    <row r="45" spans="1:34">
      <c r="A45" s="155">
        <v>3</v>
      </c>
      <c r="B45" s="176" t="s">
        <v>128</v>
      </c>
      <c r="C45" s="173">
        <f>标准成本!E8</f>
        <v>4.7226</v>
      </c>
      <c r="D45" s="173">
        <f>标准成本!E20</f>
        <v>4.4676</v>
      </c>
      <c r="E45" s="173">
        <f>标准成本!E33</f>
        <v>3.9304</v>
      </c>
      <c r="F45" s="175"/>
      <c r="Q45" s="164" t="s">
        <v>128</v>
      </c>
      <c r="AG45" s="164" t="s">
        <v>112</v>
      </c>
      <c r="AH45" s="164" t="s">
        <v>128</v>
      </c>
    </row>
    <row r="46" s="152" customFormat="1" spans="1:34">
      <c r="A46" s="155">
        <v>4</v>
      </c>
      <c r="B46" s="176" t="s">
        <v>129</v>
      </c>
      <c r="C46" s="181">
        <f>C21/C6</f>
        <v>0.166666666666667</v>
      </c>
      <c r="D46" s="181">
        <f>D21/D6</f>
        <v>0.166666666666667</v>
      </c>
      <c r="E46" s="181">
        <f>E21/E6</f>
        <v>0.166666666666667</v>
      </c>
      <c r="F46" s="181"/>
      <c r="Q46" s="176" t="s">
        <v>131</v>
      </c>
      <c r="AG46" s="176" t="s">
        <v>69</v>
      </c>
      <c r="AH46" s="176" t="s">
        <v>131</v>
      </c>
    </row>
    <row r="47" s="152" customFormat="1" spans="1:34">
      <c r="A47" s="155">
        <v>5</v>
      </c>
      <c r="B47" s="176" t="s">
        <v>131</v>
      </c>
      <c r="C47" s="181">
        <f>标准成本!E11</f>
        <v>4.167</v>
      </c>
      <c r="D47" s="181">
        <f>标准成本!E23</f>
        <v>3.942</v>
      </c>
      <c r="E47" s="181">
        <f>标准成本!E36</f>
        <v>3.468</v>
      </c>
      <c r="F47" s="181"/>
      <c r="Q47" s="176" t="s">
        <v>131</v>
      </c>
      <c r="AG47" s="176" t="s">
        <v>69</v>
      </c>
      <c r="AH47" s="176" t="s">
        <v>131</v>
      </c>
    </row>
    <row r="48" spans="1:34">
      <c r="A48" s="164" t="s">
        <v>124</v>
      </c>
      <c r="B48" s="169" t="s">
        <v>142</v>
      </c>
      <c r="C48" s="175">
        <f>C40-C43-C44-C45-C47-C46</f>
        <v>-17.1840866666667</v>
      </c>
      <c r="D48" s="175">
        <f>D40-D43-D44-D45-D47-D46</f>
        <v>30.0962133333333</v>
      </c>
      <c r="E48" s="175">
        <f>E40-E43-E44-E45-E47-E46</f>
        <v>-3.26134666666667</v>
      </c>
      <c r="F48" s="175"/>
      <c r="Q48" s="169" t="s">
        <v>142</v>
      </c>
      <c r="AG48" s="164" t="s">
        <v>141</v>
      </c>
      <c r="AH48" s="169" t="s">
        <v>142</v>
      </c>
    </row>
    <row r="51" spans="3:5">
      <c r="C51" s="182"/>
      <c r="D51" s="182"/>
      <c r="E51" s="182"/>
    </row>
    <row r="54" spans="2:11">
      <c r="B54" s="2"/>
      <c r="C54" s="183"/>
      <c r="D54" s="183"/>
      <c r="E54" s="183"/>
      <c r="F54" s="183"/>
      <c r="G54" s="2"/>
      <c r="H54" s="2"/>
      <c r="I54" s="2"/>
      <c r="J54" s="2"/>
      <c r="K54" s="2"/>
    </row>
    <row r="55" spans="2:11">
      <c r="B55" s="2"/>
      <c r="C55" s="183"/>
      <c r="D55" s="183"/>
      <c r="E55" s="183"/>
      <c r="F55" s="183"/>
      <c r="G55" s="2"/>
      <c r="H55" s="2"/>
      <c r="I55" s="2"/>
      <c r="J55" s="2"/>
      <c r="K55" s="2"/>
    </row>
    <row r="56" spans="2:11">
      <c r="B56" s="2"/>
      <c r="C56" s="183"/>
      <c r="D56" s="183"/>
      <c r="E56" s="183"/>
      <c r="F56" s="183"/>
      <c r="G56" s="2"/>
      <c r="H56" s="2"/>
      <c r="I56" s="2"/>
      <c r="J56" s="2"/>
      <c r="K56" s="2"/>
    </row>
    <row r="57" spans="2:11">
      <c r="B57" s="2"/>
      <c r="C57" s="183"/>
      <c r="D57" s="183"/>
      <c r="E57" s="183"/>
      <c r="F57" s="183"/>
      <c r="G57" s="2"/>
      <c r="H57" s="2"/>
      <c r="I57" s="2"/>
      <c r="J57" s="2"/>
      <c r="K57" s="2"/>
    </row>
    <row r="58" spans="2:11">
      <c r="B58" s="2"/>
      <c r="C58" s="183"/>
      <c r="D58" s="183"/>
      <c r="E58" s="183"/>
      <c r="F58" s="183"/>
      <c r="G58" s="2"/>
      <c r="H58" s="2"/>
      <c r="I58" s="2"/>
      <c r="J58" s="2"/>
      <c r="K58" s="2"/>
    </row>
    <row r="59" spans="2:11">
      <c r="B59" s="2"/>
      <c r="C59" s="183"/>
      <c r="D59" s="183"/>
      <c r="E59" s="183"/>
      <c r="F59" s="183"/>
      <c r="G59" s="2"/>
      <c r="H59" s="2"/>
      <c r="I59" s="2"/>
      <c r="J59" s="2"/>
      <c r="K59" s="2"/>
    </row>
    <row r="60" spans="2:11">
      <c r="B60" s="2"/>
      <c r="C60" s="183"/>
      <c r="D60" s="183"/>
      <c r="E60" s="183"/>
      <c r="F60" s="183"/>
      <c r="G60" s="2"/>
      <c r="H60" s="2"/>
      <c r="I60" s="2"/>
      <c r="J60" s="2"/>
      <c r="K60" s="2"/>
    </row>
    <row r="61" spans="2:11">
      <c r="B61" s="2"/>
      <c r="C61" s="183"/>
      <c r="D61" s="183"/>
      <c r="E61" s="183"/>
      <c r="F61" s="183"/>
      <c r="G61" s="2"/>
      <c r="H61" s="2"/>
      <c r="I61" s="2"/>
      <c r="J61" s="2"/>
      <c r="K61" s="2"/>
    </row>
    <row r="62" spans="2:11">
      <c r="B62" s="2"/>
      <c r="C62" s="183"/>
      <c r="D62" s="183"/>
      <c r="E62" s="183"/>
      <c r="F62" s="183"/>
      <c r="G62" s="2"/>
      <c r="H62" s="2"/>
      <c r="I62" s="2"/>
      <c r="J62" s="2"/>
      <c r="K62" s="2"/>
    </row>
    <row r="63" spans="2:11">
      <c r="B63" s="2"/>
      <c r="C63" s="183"/>
      <c r="D63" s="183"/>
      <c r="E63" s="183"/>
      <c r="F63" s="183"/>
      <c r="G63" s="2"/>
      <c r="H63" s="2"/>
      <c r="I63" s="2"/>
      <c r="J63" s="2"/>
      <c r="K63" s="2"/>
    </row>
    <row r="64" spans="2:11">
      <c r="B64" s="2"/>
      <c r="C64" s="183"/>
      <c r="D64" s="183"/>
      <c r="E64" s="183"/>
      <c r="F64" s="183"/>
      <c r="G64" s="2"/>
      <c r="H64" s="2"/>
      <c r="I64" s="2"/>
      <c r="J64" s="2"/>
      <c r="K64" s="2"/>
    </row>
    <row r="65" spans="2:11">
      <c r="B65" s="2"/>
      <c r="C65" s="183"/>
      <c r="D65" s="183"/>
      <c r="E65" s="183"/>
      <c r="F65" s="183"/>
      <c r="G65" s="2"/>
      <c r="H65" s="2"/>
      <c r="I65" s="2"/>
      <c r="J65" s="2"/>
      <c r="K65" s="2"/>
    </row>
    <row r="66" spans="2:11">
      <c r="B66" s="2"/>
      <c r="C66" s="183"/>
      <c r="D66" s="183"/>
      <c r="E66" s="183"/>
      <c r="F66" s="183"/>
      <c r="G66" s="2"/>
      <c r="H66" s="2"/>
      <c r="I66" s="2"/>
      <c r="J66" s="2"/>
      <c r="K66" s="2"/>
    </row>
    <row r="67" spans="2:7">
      <c r="B67" s="2"/>
      <c r="C67" s="183"/>
      <c r="D67" s="183"/>
      <c r="E67" s="183"/>
      <c r="F67" s="183"/>
      <c r="G67" s="2"/>
    </row>
    <row r="68" spans="2:7">
      <c r="B68" s="2"/>
      <c r="C68" s="183"/>
      <c r="D68" s="183"/>
      <c r="E68" s="183"/>
      <c r="F68" s="183"/>
      <c r="G68" s="2"/>
    </row>
    <row r="69" spans="2:7">
      <c r="B69" s="2"/>
      <c r="C69" s="183"/>
      <c r="D69" s="183"/>
      <c r="E69" s="183"/>
      <c r="F69" s="183"/>
      <c r="G69" s="2"/>
    </row>
    <row r="70" spans="2:7">
      <c r="B70" s="2"/>
      <c r="C70" s="183"/>
      <c r="D70" s="183"/>
      <c r="E70" s="183"/>
      <c r="F70" s="183"/>
      <c r="G70" s="2"/>
    </row>
    <row r="71" spans="2:7">
      <c r="B71" s="2"/>
      <c r="C71" s="183"/>
      <c r="D71" s="183"/>
      <c r="E71" s="183"/>
      <c r="F71" s="183"/>
      <c r="G71" s="2"/>
    </row>
    <row r="72" spans="2:7">
      <c r="B72" s="2"/>
      <c r="C72" s="183"/>
      <c r="D72" s="183"/>
      <c r="E72" s="183"/>
      <c r="F72" s="183"/>
      <c r="G72" s="2"/>
    </row>
    <row r="73" spans="2:7">
      <c r="B73" s="2"/>
      <c r="C73" s="183"/>
      <c r="D73" s="183"/>
      <c r="E73" s="183"/>
      <c r="F73" s="183"/>
      <c r="G73" s="2"/>
    </row>
    <row r="74" spans="2:7">
      <c r="B74" s="2"/>
      <c r="C74" s="183"/>
      <c r="D74" s="183"/>
      <c r="E74" s="183"/>
      <c r="F74" s="18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9" activePane="bottomRight" state="frozen"/>
      <selection/>
      <selection pane="topRight"/>
      <selection pane="bottomLeft"/>
      <selection pane="bottomRight" activeCell="E37" sqref="E37:E38"/>
    </sheetView>
  </sheetViews>
  <sheetFormatPr defaultColWidth="9" defaultRowHeight="14.5"/>
  <cols>
    <col min="1" max="1" width="5.12727272727273" style="153" customWidth="1"/>
    <col min="2" max="2" width="17.5" style="153" customWidth="1"/>
    <col min="3" max="3" width="15.5" style="154" customWidth="1"/>
    <col min="4" max="5" width="15.5454545454545" style="154" customWidth="1"/>
    <col min="6" max="6" width="18.7545454545455" style="154" customWidth="1"/>
    <col min="7" max="7" width="12.3727272727273" style="153" customWidth="1"/>
    <col min="8" max="8" width="10.1272727272727" style="153" customWidth="1"/>
    <col min="9" max="15" width="9" style="153" customWidth="1"/>
    <col min="16" max="16" width="9" style="153"/>
    <col min="17" max="17" width="9" style="153" hidden="1" customWidth="1"/>
    <col min="18" max="32" width="9" style="153"/>
    <col min="33" max="33" width="4.37272727272727" style="153" customWidth="1"/>
    <col min="34" max="34" width="13.8727272727273" style="153" customWidth="1"/>
    <col min="35" max="16384" width="9" style="153"/>
  </cols>
  <sheetData>
    <row r="1" spans="1:6">
      <c r="A1" s="155" t="s">
        <v>152</v>
      </c>
      <c r="B1" s="155"/>
      <c r="C1" s="156" t="s">
        <v>170</v>
      </c>
      <c r="D1" s="157"/>
      <c r="E1" s="157"/>
      <c r="F1" s="158"/>
    </row>
    <row r="2" spans="1:6">
      <c r="A2" s="155" t="s">
        <v>154</v>
      </c>
      <c r="B2" s="155"/>
      <c r="C2" s="159" t="s">
        <v>155</v>
      </c>
      <c r="D2" s="159"/>
      <c r="E2" s="159"/>
      <c r="F2" s="159"/>
    </row>
    <row r="3" ht="28" spans="1:6">
      <c r="A3" s="155" t="s">
        <v>156</v>
      </c>
      <c r="B3" s="155"/>
      <c r="C3" s="77" t="s">
        <v>157</v>
      </c>
      <c r="D3" s="77" t="s">
        <v>158</v>
      </c>
      <c r="E3" s="77" t="s">
        <v>159</v>
      </c>
      <c r="F3" s="160" t="s">
        <v>57</v>
      </c>
    </row>
    <row r="4" spans="1:6">
      <c r="A4" s="155" t="s">
        <v>160</v>
      </c>
      <c r="B4" s="155"/>
      <c r="C4" s="79" t="s">
        <v>161</v>
      </c>
      <c r="D4" s="79" t="s">
        <v>162</v>
      </c>
      <c r="E4" s="80" t="s">
        <v>163</v>
      </c>
      <c r="F4" s="161"/>
    </row>
    <row r="5" ht="16.5" spans="1:35">
      <c r="A5" s="155" t="s">
        <v>164</v>
      </c>
      <c r="B5" s="155"/>
      <c r="C5" s="162"/>
      <c r="D5" s="162"/>
      <c r="E5" s="162"/>
      <c r="F5" s="163"/>
      <c r="AI5" s="153" t="s">
        <v>58</v>
      </c>
    </row>
    <row r="6" ht="16.5" spans="1:35">
      <c r="A6" s="164" t="s">
        <v>21</v>
      </c>
      <c r="B6" s="165" t="s">
        <v>165</v>
      </c>
      <c r="C6" s="166">
        <f>销量!C11</f>
        <v>2600</v>
      </c>
      <c r="D6" s="166">
        <f>销量!D11</f>
        <v>2600</v>
      </c>
      <c r="E6" s="166">
        <f>销量!E11</f>
        <v>2600</v>
      </c>
      <c r="F6" s="167">
        <f t="shared" ref="F6:F15" si="0">+SUM(C6:E6)</f>
        <v>7800</v>
      </c>
      <c r="Q6" s="165" t="s">
        <v>3</v>
      </c>
      <c r="AG6" s="164" t="s">
        <v>21</v>
      </c>
      <c r="AH6" s="165" t="s">
        <v>3</v>
      </c>
      <c r="AI6" s="153" t="s">
        <v>59</v>
      </c>
    </row>
    <row r="7" spans="1:35">
      <c r="A7" s="155">
        <v>1</v>
      </c>
      <c r="B7" s="165" t="s">
        <v>60</v>
      </c>
      <c r="C7" s="167">
        <f>C6*销量!C8</f>
        <v>361140</v>
      </c>
      <c r="D7" s="167">
        <f>D6*销量!D8</f>
        <v>341640</v>
      </c>
      <c r="E7" s="167">
        <f>E6*销量!E8</f>
        <v>300560</v>
      </c>
      <c r="F7" s="167">
        <f t="shared" si="0"/>
        <v>1003340</v>
      </c>
      <c r="G7" s="154"/>
      <c r="Q7" s="165" t="s">
        <v>60</v>
      </c>
      <c r="AG7" s="164" t="s">
        <v>61</v>
      </c>
      <c r="AH7" s="165" t="s">
        <v>60</v>
      </c>
      <c r="AI7" s="153" t="s">
        <v>59</v>
      </c>
    </row>
    <row r="8" spans="1:35">
      <c r="A8" s="155">
        <v>2</v>
      </c>
      <c r="B8" s="155" t="s">
        <v>62</v>
      </c>
      <c r="C8" s="167">
        <f>C7*(1-销量!$P$8)</f>
        <v>7186.68599999997</v>
      </c>
      <c r="D8" s="167">
        <f>D7*(1-销量!$P$8)</f>
        <v>6798.63599999997</v>
      </c>
      <c r="E8" s="167">
        <f>E7*(1-销量!$P$8)</f>
        <v>5981.14399999998</v>
      </c>
      <c r="F8" s="167">
        <f t="shared" si="0"/>
        <v>19966.4659999999</v>
      </c>
      <c r="G8" s="168"/>
      <c r="Q8" s="155" t="s">
        <v>64</v>
      </c>
      <c r="AG8" s="164" t="s">
        <v>63</v>
      </c>
      <c r="AH8" s="155" t="s">
        <v>64</v>
      </c>
      <c r="AI8" s="153" t="s">
        <v>59</v>
      </c>
    </row>
    <row r="9" spans="1:35">
      <c r="A9" s="155">
        <v>3</v>
      </c>
      <c r="B9" s="165" t="s">
        <v>65</v>
      </c>
      <c r="C9" s="167">
        <f>+C7-C8</f>
        <v>353953.314</v>
      </c>
      <c r="D9" s="167">
        <f>+D7-D8</f>
        <v>334841.364</v>
      </c>
      <c r="E9" s="167">
        <f>+E7-E8</f>
        <v>294578.856</v>
      </c>
      <c r="F9" s="167">
        <f t="shared" si="0"/>
        <v>983373.534</v>
      </c>
      <c r="Q9" s="165" t="s">
        <v>65</v>
      </c>
      <c r="AG9" s="164" t="s">
        <v>66</v>
      </c>
      <c r="AH9" s="165" t="s">
        <v>65</v>
      </c>
      <c r="AI9" s="153" t="s">
        <v>67</v>
      </c>
    </row>
    <row r="10" spans="1:35">
      <c r="A10" s="155">
        <v>4</v>
      </c>
      <c r="B10" s="164" t="s">
        <v>70</v>
      </c>
      <c r="C10" s="167">
        <f>C6*C33</f>
        <v>312373.1546</v>
      </c>
      <c r="D10" s="167">
        <f>D6*D33</f>
        <v>178582.82</v>
      </c>
      <c r="E10" s="167">
        <f>E6*E33</f>
        <v>232059.8124</v>
      </c>
      <c r="F10" s="167">
        <f t="shared" si="0"/>
        <v>723015.787</v>
      </c>
      <c r="Q10" s="164" t="s">
        <v>70</v>
      </c>
      <c r="AG10" s="164" t="s">
        <v>69</v>
      </c>
      <c r="AH10" s="164" t="s">
        <v>70</v>
      </c>
      <c r="AI10" s="153" t="s">
        <v>71</v>
      </c>
    </row>
    <row r="11" spans="1:34">
      <c r="A11" s="155">
        <v>5</v>
      </c>
      <c r="B11" s="164" t="s">
        <v>72</v>
      </c>
      <c r="C11" s="167">
        <f>+C6*C36</f>
        <v>15565.134</v>
      </c>
      <c r="D11" s="167">
        <f>+D6*D36</f>
        <v>14724.684</v>
      </c>
      <c r="E11" s="167">
        <f>+E6*E36</f>
        <v>12954.136</v>
      </c>
      <c r="F11" s="167">
        <f t="shared" si="0"/>
        <v>43243.954</v>
      </c>
      <c r="Q11" s="164" t="s">
        <v>72</v>
      </c>
      <c r="AG11" s="164" t="s">
        <v>73</v>
      </c>
      <c r="AH11" s="164" t="s">
        <v>72</v>
      </c>
    </row>
    <row r="12" spans="1:34">
      <c r="A12" s="155">
        <v>6</v>
      </c>
      <c r="B12" s="164" t="s">
        <v>74</v>
      </c>
      <c r="C12" s="167">
        <f>+C6*C37</f>
        <v>7836.738</v>
      </c>
      <c r="D12" s="167">
        <f>+D6*D37</f>
        <v>7413.588</v>
      </c>
      <c r="E12" s="167">
        <f>+E6*E37</f>
        <v>6522.152</v>
      </c>
      <c r="F12" s="167">
        <f t="shared" si="0"/>
        <v>21772.478</v>
      </c>
      <c r="Q12" s="164" t="s">
        <v>74</v>
      </c>
      <c r="AG12" s="164" t="s">
        <v>75</v>
      </c>
      <c r="AH12" s="164" t="s">
        <v>74</v>
      </c>
    </row>
    <row r="13" spans="1:35">
      <c r="A13" s="155">
        <v>7</v>
      </c>
      <c r="B13" s="164" t="s">
        <v>76</v>
      </c>
      <c r="C13" s="167">
        <f>+C6*C38</f>
        <v>15890.16</v>
      </c>
      <c r="D13" s="167">
        <f>+D6*D38</f>
        <v>15032.16</v>
      </c>
      <c r="E13" s="167">
        <f>+E6*E38</f>
        <v>13224.64</v>
      </c>
      <c r="F13" s="167">
        <f t="shared" si="0"/>
        <v>44146.96</v>
      </c>
      <c r="Q13" s="164" t="s">
        <v>76</v>
      </c>
      <c r="AG13" s="164" t="s">
        <v>77</v>
      </c>
      <c r="AH13" s="164" t="s">
        <v>76</v>
      </c>
      <c r="AI13" s="153" t="s">
        <v>59</v>
      </c>
    </row>
    <row r="14" spans="1:34">
      <c r="A14" s="155">
        <v>8</v>
      </c>
      <c r="B14" s="169" t="s">
        <v>78</v>
      </c>
      <c r="C14" s="167">
        <f>SUM(C11:C13)</f>
        <v>39292.032</v>
      </c>
      <c r="D14" s="167">
        <f>SUM(D11:D13)</f>
        <v>37170.432</v>
      </c>
      <c r="E14" s="167">
        <f>SUM(E11:E13)</f>
        <v>32700.928</v>
      </c>
      <c r="F14" s="167">
        <f t="shared" si="0"/>
        <v>109163.392</v>
      </c>
      <c r="Q14" s="169" t="s">
        <v>78</v>
      </c>
      <c r="AG14" s="164" t="s">
        <v>79</v>
      </c>
      <c r="AH14" s="169" t="s">
        <v>78</v>
      </c>
    </row>
    <row r="15" spans="1:34">
      <c r="A15" s="155">
        <v>9</v>
      </c>
      <c r="B15" s="169" t="s">
        <v>80</v>
      </c>
      <c r="C15" s="167">
        <f>+C9-C10-C14</f>
        <v>2288.1274</v>
      </c>
      <c r="D15" s="167">
        <f>+D9-D10-D14</f>
        <v>119088.112</v>
      </c>
      <c r="E15" s="167">
        <f>+E9-E10-E14</f>
        <v>29818.1156</v>
      </c>
      <c r="F15" s="167">
        <f t="shared" si="0"/>
        <v>151194.355</v>
      </c>
      <c r="Q15" s="169" t="s">
        <v>80</v>
      </c>
      <c r="AG15" s="164" t="s">
        <v>81</v>
      </c>
      <c r="AH15" s="169" t="s">
        <v>80</v>
      </c>
    </row>
    <row r="16" spans="1:34">
      <c r="A16" s="155">
        <v>10</v>
      </c>
      <c r="B16" s="164" t="s">
        <v>82</v>
      </c>
      <c r="C16" s="170">
        <f>+C15/C9</f>
        <v>0.00646448926877401</v>
      </c>
      <c r="D16" s="170">
        <f>+D15/D9</f>
        <v>0.355655318618282</v>
      </c>
      <c r="E16" s="170">
        <f>+E15/E9</f>
        <v>0.101222864413595</v>
      </c>
      <c r="F16" s="170">
        <f>+F15/F9</f>
        <v>0.153750685545702</v>
      </c>
      <c r="Q16" s="164" t="s">
        <v>82</v>
      </c>
      <c r="AG16" s="164" t="s">
        <v>83</v>
      </c>
      <c r="AH16" s="164" t="s">
        <v>82</v>
      </c>
    </row>
    <row r="17" spans="1:34">
      <c r="A17" s="155">
        <v>11</v>
      </c>
      <c r="B17" s="164" t="s">
        <v>84</v>
      </c>
      <c r="C17" s="167">
        <f>C6*C43+C18</f>
        <v>14806.74</v>
      </c>
      <c r="D17" s="167">
        <f>D6*D43+D18</f>
        <v>14007.24</v>
      </c>
      <c r="E17" s="167">
        <f>E6*E43+E18</f>
        <v>12322.96</v>
      </c>
      <c r="F17" s="167">
        <f t="shared" ref="F17:F20" si="1">+SUM(C17:E17)</f>
        <v>41136.94</v>
      </c>
      <c r="G17" s="168"/>
      <c r="Q17" s="164" t="s">
        <v>84</v>
      </c>
      <c r="AG17" s="164" t="s">
        <v>85</v>
      </c>
      <c r="AH17" s="164" t="s">
        <v>84</v>
      </c>
    </row>
    <row r="18" s="151" customFormat="1" spans="1:9">
      <c r="A18" s="155">
        <v>12</v>
      </c>
      <c r="B18" s="172" t="s">
        <v>86</v>
      </c>
      <c r="C18" s="173">
        <f>$F$18/$F$6*C6</f>
        <v>0</v>
      </c>
      <c r="D18" s="173">
        <f>$F$18/$F$6*D6</f>
        <v>0</v>
      </c>
      <c r="E18" s="173">
        <f>$F$18/$F$6*E6</f>
        <v>0</v>
      </c>
      <c r="F18" s="167">
        <f>项目投资!F26</f>
        <v>0</v>
      </c>
      <c r="G18" s="174" t="s">
        <v>87</v>
      </c>
      <c r="H18" s="174"/>
      <c r="I18" s="174"/>
    </row>
    <row r="19" spans="1:35">
      <c r="A19" s="155">
        <v>13</v>
      </c>
      <c r="B19" s="164" t="s">
        <v>88</v>
      </c>
      <c r="C19" s="167">
        <f>C6*C44</f>
        <v>2527.98</v>
      </c>
      <c r="D19" s="167">
        <f>D6*D44</f>
        <v>2391.48</v>
      </c>
      <c r="E19" s="167">
        <f>E6*E44</f>
        <v>2103.92</v>
      </c>
      <c r="F19" s="167">
        <f t="shared" si="1"/>
        <v>7023.38</v>
      </c>
      <c r="G19" s="151"/>
      <c r="Q19" s="164" t="s">
        <v>88</v>
      </c>
      <c r="AG19" s="164" t="s">
        <v>89</v>
      </c>
      <c r="AH19" s="164" t="s">
        <v>88</v>
      </c>
      <c r="AI19" s="153" t="s">
        <v>59</v>
      </c>
    </row>
    <row r="20" spans="1:34">
      <c r="A20" s="155">
        <v>14</v>
      </c>
      <c r="B20" s="164" t="s">
        <v>90</v>
      </c>
      <c r="C20" s="167">
        <f>C6*C45</f>
        <v>12278.76</v>
      </c>
      <c r="D20" s="167">
        <f>D6*D45</f>
        <v>11615.76</v>
      </c>
      <c r="E20" s="167">
        <f>E6*E45</f>
        <v>10219.04</v>
      </c>
      <c r="F20" s="167">
        <f t="shared" si="1"/>
        <v>34113.56</v>
      </c>
      <c r="Q20" s="164" t="s">
        <v>90</v>
      </c>
      <c r="AG20" s="164" t="s">
        <v>91</v>
      </c>
      <c r="AH20" s="164" t="s">
        <v>90</v>
      </c>
    </row>
    <row r="21" spans="1:34">
      <c r="A21" s="155">
        <v>15</v>
      </c>
      <c r="B21" s="164" t="s">
        <v>92</v>
      </c>
      <c r="C21" s="175">
        <f>$F$21/$F$6*C6</f>
        <v>333.333333333333</v>
      </c>
      <c r="D21" s="175">
        <f>$F$21/$F$6*D6</f>
        <v>333.333333333333</v>
      </c>
      <c r="E21" s="175">
        <f>$F$21/$F$6*E6</f>
        <v>333.333333333333</v>
      </c>
      <c r="F21" s="167">
        <f>项目投资!E27</f>
        <v>1000</v>
      </c>
      <c r="Q21" s="164" t="s">
        <v>92</v>
      </c>
      <c r="AG21" s="164"/>
      <c r="AH21" s="164"/>
    </row>
    <row r="22" spans="1:34">
      <c r="A22" s="155">
        <v>16</v>
      </c>
      <c r="B22" s="164" t="s">
        <v>93</v>
      </c>
      <c r="C22" s="167">
        <f>C6*C47</f>
        <v>10834.2</v>
      </c>
      <c r="D22" s="167">
        <f>D6*D47</f>
        <v>10249.2</v>
      </c>
      <c r="E22" s="167">
        <f>E6*E47</f>
        <v>9016.8</v>
      </c>
      <c r="F22" s="167">
        <f t="shared" ref="F22:F26" si="2">+SUM(C22:E22)</f>
        <v>30100.2</v>
      </c>
      <c r="Q22" s="164" t="s">
        <v>93</v>
      </c>
      <c r="AG22" s="164" t="s">
        <v>94</v>
      </c>
      <c r="AH22" s="164" t="s">
        <v>93</v>
      </c>
    </row>
    <row r="23" spans="1:34">
      <c r="A23" s="155">
        <v>17</v>
      </c>
      <c r="B23" s="169" t="s">
        <v>95</v>
      </c>
      <c r="C23" s="175">
        <f>+C22+C21+C20+C19+C17</f>
        <v>40781.0133333333</v>
      </c>
      <c r="D23" s="175">
        <f>+D22+D21+D20+D19+D17</f>
        <v>38597.0133333333</v>
      </c>
      <c r="E23" s="175">
        <f>+E22+E21+E20+E19+E17</f>
        <v>33996.0533333333</v>
      </c>
      <c r="F23" s="167">
        <f t="shared" si="2"/>
        <v>113374.08</v>
      </c>
      <c r="Q23" s="169" t="s">
        <v>95</v>
      </c>
      <c r="AG23" s="164" t="s">
        <v>96</v>
      </c>
      <c r="AH23" s="169" t="s">
        <v>95</v>
      </c>
    </row>
    <row r="24" spans="1:34">
      <c r="A24" s="155">
        <v>18</v>
      </c>
      <c r="B24" s="176" t="s">
        <v>97</v>
      </c>
      <c r="C24" s="175">
        <f>+C15-C23</f>
        <v>-38492.8859333333</v>
      </c>
      <c r="D24" s="175">
        <f>+D15-D23</f>
        <v>80491.0986666667</v>
      </c>
      <c r="E24" s="175">
        <f>+E15-E23</f>
        <v>-4177.9377333333</v>
      </c>
      <c r="F24" s="167">
        <f t="shared" si="2"/>
        <v>37820.275</v>
      </c>
      <c r="H24" s="177"/>
      <c r="Q24" s="164" t="s">
        <v>97</v>
      </c>
      <c r="AG24" s="164" t="s">
        <v>98</v>
      </c>
      <c r="AH24" s="164" t="s">
        <v>97</v>
      </c>
    </row>
    <row r="25" spans="1:34">
      <c r="A25" s="155">
        <v>19</v>
      </c>
      <c r="B25" s="164" t="s">
        <v>166</v>
      </c>
      <c r="C25" s="175">
        <f>IF(C24&lt;0,0,C24*0.25)</f>
        <v>0</v>
      </c>
      <c r="D25" s="175">
        <f>IF(D24&lt;0,0,D24*0.25)</f>
        <v>20122.7746666667</v>
      </c>
      <c r="E25" s="175">
        <f>IF(E24&lt;0,0,E24*0.25)</f>
        <v>0</v>
      </c>
      <c r="F25" s="167">
        <f t="shared" si="2"/>
        <v>20122.7746666667</v>
      </c>
      <c r="G25" s="2"/>
      <c r="H25" s="2"/>
      <c r="I25" s="2"/>
      <c r="Q25" s="164" t="s">
        <v>38</v>
      </c>
      <c r="AG25" s="164" t="s">
        <v>99</v>
      </c>
      <c r="AH25" s="164" t="s">
        <v>38</v>
      </c>
    </row>
    <row r="26" spans="1:34">
      <c r="A26" s="155">
        <v>20</v>
      </c>
      <c r="B26" s="164" t="s">
        <v>100</v>
      </c>
      <c r="C26" s="175">
        <f>C24-C25</f>
        <v>-38492.8859333333</v>
      </c>
      <c r="D26" s="175">
        <f>D24-D25</f>
        <v>60368.324</v>
      </c>
      <c r="E26" s="175">
        <f>E24-E25</f>
        <v>-4177.9377333333</v>
      </c>
      <c r="F26" s="167">
        <f t="shared" si="2"/>
        <v>17697.5003333334</v>
      </c>
      <c r="G26" s="2"/>
      <c r="H26" s="2"/>
      <c r="I26" s="2"/>
      <c r="Q26" s="164" t="s">
        <v>100</v>
      </c>
      <c r="AG26" s="164" t="s">
        <v>101</v>
      </c>
      <c r="AH26" s="164" t="s">
        <v>100</v>
      </c>
    </row>
    <row r="27" spans="1:34">
      <c r="A27" s="155">
        <v>21</v>
      </c>
      <c r="B27" s="164" t="s">
        <v>104</v>
      </c>
      <c r="C27" s="178">
        <f>C26/C7</f>
        <v>-0.106587157150505</v>
      </c>
      <c r="D27" s="178">
        <f>D26/D7</f>
        <v>0.176701568902939</v>
      </c>
      <c r="E27" s="178">
        <f>E26/E7</f>
        <v>-0.0139005114896636</v>
      </c>
      <c r="F27" s="178">
        <f>F26/F7</f>
        <v>0.0176385874512462</v>
      </c>
      <c r="G27" s="2"/>
      <c r="H27" s="2"/>
      <c r="I27" s="2"/>
      <c r="Q27" s="164" t="s">
        <v>104</v>
      </c>
      <c r="AG27" s="164" t="s">
        <v>103</v>
      </c>
      <c r="AH27" s="164" t="s">
        <v>104</v>
      </c>
    </row>
    <row r="28" spans="7:17">
      <c r="G28" s="2"/>
      <c r="H28" s="2"/>
      <c r="I28" s="2"/>
      <c r="Q28" s="164"/>
    </row>
    <row r="29" spans="1:33">
      <c r="A29" s="153" t="s">
        <v>105</v>
      </c>
      <c r="F29" s="154" t="s">
        <v>167</v>
      </c>
      <c r="G29" s="2"/>
      <c r="H29" s="2"/>
      <c r="I29" s="2"/>
      <c r="Q29" s="164"/>
      <c r="AG29" s="153" t="s">
        <v>105</v>
      </c>
    </row>
    <row r="30" spans="1:34">
      <c r="A30" s="164" t="s">
        <v>107</v>
      </c>
      <c r="B30" s="169" t="s">
        <v>108</v>
      </c>
      <c r="C30" s="175"/>
      <c r="D30" s="175"/>
      <c r="E30" s="175"/>
      <c r="F30" s="175"/>
      <c r="G30" s="2"/>
      <c r="H30" s="2"/>
      <c r="I30" s="2"/>
      <c r="K30" s="2"/>
      <c r="Q30" s="169" t="s">
        <v>108</v>
      </c>
      <c r="AG30" s="164" t="s">
        <v>109</v>
      </c>
      <c r="AH30" s="169" t="s">
        <v>108</v>
      </c>
    </row>
    <row r="31" spans="1:34">
      <c r="A31" s="155">
        <v>1</v>
      </c>
      <c r="B31" s="172" t="s">
        <v>110</v>
      </c>
      <c r="C31" s="179">
        <f>(C7-C8)/C6</f>
        <v>136.13589</v>
      </c>
      <c r="D31" s="179">
        <f>(D7-D8)/D6</f>
        <v>128.78514</v>
      </c>
      <c r="E31" s="179">
        <f>(E7-E8)/E6</f>
        <v>113.29956</v>
      </c>
      <c r="F31" s="175"/>
      <c r="G31" s="2"/>
      <c r="H31" s="2"/>
      <c r="I31" s="2"/>
      <c r="K31" s="2"/>
      <c r="Q31" s="164" t="s">
        <v>110</v>
      </c>
      <c r="AG31" s="164" t="s">
        <v>61</v>
      </c>
      <c r="AH31" s="164" t="s">
        <v>110</v>
      </c>
    </row>
    <row r="32" spans="1:34">
      <c r="A32" s="155">
        <v>2</v>
      </c>
      <c r="B32" s="164" t="s">
        <v>168</v>
      </c>
      <c r="C32" s="167">
        <f>C31*1</f>
        <v>136.13589</v>
      </c>
      <c r="D32" s="167">
        <f>D31*1</f>
        <v>128.78514</v>
      </c>
      <c r="E32" s="167">
        <f>E31*1</f>
        <v>113.29956</v>
      </c>
      <c r="F32" s="175"/>
      <c r="G32" s="2"/>
      <c r="H32" s="2"/>
      <c r="I32" s="2"/>
      <c r="J32" s="2"/>
      <c r="K32" s="2"/>
      <c r="L32" s="2"/>
      <c r="M32" s="2"/>
      <c r="AG32" s="164"/>
      <c r="AH32" s="164"/>
    </row>
    <row r="33" spans="1:34">
      <c r="A33" s="155">
        <v>3</v>
      </c>
      <c r="B33" s="172" t="s">
        <v>111</v>
      </c>
      <c r="C33" s="167">
        <f>材料成本!D28</f>
        <v>120.143521</v>
      </c>
      <c r="D33" s="167">
        <f>材料成本!E28</f>
        <v>68.6857</v>
      </c>
      <c r="E33" s="167">
        <f>材料成本!F28</f>
        <v>89.253774</v>
      </c>
      <c r="F33" s="175"/>
      <c r="H33" s="2"/>
      <c r="I33" s="2"/>
      <c r="J33" s="2"/>
      <c r="K33" s="2"/>
      <c r="L33" s="2"/>
      <c r="M33" s="2"/>
      <c r="Q33" s="164" t="s">
        <v>111</v>
      </c>
      <c r="AG33" s="164" t="s">
        <v>63</v>
      </c>
      <c r="AH33" s="164" t="s">
        <v>111</v>
      </c>
    </row>
    <row r="34" ht="17.25" customHeight="1" spans="1:34">
      <c r="A34" s="155">
        <v>4</v>
      </c>
      <c r="B34" s="164" t="s">
        <v>113</v>
      </c>
      <c r="C34" s="180">
        <f>C32-C33</f>
        <v>15.992369</v>
      </c>
      <c r="D34" s="180">
        <f>D32-D33</f>
        <v>60.09944</v>
      </c>
      <c r="E34" s="180">
        <f>E32-E33</f>
        <v>24.045786</v>
      </c>
      <c r="F34" s="175"/>
      <c r="H34" s="2"/>
      <c r="I34" s="2"/>
      <c r="J34" s="2"/>
      <c r="K34" s="2"/>
      <c r="L34" s="2"/>
      <c r="M34" s="2"/>
      <c r="Q34" s="164" t="s">
        <v>113</v>
      </c>
      <c r="AG34" s="164" t="s">
        <v>112</v>
      </c>
      <c r="AH34" s="164" t="s">
        <v>113</v>
      </c>
    </row>
    <row r="35" spans="1:34">
      <c r="A35" s="164" t="s">
        <v>109</v>
      </c>
      <c r="B35" s="169" t="s">
        <v>10</v>
      </c>
      <c r="C35" s="175"/>
      <c r="D35" s="175"/>
      <c r="E35" s="175"/>
      <c r="F35" s="175"/>
      <c r="G35" s="2"/>
      <c r="H35" s="2"/>
      <c r="I35" s="2"/>
      <c r="J35" s="2"/>
      <c r="K35" s="2"/>
      <c r="L35" s="2"/>
      <c r="M35" s="2"/>
      <c r="N35" s="2"/>
      <c r="O35" s="2"/>
      <c r="P35" s="2"/>
      <c r="Q35" s="169" t="s">
        <v>10</v>
      </c>
      <c r="AG35" s="164" t="s">
        <v>115</v>
      </c>
      <c r="AH35" s="169" t="s">
        <v>10</v>
      </c>
    </row>
    <row r="36" spans="1:34">
      <c r="A36" s="155">
        <v>1</v>
      </c>
      <c r="B36" s="164" t="s">
        <v>116</v>
      </c>
      <c r="C36" s="173">
        <f>标准成本!E4</f>
        <v>5.98659</v>
      </c>
      <c r="D36" s="173">
        <f>标准成本!E16</f>
        <v>5.66334</v>
      </c>
      <c r="E36" s="173">
        <f>标准成本!E29</f>
        <v>4.98236</v>
      </c>
      <c r="F36" s="179"/>
      <c r="G36" s="2"/>
      <c r="H36" s="2"/>
      <c r="I36" s="2"/>
      <c r="J36" s="2"/>
      <c r="K36" s="2"/>
      <c r="L36" s="2"/>
      <c r="M36" s="2"/>
      <c r="N36" s="2"/>
      <c r="O36" s="2"/>
      <c r="P36" s="2"/>
      <c r="Q36" s="164" t="s">
        <v>116</v>
      </c>
      <c r="AG36" s="164" t="s">
        <v>112</v>
      </c>
      <c r="AH36" s="164" t="s">
        <v>116</v>
      </c>
    </row>
    <row r="37" spans="1:34">
      <c r="A37" s="155">
        <v>2</v>
      </c>
      <c r="B37" s="164" t="s">
        <v>117</v>
      </c>
      <c r="C37" s="173">
        <f>标准成本!E6</f>
        <v>3.01413</v>
      </c>
      <c r="D37" s="173">
        <f>标准成本!E18</f>
        <v>2.85138</v>
      </c>
      <c r="E37" s="173">
        <f>标准成本!E31</f>
        <v>2.50852</v>
      </c>
      <c r="F37" s="179"/>
      <c r="G37" s="2"/>
      <c r="H37" s="2"/>
      <c r="I37" s="2"/>
      <c r="J37" s="2"/>
      <c r="K37" s="2"/>
      <c r="L37" s="2"/>
      <c r="M37" s="2"/>
      <c r="N37" s="2"/>
      <c r="O37" s="2"/>
      <c r="P37" s="2"/>
      <c r="Q37" s="164" t="s">
        <v>117</v>
      </c>
      <c r="AG37" s="164" t="s">
        <v>66</v>
      </c>
      <c r="AH37" s="164" t="s">
        <v>117</v>
      </c>
    </row>
    <row r="38" spans="1:34">
      <c r="A38" s="155">
        <v>3</v>
      </c>
      <c r="B38" s="164" t="s">
        <v>118</v>
      </c>
      <c r="C38" s="173">
        <f>标准成本!E10</f>
        <v>6.1116</v>
      </c>
      <c r="D38" s="173">
        <f>标准成本!E22</f>
        <v>5.7816</v>
      </c>
      <c r="E38" s="173">
        <f>标准成本!E35</f>
        <v>5.0864</v>
      </c>
      <c r="F38" s="179"/>
      <c r="G38" s="2"/>
      <c r="H38" s="2"/>
      <c r="I38" s="2"/>
      <c r="J38" s="2"/>
      <c r="K38" s="2"/>
      <c r="L38" s="2"/>
      <c r="M38" s="2"/>
      <c r="N38" s="2"/>
      <c r="O38" s="2"/>
      <c r="P38" s="2"/>
      <c r="Q38" s="164" t="s">
        <v>118</v>
      </c>
      <c r="AG38" s="164" t="s">
        <v>73</v>
      </c>
      <c r="AH38" s="164" t="s">
        <v>118</v>
      </c>
    </row>
    <row r="39" spans="1:34">
      <c r="A39" s="164" t="s">
        <v>115</v>
      </c>
      <c r="B39" s="169" t="s">
        <v>120</v>
      </c>
      <c r="C39" s="175"/>
      <c r="D39" s="175"/>
      <c r="E39" s="175"/>
      <c r="F39" s="175"/>
      <c r="Q39" s="169" t="s">
        <v>120</v>
      </c>
      <c r="AG39" s="164" t="s">
        <v>119</v>
      </c>
      <c r="AH39" s="169" t="s">
        <v>120</v>
      </c>
    </row>
    <row r="40" spans="1:34">
      <c r="A40" s="155">
        <v>1</v>
      </c>
      <c r="B40" s="164" t="s">
        <v>122</v>
      </c>
      <c r="C40" s="175">
        <f>C34-C36-C37-C38</f>
        <v>0.880049000000025</v>
      </c>
      <c r="D40" s="175">
        <f>D34-D36-D37-D38</f>
        <v>45.80312</v>
      </c>
      <c r="E40" s="175">
        <f>E34-E36-E37-E38</f>
        <v>11.468506</v>
      </c>
      <c r="F40" s="175"/>
      <c r="Q40" s="164" t="s">
        <v>122</v>
      </c>
      <c r="AG40" s="164" t="s">
        <v>61</v>
      </c>
      <c r="AH40" s="164" t="s">
        <v>122</v>
      </c>
    </row>
    <row r="41" spans="1:34">
      <c r="A41" s="155">
        <v>2</v>
      </c>
      <c r="B41" s="164" t="s">
        <v>123</v>
      </c>
      <c r="C41" s="175"/>
      <c r="D41" s="175"/>
      <c r="E41" s="175"/>
      <c r="F41" s="175"/>
      <c r="Q41" s="164" t="s">
        <v>123</v>
      </c>
      <c r="AG41" s="164" t="s">
        <v>63</v>
      </c>
      <c r="AH41" s="164" t="s">
        <v>123</v>
      </c>
    </row>
    <row r="42" spans="1:34">
      <c r="A42" s="164" t="s">
        <v>119</v>
      </c>
      <c r="B42" s="169" t="s">
        <v>125</v>
      </c>
      <c r="C42" s="175"/>
      <c r="D42" s="175"/>
      <c r="E42" s="175"/>
      <c r="F42" s="175"/>
      <c r="Q42" s="169" t="s">
        <v>125</v>
      </c>
      <c r="AG42" s="164" t="s">
        <v>124</v>
      </c>
      <c r="AH42" s="169" t="s">
        <v>125</v>
      </c>
    </row>
    <row r="43" spans="1:34">
      <c r="A43" s="155">
        <v>1</v>
      </c>
      <c r="B43" s="176" t="s">
        <v>126</v>
      </c>
      <c r="C43" s="173">
        <f>标准成本!E5</f>
        <v>5.6949</v>
      </c>
      <c r="D43" s="173">
        <f>标准成本!E17</f>
        <v>5.3874</v>
      </c>
      <c r="E43" s="173">
        <f>标准成本!E30</f>
        <v>4.7396</v>
      </c>
      <c r="F43" s="175"/>
      <c r="Q43" s="164" t="s">
        <v>126</v>
      </c>
      <c r="AG43" s="164" t="s">
        <v>61</v>
      </c>
      <c r="AH43" s="164" t="s">
        <v>126</v>
      </c>
    </row>
    <row r="44" spans="1:34">
      <c r="A44" s="155">
        <v>2</v>
      </c>
      <c r="B44" s="176" t="s">
        <v>127</v>
      </c>
      <c r="C44" s="173">
        <f>标准成本!E9</f>
        <v>0.9723</v>
      </c>
      <c r="D44" s="173">
        <f>标准成本!E21</f>
        <v>0.9198</v>
      </c>
      <c r="E44" s="173">
        <f>标准成本!E34</f>
        <v>0.8092</v>
      </c>
      <c r="F44" s="175"/>
      <c r="Q44" s="164" t="s">
        <v>127</v>
      </c>
      <c r="AG44" s="164" t="s">
        <v>63</v>
      </c>
      <c r="AH44" s="164" t="s">
        <v>127</v>
      </c>
    </row>
    <row r="45" spans="1:34">
      <c r="A45" s="155">
        <v>3</v>
      </c>
      <c r="B45" s="176" t="s">
        <v>128</v>
      </c>
      <c r="C45" s="173">
        <f>标准成本!E8</f>
        <v>4.7226</v>
      </c>
      <c r="D45" s="173">
        <f>标准成本!E20</f>
        <v>4.4676</v>
      </c>
      <c r="E45" s="173">
        <f>标准成本!E33</f>
        <v>3.9304</v>
      </c>
      <c r="F45" s="175"/>
      <c r="Q45" s="164" t="s">
        <v>128</v>
      </c>
      <c r="AG45" s="164" t="s">
        <v>112</v>
      </c>
      <c r="AH45" s="164" t="s">
        <v>128</v>
      </c>
    </row>
    <row r="46" s="152" customFormat="1" spans="1:34">
      <c r="A46" s="155">
        <v>4</v>
      </c>
      <c r="B46" s="176" t="s">
        <v>129</v>
      </c>
      <c r="C46" s="181">
        <f>C21/C6</f>
        <v>0.128205128205128</v>
      </c>
      <c r="D46" s="181">
        <f>D21/D6</f>
        <v>0.128205128205128</v>
      </c>
      <c r="E46" s="181">
        <f>E21/E6</f>
        <v>0.128205128205128</v>
      </c>
      <c r="F46" s="181"/>
      <c r="Q46" s="176" t="s">
        <v>131</v>
      </c>
      <c r="AG46" s="176" t="s">
        <v>69</v>
      </c>
      <c r="AH46" s="176" t="s">
        <v>131</v>
      </c>
    </row>
    <row r="47" s="152" customFormat="1" spans="1:34">
      <c r="A47" s="155">
        <v>5</v>
      </c>
      <c r="B47" s="176" t="s">
        <v>131</v>
      </c>
      <c r="C47" s="181">
        <f>标准成本!E11</f>
        <v>4.167</v>
      </c>
      <c r="D47" s="181">
        <f>标准成本!E23</f>
        <v>3.942</v>
      </c>
      <c r="E47" s="181">
        <f>标准成本!E36</f>
        <v>3.468</v>
      </c>
      <c r="F47" s="181"/>
      <c r="Q47" s="176" t="s">
        <v>131</v>
      </c>
      <c r="AG47" s="176" t="s">
        <v>69</v>
      </c>
      <c r="AH47" s="176" t="s">
        <v>131</v>
      </c>
    </row>
    <row r="48" spans="1:34">
      <c r="A48" s="164" t="s">
        <v>124</v>
      </c>
      <c r="B48" s="169" t="s">
        <v>142</v>
      </c>
      <c r="C48" s="175">
        <f>C40-C43-C44-C45-C47-C46</f>
        <v>-14.8049561282051</v>
      </c>
      <c r="D48" s="175">
        <f>D40-D43-D44-D45-D47-D46</f>
        <v>30.9581148717949</v>
      </c>
      <c r="E48" s="175">
        <f>E40-E43-E44-E45-E47-E46</f>
        <v>-1.60689912820511</v>
      </c>
      <c r="F48" s="175"/>
      <c r="Q48" s="169" t="s">
        <v>142</v>
      </c>
      <c r="AG48" s="164" t="s">
        <v>141</v>
      </c>
      <c r="AH48" s="169" t="s">
        <v>142</v>
      </c>
    </row>
    <row r="51" spans="3:5">
      <c r="C51" s="182"/>
      <c r="D51" s="182"/>
      <c r="E51" s="182"/>
    </row>
    <row r="54" spans="2:11">
      <c r="B54" s="2"/>
      <c r="C54" s="183"/>
      <c r="D54" s="183"/>
      <c r="E54" s="183"/>
      <c r="F54" s="183"/>
      <c r="G54" s="2"/>
      <c r="H54" s="2"/>
      <c r="I54" s="2"/>
      <c r="J54" s="2"/>
      <c r="K54" s="2"/>
    </row>
    <row r="55" spans="2:11">
      <c r="B55" s="2"/>
      <c r="C55" s="183"/>
      <c r="D55" s="183"/>
      <c r="E55" s="183"/>
      <c r="F55" s="183"/>
      <c r="G55" s="2"/>
      <c r="H55" s="2"/>
      <c r="I55" s="2"/>
      <c r="J55" s="2"/>
      <c r="K55" s="2"/>
    </row>
    <row r="56" spans="2:11">
      <c r="B56" s="2"/>
      <c r="C56" s="183"/>
      <c r="D56" s="183"/>
      <c r="E56" s="183"/>
      <c r="F56" s="183"/>
      <c r="G56" s="2"/>
      <c r="H56" s="2"/>
      <c r="I56" s="2"/>
      <c r="J56" s="2"/>
      <c r="K56" s="2"/>
    </row>
    <row r="57" spans="2:11">
      <c r="B57" s="2"/>
      <c r="C57" s="183"/>
      <c r="D57" s="183"/>
      <c r="E57" s="183"/>
      <c r="F57" s="183"/>
      <c r="G57" s="2"/>
      <c r="H57" s="2"/>
      <c r="I57" s="2"/>
      <c r="J57" s="2"/>
      <c r="K57" s="2"/>
    </row>
    <row r="58" spans="2:11">
      <c r="B58" s="2"/>
      <c r="C58" s="183"/>
      <c r="D58" s="183"/>
      <c r="E58" s="183"/>
      <c r="F58" s="183"/>
      <c r="G58" s="2"/>
      <c r="H58" s="2"/>
      <c r="I58" s="2"/>
      <c r="J58" s="2"/>
      <c r="K58" s="2"/>
    </row>
    <row r="59" spans="2:11">
      <c r="B59" s="2"/>
      <c r="C59" s="183"/>
      <c r="D59" s="183"/>
      <c r="E59" s="183"/>
      <c r="F59" s="183"/>
      <c r="G59" s="2"/>
      <c r="H59" s="2"/>
      <c r="I59" s="2"/>
      <c r="J59" s="2"/>
      <c r="K59" s="2"/>
    </row>
    <row r="60" spans="2:11">
      <c r="B60" s="2"/>
      <c r="C60" s="183"/>
      <c r="D60" s="183"/>
      <c r="E60" s="183"/>
      <c r="F60" s="183"/>
      <c r="G60" s="2"/>
      <c r="H60" s="2"/>
      <c r="I60" s="2"/>
      <c r="J60" s="2"/>
      <c r="K60" s="2"/>
    </row>
    <row r="61" spans="2:11">
      <c r="B61" s="2"/>
      <c r="C61" s="183"/>
      <c r="D61" s="183"/>
      <c r="E61" s="183"/>
      <c r="F61" s="183"/>
      <c r="G61" s="2"/>
      <c r="H61" s="2"/>
      <c r="I61" s="2"/>
      <c r="J61" s="2"/>
      <c r="K61" s="2"/>
    </row>
    <row r="62" spans="2:11">
      <c r="B62" s="2"/>
      <c r="C62" s="183"/>
      <c r="D62" s="183"/>
      <c r="E62" s="183"/>
      <c r="F62" s="183"/>
      <c r="G62" s="2"/>
      <c r="H62" s="2"/>
      <c r="I62" s="2"/>
      <c r="J62" s="2"/>
      <c r="K62" s="2"/>
    </row>
    <row r="63" spans="2:11">
      <c r="B63" s="2"/>
      <c r="C63" s="183"/>
      <c r="D63" s="183"/>
      <c r="E63" s="183"/>
      <c r="F63" s="183"/>
      <c r="G63" s="2"/>
      <c r="H63" s="2"/>
      <c r="I63" s="2"/>
      <c r="J63" s="2"/>
      <c r="K63" s="2"/>
    </row>
    <row r="64" spans="2:11">
      <c r="B64" s="2"/>
      <c r="C64" s="183"/>
      <c r="D64" s="183"/>
      <c r="E64" s="183"/>
      <c r="F64" s="183"/>
      <c r="G64" s="2"/>
      <c r="H64" s="2"/>
      <c r="I64" s="2"/>
      <c r="J64" s="2"/>
      <c r="K64" s="2"/>
    </row>
    <row r="65" spans="2:11">
      <c r="B65" s="2"/>
      <c r="C65" s="183"/>
      <c r="D65" s="183"/>
      <c r="E65" s="183"/>
      <c r="F65" s="183"/>
      <c r="G65" s="2"/>
      <c r="H65" s="2"/>
      <c r="I65" s="2"/>
      <c r="J65" s="2"/>
      <c r="K65" s="2"/>
    </row>
    <row r="66" spans="2:11">
      <c r="B66" s="2"/>
      <c r="C66" s="183"/>
      <c r="D66" s="183"/>
      <c r="E66" s="183"/>
      <c r="F66" s="183"/>
      <c r="G66" s="2"/>
      <c r="H66" s="2"/>
      <c r="I66" s="2"/>
      <c r="J66" s="2"/>
      <c r="K66" s="2"/>
    </row>
    <row r="67" spans="2:7">
      <c r="B67" s="2"/>
      <c r="C67" s="183"/>
      <c r="D67" s="183"/>
      <c r="E67" s="183"/>
      <c r="F67" s="183"/>
      <c r="G67" s="2"/>
    </row>
    <row r="68" spans="2:7">
      <c r="B68" s="2"/>
      <c r="C68" s="183"/>
      <c r="D68" s="183"/>
      <c r="E68" s="183"/>
      <c r="F68" s="183"/>
      <c r="G68" s="2"/>
    </row>
    <row r="69" spans="2:7">
      <c r="B69" s="2"/>
      <c r="C69" s="183"/>
      <c r="D69" s="183"/>
      <c r="E69" s="183"/>
      <c r="F69" s="183"/>
      <c r="G69" s="2"/>
    </row>
    <row r="70" spans="2:7">
      <c r="B70" s="2"/>
      <c r="C70" s="183"/>
      <c r="D70" s="183"/>
      <c r="E70" s="183"/>
      <c r="F70" s="183"/>
      <c r="G70" s="2"/>
    </row>
    <row r="71" spans="2:7">
      <c r="B71" s="2"/>
      <c r="C71" s="183"/>
      <c r="D71" s="183"/>
      <c r="E71" s="183"/>
      <c r="F71" s="183"/>
      <c r="G71" s="2"/>
    </row>
    <row r="72" spans="2:7">
      <c r="B72" s="2"/>
      <c r="C72" s="183"/>
      <c r="D72" s="183"/>
      <c r="E72" s="183"/>
      <c r="F72" s="183"/>
      <c r="G72" s="2"/>
    </row>
    <row r="73" spans="2:7">
      <c r="B73" s="2"/>
      <c r="C73" s="183"/>
      <c r="D73" s="183"/>
      <c r="E73" s="183"/>
      <c r="F73" s="183"/>
      <c r="G73" s="2"/>
    </row>
    <row r="74" spans="2:7">
      <c r="B74" s="2"/>
      <c r="C74" s="183"/>
      <c r="D74" s="183"/>
      <c r="E74" s="183"/>
      <c r="F74" s="18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4.5"/>
  <cols>
    <col min="1" max="1" width="5.12727272727273" style="153" customWidth="1"/>
    <col min="2" max="2" width="17.5" style="153" customWidth="1"/>
    <col min="3" max="5" width="15.5454545454545" style="154" customWidth="1"/>
    <col min="6" max="6" width="16.8181818181818" style="154" customWidth="1"/>
    <col min="7" max="7" width="12.3727272727273" style="153" customWidth="1"/>
    <col min="8" max="8" width="10.1272727272727" style="153" customWidth="1"/>
    <col min="9" max="15" width="9" style="153" customWidth="1"/>
    <col min="16" max="16" width="9" style="153"/>
    <col min="17" max="17" width="9" style="153" hidden="1" customWidth="1"/>
    <col min="18" max="32" width="9" style="153"/>
    <col min="33" max="33" width="4.37272727272727" style="153" customWidth="1"/>
    <col min="34" max="34" width="13.8727272727273" style="153" customWidth="1"/>
    <col min="35" max="16384" width="9" style="153"/>
  </cols>
  <sheetData>
    <row r="1" spans="1:6">
      <c r="A1" s="155" t="s">
        <v>152</v>
      </c>
      <c r="B1" s="155"/>
      <c r="C1" s="156" t="s">
        <v>171</v>
      </c>
      <c r="D1" s="157"/>
      <c r="E1" s="157"/>
      <c r="F1" s="158"/>
    </row>
    <row r="2" spans="1:6">
      <c r="A2" s="155" t="s">
        <v>154</v>
      </c>
      <c r="B2" s="155"/>
      <c r="C2" s="159" t="s">
        <v>155</v>
      </c>
      <c r="D2" s="159"/>
      <c r="E2" s="159"/>
      <c r="F2" s="159"/>
    </row>
    <row r="3" ht="28" spans="1:6">
      <c r="A3" s="155" t="s">
        <v>156</v>
      </c>
      <c r="B3" s="155"/>
      <c r="C3" s="77" t="s">
        <v>157</v>
      </c>
      <c r="D3" s="77" t="s">
        <v>158</v>
      </c>
      <c r="E3" s="77" t="s">
        <v>159</v>
      </c>
      <c r="F3" s="160" t="s">
        <v>57</v>
      </c>
    </row>
    <row r="4" spans="1:6">
      <c r="A4" s="155" t="s">
        <v>160</v>
      </c>
      <c r="B4" s="155"/>
      <c r="C4" s="79" t="s">
        <v>161</v>
      </c>
      <c r="D4" s="79" t="s">
        <v>162</v>
      </c>
      <c r="E4" s="80" t="s">
        <v>163</v>
      </c>
      <c r="F4" s="161"/>
    </row>
    <row r="5" ht="16.5" spans="1:35">
      <c r="A5" s="155" t="s">
        <v>164</v>
      </c>
      <c r="B5" s="155"/>
      <c r="C5" s="162"/>
      <c r="D5" s="162"/>
      <c r="E5" s="162"/>
      <c r="F5" s="163"/>
      <c r="AI5" s="153" t="s">
        <v>58</v>
      </c>
    </row>
    <row r="6" ht="16.5" spans="1:35">
      <c r="A6" s="164" t="s">
        <v>21</v>
      </c>
      <c r="B6" s="165" t="s">
        <v>165</v>
      </c>
      <c r="C6" s="166">
        <f>销量!C12</f>
        <v>3000</v>
      </c>
      <c r="D6" s="166">
        <f>销量!D12</f>
        <v>3000</v>
      </c>
      <c r="E6" s="166">
        <f>销量!E12</f>
        <v>3000</v>
      </c>
      <c r="F6" s="167">
        <f t="shared" ref="F6:F15" si="0">+SUM(C6:E6)</f>
        <v>9000</v>
      </c>
      <c r="Q6" s="165" t="s">
        <v>3</v>
      </c>
      <c r="AG6" s="164" t="s">
        <v>21</v>
      </c>
      <c r="AH6" s="165" t="s">
        <v>3</v>
      </c>
      <c r="AI6" s="153" t="s">
        <v>59</v>
      </c>
    </row>
    <row r="7" spans="1:35">
      <c r="A7" s="155">
        <v>1</v>
      </c>
      <c r="B7" s="165" t="s">
        <v>60</v>
      </c>
      <c r="C7" s="167">
        <f>C6*销量!C8</f>
        <v>416700</v>
      </c>
      <c r="D7" s="167">
        <f>D6*销量!D8</f>
        <v>394200</v>
      </c>
      <c r="E7" s="167">
        <f>E6*销量!E8</f>
        <v>346800</v>
      </c>
      <c r="F7" s="167">
        <f t="shared" si="0"/>
        <v>1157700</v>
      </c>
      <c r="G7" s="154"/>
      <c r="Q7" s="165" t="s">
        <v>60</v>
      </c>
      <c r="AG7" s="164" t="s">
        <v>61</v>
      </c>
      <c r="AH7" s="165" t="s">
        <v>60</v>
      </c>
      <c r="AI7" s="153" t="s">
        <v>59</v>
      </c>
    </row>
    <row r="8" spans="1:35">
      <c r="A8" s="155">
        <v>2</v>
      </c>
      <c r="B8" s="155" t="s">
        <v>62</v>
      </c>
      <c r="C8" s="167">
        <f>C7*(1-销量!$P$9)</f>
        <v>12376.4067</v>
      </c>
      <c r="D8" s="167">
        <f>D7*(1-销量!$P$9)</f>
        <v>11708.1342</v>
      </c>
      <c r="E8" s="167">
        <f>E7*(1-销量!$P$9)</f>
        <v>10300.3068</v>
      </c>
      <c r="F8" s="167">
        <f t="shared" si="0"/>
        <v>34384.8477</v>
      </c>
      <c r="G8" s="168"/>
      <c r="Q8" s="155" t="s">
        <v>64</v>
      </c>
      <c r="AG8" s="164" t="s">
        <v>63</v>
      </c>
      <c r="AH8" s="155" t="s">
        <v>64</v>
      </c>
      <c r="AI8" s="153" t="s">
        <v>59</v>
      </c>
    </row>
    <row r="9" spans="1:35">
      <c r="A9" s="155">
        <v>3</v>
      </c>
      <c r="B9" s="165" t="s">
        <v>65</v>
      </c>
      <c r="C9" s="167">
        <f>+C7-C8</f>
        <v>404323.5933</v>
      </c>
      <c r="D9" s="167">
        <f>+D7-D8</f>
        <v>382491.8658</v>
      </c>
      <c r="E9" s="167">
        <f>+E7-E8</f>
        <v>336499.6932</v>
      </c>
      <c r="F9" s="167">
        <f t="shared" si="0"/>
        <v>1123315.1523</v>
      </c>
      <c r="Q9" s="165" t="s">
        <v>65</v>
      </c>
      <c r="AG9" s="164" t="s">
        <v>66</v>
      </c>
      <c r="AH9" s="165" t="s">
        <v>65</v>
      </c>
      <c r="AI9" s="153" t="s">
        <v>67</v>
      </c>
    </row>
    <row r="10" spans="1:35">
      <c r="A10" s="155">
        <v>4</v>
      </c>
      <c r="B10" s="164" t="s">
        <v>70</v>
      </c>
      <c r="C10" s="167">
        <f>C6*C33</f>
        <v>349617.64611</v>
      </c>
      <c r="D10" s="167">
        <f>D6*D33</f>
        <v>199875.387</v>
      </c>
      <c r="E10" s="167">
        <f>E6*E33</f>
        <v>259728.48234</v>
      </c>
      <c r="F10" s="167">
        <f t="shared" si="0"/>
        <v>809221.51545</v>
      </c>
      <c r="Q10" s="164" t="s">
        <v>70</v>
      </c>
      <c r="AG10" s="164" t="s">
        <v>69</v>
      </c>
      <c r="AH10" s="164" t="s">
        <v>70</v>
      </c>
      <c r="AI10" s="153" t="s">
        <v>71</v>
      </c>
    </row>
    <row r="11" spans="1:34">
      <c r="A11" s="155">
        <v>5</v>
      </c>
      <c r="B11" s="164" t="s">
        <v>72</v>
      </c>
      <c r="C11" s="167">
        <f>+C6*C36</f>
        <v>17959.77</v>
      </c>
      <c r="D11" s="167">
        <f>+D6*D36</f>
        <v>16990.02</v>
      </c>
      <c r="E11" s="167">
        <f>+E6*E36</f>
        <v>14947.08</v>
      </c>
      <c r="F11" s="167">
        <f t="shared" si="0"/>
        <v>49896.87</v>
      </c>
      <c r="Q11" s="164" t="s">
        <v>72</v>
      </c>
      <c r="AG11" s="164" t="s">
        <v>73</v>
      </c>
      <c r="AH11" s="164" t="s">
        <v>72</v>
      </c>
    </row>
    <row r="12" spans="1:34">
      <c r="A12" s="155">
        <v>6</v>
      </c>
      <c r="B12" s="164" t="s">
        <v>74</v>
      </c>
      <c r="C12" s="167">
        <f>+C6*C37</f>
        <v>9042.39</v>
      </c>
      <c r="D12" s="167">
        <f>+D6*D37</f>
        <v>8554.14</v>
      </c>
      <c r="E12" s="167">
        <f>+E6*E37</f>
        <v>7525.56</v>
      </c>
      <c r="F12" s="167">
        <f t="shared" si="0"/>
        <v>25122.09</v>
      </c>
      <c r="Q12" s="164" t="s">
        <v>74</v>
      </c>
      <c r="AG12" s="164" t="s">
        <v>75</v>
      </c>
      <c r="AH12" s="164" t="s">
        <v>74</v>
      </c>
    </row>
    <row r="13" spans="1:35">
      <c r="A13" s="155">
        <v>7</v>
      </c>
      <c r="B13" s="164" t="s">
        <v>76</v>
      </c>
      <c r="C13" s="167">
        <f>+C6*C38</f>
        <v>18334.8</v>
      </c>
      <c r="D13" s="167">
        <f>+D6*D38</f>
        <v>17344.8</v>
      </c>
      <c r="E13" s="167">
        <f>+E6*E38</f>
        <v>15259.2</v>
      </c>
      <c r="F13" s="167">
        <f t="shared" si="0"/>
        <v>50938.8</v>
      </c>
      <c r="Q13" s="164" t="s">
        <v>76</v>
      </c>
      <c r="AG13" s="164" t="s">
        <v>77</v>
      </c>
      <c r="AH13" s="164" t="s">
        <v>76</v>
      </c>
      <c r="AI13" s="153" t="s">
        <v>59</v>
      </c>
    </row>
    <row r="14" spans="1:34">
      <c r="A14" s="155">
        <v>8</v>
      </c>
      <c r="B14" s="169" t="s">
        <v>78</v>
      </c>
      <c r="C14" s="167">
        <f>SUM(C11:C13)</f>
        <v>45336.96</v>
      </c>
      <c r="D14" s="167">
        <f>SUM(D11:D13)</f>
        <v>42888.96</v>
      </c>
      <c r="E14" s="167">
        <f>SUM(E11:E13)</f>
        <v>37731.84</v>
      </c>
      <c r="F14" s="167">
        <f t="shared" si="0"/>
        <v>125957.76</v>
      </c>
      <c r="Q14" s="169" t="s">
        <v>78</v>
      </c>
      <c r="AG14" s="164" t="s">
        <v>79</v>
      </c>
      <c r="AH14" s="169" t="s">
        <v>78</v>
      </c>
    </row>
    <row r="15" spans="1:34">
      <c r="A15" s="155">
        <v>9</v>
      </c>
      <c r="B15" s="169" t="s">
        <v>80</v>
      </c>
      <c r="C15" s="167">
        <f>+C9-C10-C14</f>
        <v>9368.98719000003</v>
      </c>
      <c r="D15" s="167">
        <f>+D9-D10-D14</f>
        <v>139727.5188</v>
      </c>
      <c r="E15" s="167">
        <f>+E9-E10-E14</f>
        <v>39039.37086</v>
      </c>
      <c r="F15" s="167">
        <f t="shared" si="0"/>
        <v>188135.87685</v>
      </c>
      <c r="Q15" s="169" t="s">
        <v>80</v>
      </c>
      <c r="AG15" s="164" t="s">
        <v>81</v>
      </c>
      <c r="AH15" s="169" t="s">
        <v>80</v>
      </c>
    </row>
    <row r="16" spans="1:34">
      <c r="A16" s="155">
        <v>10</v>
      </c>
      <c r="B16" s="164" t="s">
        <v>82</v>
      </c>
      <c r="C16" s="170">
        <f>+C15/C9</f>
        <v>0.0231720021914438</v>
      </c>
      <c r="D16" s="170">
        <f>+D15/D9</f>
        <v>0.365308471352072</v>
      </c>
      <c r="E16" s="170">
        <f>+E15/E9</f>
        <v>0.116016066727279</v>
      </c>
      <c r="F16" s="170">
        <f>+F15/F9</f>
        <v>0.167482719755707</v>
      </c>
      <c r="G16" s="171"/>
      <c r="H16" s="171"/>
      <c r="I16" s="171"/>
      <c r="Q16" s="164" t="s">
        <v>82</v>
      </c>
      <c r="AG16" s="164" t="s">
        <v>83</v>
      </c>
      <c r="AH16" s="164" t="s">
        <v>82</v>
      </c>
    </row>
    <row r="17" spans="1:34">
      <c r="A17" s="155">
        <v>11</v>
      </c>
      <c r="B17" s="164" t="s">
        <v>84</v>
      </c>
      <c r="C17" s="167">
        <f>C6*C43+C18</f>
        <v>17084.7</v>
      </c>
      <c r="D17" s="167">
        <f>D6*D43+D18</f>
        <v>16162.2</v>
      </c>
      <c r="E17" s="167">
        <f>E6*E43+E18</f>
        <v>14218.8</v>
      </c>
      <c r="F17" s="167">
        <f t="shared" ref="F17:F20" si="1">+SUM(C17:E17)</f>
        <v>47465.7</v>
      </c>
      <c r="G17" s="168"/>
      <c r="Q17" s="164" t="s">
        <v>84</v>
      </c>
      <c r="AG17" s="164" t="s">
        <v>85</v>
      </c>
      <c r="AH17" s="164" t="s">
        <v>84</v>
      </c>
    </row>
    <row r="18" s="151" customFormat="1" spans="1:9">
      <c r="A18" s="155">
        <v>12</v>
      </c>
      <c r="B18" s="172" t="s">
        <v>86</v>
      </c>
      <c r="C18" s="173">
        <f>$F$18/$F$6*C6</f>
        <v>0</v>
      </c>
      <c r="D18" s="173">
        <f>$F$18/$F$6*D6</f>
        <v>0</v>
      </c>
      <c r="E18" s="173">
        <f>$F$18/$F$6*E6</f>
        <v>0</v>
      </c>
      <c r="F18" s="167">
        <f>项目投资!G26</f>
        <v>0</v>
      </c>
      <c r="G18" s="174" t="s">
        <v>87</v>
      </c>
      <c r="H18" s="174"/>
      <c r="I18" s="174"/>
    </row>
    <row r="19" spans="1:35">
      <c r="A19" s="155">
        <v>13</v>
      </c>
      <c r="B19" s="164" t="s">
        <v>88</v>
      </c>
      <c r="C19" s="167">
        <f>C6*C44</f>
        <v>2916.9</v>
      </c>
      <c r="D19" s="167">
        <f>D6*D44</f>
        <v>2759.4</v>
      </c>
      <c r="E19" s="167">
        <f>E6*E44</f>
        <v>2427.6</v>
      </c>
      <c r="F19" s="167">
        <f t="shared" si="1"/>
        <v>8103.9</v>
      </c>
      <c r="G19" s="151"/>
      <c r="Q19" s="164" t="s">
        <v>88</v>
      </c>
      <c r="AG19" s="164" t="s">
        <v>89</v>
      </c>
      <c r="AH19" s="164" t="s">
        <v>88</v>
      </c>
      <c r="AI19" s="153" t="s">
        <v>59</v>
      </c>
    </row>
    <row r="20" spans="1:34">
      <c r="A20" s="155">
        <v>14</v>
      </c>
      <c r="B20" s="164" t="s">
        <v>90</v>
      </c>
      <c r="C20" s="167">
        <f>C6*C45</f>
        <v>14167.8</v>
      </c>
      <c r="D20" s="167">
        <f>D6*D45</f>
        <v>13402.8</v>
      </c>
      <c r="E20" s="167">
        <f>E6*E45</f>
        <v>11791.2</v>
      </c>
      <c r="F20" s="167">
        <f t="shared" si="1"/>
        <v>39361.8</v>
      </c>
      <c r="Q20" s="164" t="s">
        <v>90</v>
      </c>
      <c r="AG20" s="164" t="s">
        <v>91</v>
      </c>
      <c r="AH20" s="164" t="s">
        <v>90</v>
      </c>
    </row>
    <row r="21" spans="1:34">
      <c r="A21" s="155">
        <v>15</v>
      </c>
      <c r="B21" s="164" t="s">
        <v>92</v>
      </c>
      <c r="C21" s="175">
        <f>$F$21/$F$6*C6</f>
        <v>333.333333333333</v>
      </c>
      <c r="D21" s="175">
        <f>$F$21/$F$6*D6</f>
        <v>333.333333333333</v>
      </c>
      <c r="E21" s="175">
        <f>$F$21/$F$6*E6</f>
        <v>333.333333333333</v>
      </c>
      <c r="F21" s="167">
        <f>项目投资!F27</f>
        <v>1000</v>
      </c>
      <c r="Q21" s="164" t="s">
        <v>92</v>
      </c>
      <c r="AG21" s="164"/>
      <c r="AH21" s="164"/>
    </row>
    <row r="22" spans="1:34">
      <c r="A22" s="155">
        <v>16</v>
      </c>
      <c r="B22" s="164" t="s">
        <v>93</v>
      </c>
      <c r="C22" s="167">
        <f>C6*C47</f>
        <v>12501</v>
      </c>
      <c r="D22" s="167">
        <f>D6*D47</f>
        <v>11826</v>
      </c>
      <c r="E22" s="167">
        <f>E6*E47</f>
        <v>10404</v>
      </c>
      <c r="F22" s="167">
        <f t="shared" ref="F22:F26" si="2">+SUM(C22:E22)</f>
        <v>34731</v>
      </c>
      <c r="Q22" s="164" t="s">
        <v>93</v>
      </c>
      <c r="AG22" s="164" t="s">
        <v>94</v>
      </c>
      <c r="AH22" s="164" t="s">
        <v>93</v>
      </c>
    </row>
    <row r="23" spans="1:34">
      <c r="A23" s="155">
        <v>17</v>
      </c>
      <c r="B23" s="169" t="s">
        <v>95</v>
      </c>
      <c r="C23" s="175">
        <f>+C22+C21+C20+C19+C17</f>
        <v>47003.7333333333</v>
      </c>
      <c r="D23" s="175">
        <f>+D22+D21+D20+D19+D17</f>
        <v>44483.7333333333</v>
      </c>
      <c r="E23" s="175">
        <f>+E22+E21+E20+E19+E17</f>
        <v>39174.9333333333</v>
      </c>
      <c r="F23" s="167">
        <f t="shared" si="2"/>
        <v>130662.4</v>
      </c>
      <c r="Q23" s="169" t="s">
        <v>95</v>
      </c>
      <c r="AG23" s="164" t="s">
        <v>96</v>
      </c>
      <c r="AH23" s="169" t="s">
        <v>95</v>
      </c>
    </row>
    <row r="24" spans="1:34">
      <c r="A24" s="155">
        <v>18</v>
      </c>
      <c r="B24" s="176" t="s">
        <v>97</v>
      </c>
      <c r="C24" s="175">
        <f>+C15-C23</f>
        <v>-37634.7461433333</v>
      </c>
      <c r="D24" s="175">
        <f>+D15-D23</f>
        <v>95243.7854666667</v>
      </c>
      <c r="E24" s="175">
        <f>+E15-E23</f>
        <v>-135.562473333339</v>
      </c>
      <c r="F24" s="167">
        <f t="shared" si="2"/>
        <v>57473.47685</v>
      </c>
      <c r="H24" s="177"/>
      <c r="Q24" s="164" t="s">
        <v>97</v>
      </c>
      <c r="AG24" s="164" t="s">
        <v>98</v>
      </c>
      <c r="AH24" s="164" t="s">
        <v>97</v>
      </c>
    </row>
    <row r="25" spans="1:34">
      <c r="A25" s="155">
        <v>19</v>
      </c>
      <c r="B25" s="164" t="s">
        <v>166</v>
      </c>
      <c r="C25" s="175">
        <f>IF(C24&lt;0,0,C24*0.25)</f>
        <v>0</v>
      </c>
      <c r="D25" s="175">
        <f>IF(D24&lt;0,0,D24*0.25)</f>
        <v>23810.9463666667</v>
      </c>
      <c r="E25" s="175">
        <f>IF(E24&lt;0,0,E24*0.25)</f>
        <v>0</v>
      </c>
      <c r="F25" s="167">
        <f t="shared" si="2"/>
        <v>23810.9463666667</v>
      </c>
      <c r="G25" s="2"/>
      <c r="H25" s="2"/>
      <c r="I25" s="2"/>
      <c r="Q25" s="164" t="s">
        <v>38</v>
      </c>
      <c r="AG25" s="164" t="s">
        <v>99</v>
      </c>
      <c r="AH25" s="164" t="s">
        <v>38</v>
      </c>
    </row>
    <row r="26" spans="1:34">
      <c r="A26" s="155">
        <v>20</v>
      </c>
      <c r="B26" s="164" t="s">
        <v>100</v>
      </c>
      <c r="C26" s="175">
        <f>C24-C25</f>
        <v>-37634.7461433333</v>
      </c>
      <c r="D26" s="175">
        <f>D24-D25</f>
        <v>71432.8391</v>
      </c>
      <c r="E26" s="175">
        <f>E24-E25</f>
        <v>-135.562473333339</v>
      </c>
      <c r="F26" s="167">
        <f t="shared" si="2"/>
        <v>33662.5304833334</v>
      </c>
      <c r="G26" s="2"/>
      <c r="H26" s="2"/>
      <c r="I26" s="2"/>
      <c r="Q26" s="164" t="s">
        <v>100</v>
      </c>
      <c r="AG26" s="164" t="s">
        <v>101</v>
      </c>
      <c r="AH26" s="164" t="s">
        <v>100</v>
      </c>
    </row>
    <row r="27" spans="1:34">
      <c r="A27" s="155">
        <v>21</v>
      </c>
      <c r="B27" s="164" t="s">
        <v>104</v>
      </c>
      <c r="C27" s="178">
        <f>C26/C7</f>
        <v>-0.0903161654507639</v>
      </c>
      <c r="D27" s="178">
        <f>D26/D7</f>
        <v>0.181209637493658</v>
      </c>
      <c r="E27" s="178">
        <f>E26/E7</f>
        <v>-0.000390895251826237</v>
      </c>
      <c r="F27" s="178">
        <f>F26/F7</f>
        <v>0.029077075652875</v>
      </c>
      <c r="G27" s="2"/>
      <c r="H27" s="2"/>
      <c r="I27" s="2"/>
      <c r="Q27" s="164" t="s">
        <v>104</v>
      </c>
      <c r="AG27" s="164" t="s">
        <v>103</v>
      </c>
      <c r="AH27" s="164" t="s">
        <v>104</v>
      </c>
    </row>
    <row r="28" spans="7:17">
      <c r="G28" s="2"/>
      <c r="H28" s="2"/>
      <c r="I28" s="2"/>
      <c r="Q28" s="164"/>
    </row>
    <row r="29" spans="1:33">
      <c r="A29" s="153" t="s">
        <v>105</v>
      </c>
      <c r="F29" s="154" t="s">
        <v>167</v>
      </c>
      <c r="G29" s="2"/>
      <c r="H29" s="2"/>
      <c r="I29" s="2"/>
      <c r="Q29" s="164"/>
      <c r="AG29" s="153" t="s">
        <v>105</v>
      </c>
    </row>
    <row r="30" spans="1:34">
      <c r="A30" s="164" t="s">
        <v>107</v>
      </c>
      <c r="B30" s="169" t="s">
        <v>108</v>
      </c>
      <c r="C30" s="175"/>
      <c r="D30" s="175"/>
      <c r="E30" s="175"/>
      <c r="F30" s="175"/>
      <c r="G30" s="2"/>
      <c r="H30" s="2"/>
      <c r="I30" s="2"/>
      <c r="K30" s="2"/>
      <c r="Q30" s="169" t="s">
        <v>108</v>
      </c>
      <c r="AG30" s="164" t="s">
        <v>109</v>
      </c>
      <c r="AH30" s="169" t="s">
        <v>108</v>
      </c>
    </row>
    <row r="31" spans="1:34">
      <c r="A31" s="155">
        <v>1</v>
      </c>
      <c r="B31" s="172" t="s">
        <v>110</v>
      </c>
      <c r="C31" s="179">
        <f>(C7-C8)/C6</f>
        <v>134.7745311</v>
      </c>
      <c r="D31" s="179">
        <f>(D7-D8)/D6</f>
        <v>127.4972886</v>
      </c>
      <c r="E31" s="179">
        <f>(E7-E8)/E6</f>
        <v>112.1665644</v>
      </c>
      <c r="F31" s="175"/>
      <c r="G31" s="2"/>
      <c r="H31" s="2"/>
      <c r="I31" s="2"/>
      <c r="K31" s="2"/>
      <c r="Q31" s="164" t="s">
        <v>110</v>
      </c>
      <c r="AG31" s="164" t="s">
        <v>61</v>
      </c>
      <c r="AH31" s="164" t="s">
        <v>110</v>
      </c>
    </row>
    <row r="32" spans="1:34">
      <c r="A32" s="155">
        <v>2</v>
      </c>
      <c r="B32" s="164" t="s">
        <v>168</v>
      </c>
      <c r="C32" s="167">
        <f>C31*1</f>
        <v>134.7745311</v>
      </c>
      <c r="D32" s="167">
        <f>D31*1</f>
        <v>127.4972886</v>
      </c>
      <c r="E32" s="167">
        <f>E31*1</f>
        <v>112.1665644</v>
      </c>
      <c r="F32" s="175"/>
      <c r="G32" s="2"/>
      <c r="H32" s="2"/>
      <c r="I32" s="2"/>
      <c r="J32" s="2"/>
      <c r="K32" s="2"/>
      <c r="L32" s="2"/>
      <c r="M32" s="2"/>
      <c r="AG32" s="164"/>
      <c r="AH32" s="164"/>
    </row>
    <row r="33" spans="1:34">
      <c r="A33" s="155">
        <v>3</v>
      </c>
      <c r="B33" s="172" t="s">
        <v>111</v>
      </c>
      <c r="C33" s="167">
        <f>材料成本!D29</f>
        <v>116.53921537</v>
      </c>
      <c r="D33" s="167">
        <f>材料成本!E29</f>
        <v>66.625129</v>
      </c>
      <c r="E33" s="167">
        <f>材料成本!F29</f>
        <v>86.57616078</v>
      </c>
      <c r="F33" s="175"/>
      <c r="H33" s="2"/>
      <c r="I33" s="2"/>
      <c r="J33" s="2"/>
      <c r="K33" s="2"/>
      <c r="L33" s="2"/>
      <c r="M33" s="2"/>
      <c r="Q33" s="164" t="s">
        <v>111</v>
      </c>
      <c r="AG33" s="164" t="s">
        <v>63</v>
      </c>
      <c r="AH33" s="164" t="s">
        <v>111</v>
      </c>
    </row>
    <row r="34" ht="17.25" customHeight="1" spans="1:34">
      <c r="A34" s="155">
        <v>4</v>
      </c>
      <c r="B34" s="164" t="s">
        <v>113</v>
      </c>
      <c r="C34" s="180">
        <f>C32-C33</f>
        <v>18.23531573</v>
      </c>
      <c r="D34" s="180">
        <f>D32-D33</f>
        <v>60.8721596</v>
      </c>
      <c r="E34" s="180">
        <f>E32-E33</f>
        <v>25.59040362</v>
      </c>
      <c r="F34" s="175"/>
      <c r="H34" s="2"/>
      <c r="I34" s="2"/>
      <c r="J34" s="2"/>
      <c r="K34" s="2"/>
      <c r="L34" s="2"/>
      <c r="M34" s="2"/>
      <c r="Q34" s="164" t="s">
        <v>113</v>
      </c>
      <c r="AG34" s="164" t="s">
        <v>112</v>
      </c>
      <c r="AH34" s="164" t="s">
        <v>113</v>
      </c>
    </row>
    <row r="35" spans="1:34">
      <c r="A35" s="164" t="s">
        <v>109</v>
      </c>
      <c r="B35" s="169" t="s">
        <v>10</v>
      </c>
      <c r="C35" s="175"/>
      <c r="D35" s="175"/>
      <c r="E35" s="175"/>
      <c r="F35" s="175"/>
      <c r="G35" s="2"/>
      <c r="H35" s="2"/>
      <c r="I35" s="2"/>
      <c r="J35" s="2"/>
      <c r="K35" s="2"/>
      <c r="L35" s="2"/>
      <c r="M35" s="2"/>
      <c r="N35" s="2"/>
      <c r="O35" s="2"/>
      <c r="P35" s="2"/>
      <c r="Q35" s="169" t="s">
        <v>10</v>
      </c>
      <c r="AG35" s="164" t="s">
        <v>115</v>
      </c>
      <c r="AH35" s="169" t="s">
        <v>10</v>
      </c>
    </row>
    <row r="36" spans="1:34">
      <c r="A36" s="155">
        <v>1</v>
      </c>
      <c r="B36" s="164" t="s">
        <v>116</v>
      </c>
      <c r="C36" s="173">
        <f>标准成本!E4</f>
        <v>5.98659</v>
      </c>
      <c r="D36" s="173">
        <f>标准成本!E16</f>
        <v>5.66334</v>
      </c>
      <c r="E36" s="173">
        <f>标准成本!E29</f>
        <v>4.98236</v>
      </c>
      <c r="F36" s="179"/>
      <c r="G36" s="2"/>
      <c r="H36" s="2"/>
      <c r="I36" s="2"/>
      <c r="J36" s="2"/>
      <c r="K36" s="2"/>
      <c r="L36" s="2"/>
      <c r="M36" s="2"/>
      <c r="N36" s="2"/>
      <c r="O36" s="2"/>
      <c r="P36" s="2"/>
      <c r="Q36" s="164" t="s">
        <v>116</v>
      </c>
      <c r="AG36" s="164" t="s">
        <v>112</v>
      </c>
      <c r="AH36" s="164" t="s">
        <v>116</v>
      </c>
    </row>
    <row r="37" spans="1:34">
      <c r="A37" s="155">
        <v>2</v>
      </c>
      <c r="B37" s="164" t="s">
        <v>117</v>
      </c>
      <c r="C37" s="173">
        <f>标准成本!E6</f>
        <v>3.01413</v>
      </c>
      <c r="D37" s="173">
        <f>标准成本!E18</f>
        <v>2.85138</v>
      </c>
      <c r="E37" s="173">
        <f>标准成本!E31</f>
        <v>2.50852</v>
      </c>
      <c r="F37" s="179"/>
      <c r="G37" s="2"/>
      <c r="H37" s="2"/>
      <c r="I37" s="2"/>
      <c r="J37" s="2"/>
      <c r="K37" s="2"/>
      <c r="L37" s="2"/>
      <c r="M37" s="2"/>
      <c r="N37" s="2"/>
      <c r="O37" s="2"/>
      <c r="P37" s="2"/>
      <c r="Q37" s="164" t="s">
        <v>117</v>
      </c>
      <c r="AG37" s="164" t="s">
        <v>66</v>
      </c>
      <c r="AH37" s="164" t="s">
        <v>117</v>
      </c>
    </row>
    <row r="38" spans="1:34">
      <c r="A38" s="155">
        <v>3</v>
      </c>
      <c r="B38" s="164" t="s">
        <v>118</v>
      </c>
      <c r="C38" s="173">
        <f>标准成本!E10</f>
        <v>6.1116</v>
      </c>
      <c r="D38" s="173">
        <f>标准成本!E22</f>
        <v>5.7816</v>
      </c>
      <c r="E38" s="173">
        <f>标准成本!E35</f>
        <v>5.0864</v>
      </c>
      <c r="F38" s="179"/>
      <c r="G38" s="2"/>
      <c r="H38" s="2"/>
      <c r="I38" s="2"/>
      <c r="J38" s="2"/>
      <c r="K38" s="2"/>
      <c r="L38" s="2"/>
      <c r="M38" s="2"/>
      <c r="N38" s="2"/>
      <c r="O38" s="2"/>
      <c r="P38" s="2"/>
      <c r="Q38" s="164" t="s">
        <v>118</v>
      </c>
      <c r="AG38" s="164" t="s">
        <v>73</v>
      </c>
      <c r="AH38" s="164" t="s">
        <v>118</v>
      </c>
    </row>
    <row r="39" spans="1:34">
      <c r="A39" s="164" t="s">
        <v>115</v>
      </c>
      <c r="B39" s="169" t="s">
        <v>120</v>
      </c>
      <c r="C39" s="175"/>
      <c r="D39" s="175"/>
      <c r="E39" s="175"/>
      <c r="F39" s="175"/>
      <c r="Q39" s="169" t="s">
        <v>120</v>
      </c>
      <c r="AG39" s="164" t="s">
        <v>119</v>
      </c>
      <c r="AH39" s="169" t="s">
        <v>120</v>
      </c>
    </row>
    <row r="40" spans="1:34">
      <c r="A40" s="155">
        <v>1</v>
      </c>
      <c r="B40" s="164" t="s">
        <v>122</v>
      </c>
      <c r="C40" s="175">
        <f>C34-C36-C37-C38</f>
        <v>3.12299573</v>
      </c>
      <c r="D40" s="175">
        <f>D34-D36-D37-D38</f>
        <v>46.5758396</v>
      </c>
      <c r="E40" s="175">
        <f>E34-E36-E37-E38</f>
        <v>13.01312362</v>
      </c>
      <c r="F40" s="175"/>
      <c r="Q40" s="164" t="s">
        <v>122</v>
      </c>
      <c r="AG40" s="164" t="s">
        <v>61</v>
      </c>
      <c r="AH40" s="164" t="s">
        <v>122</v>
      </c>
    </row>
    <row r="41" spans="1:34">
      <c r="A41" s="155">
        <v>2</v>
      </c>
      <c r="B41" s="164" t="s">
        <v>123</v>
      </c>
      <c r="C41" s="175"/>
      <c r="D41" s="175"/>
      <c r="E41" s="175"/>
      <c r="F41" s="175"/>
      <c r="Q41" s="164" t="s">
        <v>123</v>
      </c>
      <c r="AG41" s="164" t="s">
        <v>63</v>
      </c>
      <c r="AH41" s="164" t="s">
        <v>123</v>
      </c>
    </row>
    <row r="42" spans="1:34">
      <c r="A42" s="164" t="s">
        <v>119</v>
      </c>
      <c r="B42" s="169" t="s">
        <v>125</v>
      </c>
      <c r="C42" s="175"/>
      <c r="D42" s="175"/>
      <c r="E42" s="175"/>
      <c r="F42" s="175"/>
      <c r="Q42" s="169" t="s">
        <v>125</v>
      </c>
      <c r="AG42" s="164" t="s">
        <v>124</v>
      </c>
      <c r="AH42" s="169" t="s">
        <v>125</v>
      </c>
    </row>
    <row r="43" spans="1:34">
      <c r="A43" s="155">
        <v>1</v>
      </c>
      <c r="B43" s="176" t="s">
        <v>126</v>
      </c>
      <c r="C43" s="173">
        <f>标准成本!E5</f>
        <v>5.6949</v>
      </c>
      <c r="D43" s="173">
        <f>标准成本!E17</f>
        <v>5.3874</v>
      </c>
      <c r="E43" s="173">
        <f>标准成本!E30</f>
        <v>4.7396</v>
      </c>
      <c r="F43" s="175"/>
      <c r="Q43" s="164" t="s">
        <v>126</v>
      </c>
      <c r="AG43" s="164" t="s">
        <v>61</v>
      </c>
      <c r="AH43" s="164" t="s">
        <v>126</v>
      </c>
    </row>
    <row r="44" spans="1:34">
      <c r="A44" s="155">
        <v>2</v>
      </c>
      <c r="B44" s="176" t="s">
        <v>127</v>
      </c>
      <c r="C44" s="173">
        <f>标准成本!E9</f>
        <v>0.9723</v>
      </c>
      <c r="D44" s="173">
        <f>标准成本!E21</f>
        <v>0.9198</v>
      </c>
      <c r="E44" s="173">
        <f>标准成本!E34</f>
        <v>0.8092</v>
      </c>
      <c r="F44" s="175"/>
      <c r="Q44" s="164" t="s">
        <v>127</v>
      </c>
      <c r="AG44" s="164" t="s">
        <v>63</v>
      </c>
      <c r="AH44" s="164" t="s">
        <v>127</v>
      </c>
    </row>
    <row r="45" spans="1:34">
      <c r="A45" s="155">
        <v>3</v>
      </c>
      <c r="B45" s="176" t="s">
        <v>128</v>
      </c>
      <c r="C45" s="173">
        <f>标准成本!E8</f>
        <v>4.7226</v>
      </c>
      <c r="D45" s="173">
        <f>标准成本!E20</f>
        <v>4.4676</v>
      </c>
      <c r="E45" s="173">
        <f>标准成本!E33</f>
        <v>3.9304</v>
      </c>
      <c r="F45" s="175"/>
      <c r="Q45" s="164" t="s">
        <v>128</v>
      </c>
      <c r="AG45" s="164" t="s">
        <v>112</v>
      </c>
      <c r="AH45" s="164" t="s">
        <v>128</v>
      </c>
    </row>
    <row r="46" s="152" customFormat="1" spans="1:34">
      <c r="A46" s="155">
        <v>4</v>
      </c>
      <c r="B46" s="176" t="s">
        <v>129</v>
      </c>
      <c r="C46" s="181">
        <f>C21/C6</f>
        <v>0.111111111111111</v>
      </c>
      <c r="D46" s="181">
        <f>D21/D6</f>
        <v>0.111111111111111</v>
      </c>
      <c r="E46" s="181">
        <f>E21/E6</f>
        <v>0.111111111111111</v>
      </c>
      <c r="F46" s="181"/>
      <c r="Q46" s="176" t="s">
        <v>131</v>
      </c>
      <c r="AG46" s="176" t="s">
        <v>69</v>
      </c>
      <c r="AH46" s="176" t="s">
        <v>131</v>
      </c>
    </row>
    <row r="47" s="152" customFormat="1" spans="1:34">
      <c r="A47" s="155">
        <v>5</v>
      </c>
      <c r="B47" s="176" t="s">
        <v>131</v>
      </c>
      <c r="C47" s="181">
        <f>标准成本!E11</f>
        <v>4.167</v>
      </c>
      <c r="D47" s="181">
        <f>标准成本!E23</f>
        <v>3.942</v>
      </c>
      <c r="E47" s="181">
        <f>标准成本!E36</f>
        <v>3.468</v>
      </c>
      <c r="F47" s="181"/>
      <c r="Q47" s="176" t="s">
        <v>131</v>
      </c>
      <c r="AG47" s="176" t="s">
        <v>69</v>
      </c>
      <c r="AH47" s="176" t="s">
        <v>131</v>
      </c>
    </row>
    <row r="48" spans="1:34">
      <c r="A48" s="164" t="s">
        <v>124</v>
      </c>
      <c r="B48" s="169" t="s">
        <v>142</v>
      </c>
      <c r="C48" s="175">
        <f>C40-C43-C44-C45-C47-C46</f>
        <v>-12.5449153811111</v>
      </c>
      <c r="D48" s="175">
        <f>D40-D43-D44-D45-D47-D46</f>
        <v>31.7479284888889</v>
      </c>
      <c r="E48" s="175">
        <f>E40-E43-E44-E45-E47-E46</f>
        <v>-0.045187491111108</v>
      </c>
      <c r="F48" s="175"/>
      <c r="Q48" s="169" t="s">
        <v>142</v>
      </c>
      <c r="AG48" s="164" t="s">
        <v>141</v>
      </c>
      <c r="AH48" s="169" t="s">
        <v>142</v>
      </c>
    </row>
    <row r="51" spans="3:5">
      <c r="C51" s="182"/>
      <c r="D51" s="182"/>
      <c r="E51" s="182"/>
    </row>
    <row r="54" spans="2:11">
      <c r="B54" s="2"/>
      <c r="C54" s="183"/>
      <c r="D54" s="183"/>
      <c r="E54" s="183"/>
      <c r="F54" s="183"/>
      <c r="G54" s="2"/>
      <c r="H54" s="2"/>
      <c r="I54" s="2"/>
      <c r="J54" s="2"/>
      <c r="K54" s="2"/>
    </row>
    <row r="55" spans="2:11">
      <c r="B55" s="2"/>
      <c r="C55" s="183"/>
      <c r="D55" s="183"/>
      <c r="E55" s="183"/>
      <c r="F55" s="183"/>
      <c r="G55" s="2"/>
      <c r="H55" s="2"/>
      <c r="I55" s="2"/>
      <c r="J55" s="2"/>
      <c r="K55" s="2"/>
    </row>
    <row r="56" spans="2:11">
      <c r="B56" s="2"/>
      <c r="C56" s="183"/>
      <c r="D56" s="183"/>
      <c r="E56" s="183"/>
      <c r="F56" s="183"/>
      <c r="G56" s="2"/>
      <c r="H56" s="2"/>
      <c r="I56" s="2"/>
      <c r="J56" s="2"/>
      <c r="K56" s="2"/>
    </row>
    <row r="57" spans="2:11">
      <c r="B57" s="2"/>
      <c r="C57" s="183"/>
      <c r="D57" s="183"/>
      <c r="E57" s="183"/>
      <c r="F57" s="183"/>
      <c r="G57" s="2"/>
      <c r="H57" s="2"/>
      <c r="I57" s="2"/>
      <c r="J57" s="2"/>
      <c r="K57" s="2"/>
    </row>
    <row r="58" spans="2:11">
      <c r="B58" s="2"/>
      <c r="C58" s="183"/>
      <c r="D58" s="183"/>
      <c r="E58" s="183"/>
      <c r="F58" s="183"/>
      <c r="G58" s="2"/>
      <c r="H58" s="2"/>
      <c r="I58" s="2"/>
      <c r="J58" s="2"/>
      <c r="K58" s="2"/>
    </row>
    <row r="59" spans="2:11">
      <c r="B59" s="2"/>
      <c r="C59" s="183"/>
      <c r="D59" s="183"/>
      <c r="E59" s="183"/>
      <c r="F59" s="183"/>
      <c r="G59" s="2"/>
      <c r="H59" s="2"/>
      <c r="I59" s="2"/>
      <c r="J59" s="2"/>
      <c r="K59" s="2"/>
    </row>
    <row r="60" spans="2:11">
      <c r="B60" s="2"/>
      <c r="C60" s="183"/>
      <c r="D60" s="183"/>
      <c r="E60" s="183"/>
      <c r="F60" s="183"/>
      <c r="G60" s="2"/>
      <c r="H60" s="2"/>
      <c r="I60" s="2"/>
      <c r="J60" s="2"/>
      <c r="K60" s="2"/>
    </row>
    <row r="61" spans="2:11">
      <c r="B61" s="2"/>
      <c r="C61" s="183"/>
      <c r="D61" s="183"/>
      <c r="E61" s="183"/>
      <c r="F61" s="183"/>
      <c r="G61" s="2"/>
      <c r="H61" s="2"/>
      <c r="I61" s="2"/>
      <c r="J61" s="2"/>
      <c r="K61" s="2"/>
    </row>
    <row r="62" spans="2:11">
      <c r="B62" s="2"/>
      <c r="C62" s="183"/>
      <c r="D62" s="183"/>
      <c r="E62" s="183"/>
      <c r="F62" s="183"/>
      <c r="G62" s="2"/>
      <c r="H62" s="2"/>
      <c r="I62" s="2"/>
      <c r="J62" s="2"/>
      <c r="K62" s="2"/>
    </row>
    <row r="63" spans="2:11">
      <c r="B63" s="2"/>
      <c r="C63" s="183"/>
      <c r="D63" s="183"/>
      <c r="E63" s="183"/>
      <c r="F63" s="183"/>
      <c r="G63" s="2"/>
      <c r="H63" s="2"/>
      <c r="I63" s="2"/>
      <c r="J63" s="2"/>
      <c r="K63" s="2"/>
    </row>
    <row r="64" spans="2:11">
      <c r="B64" s="2"/>
      <c r="C64" s="183"/>
      <c r="D64" s="183"/>
      <c r="E64" s="183"/>
      <c r="F64" s="183"/>
      <c r="G64" s="2"/>
      <c r="H64" s="2"/>
      <c r="I64" s="2"/>
      <c r="J64" s="2"/>
      <c r="K64" s="2"/>
    </row>
    <row r="65" spans="2:11">
      <c r="B65" s="2"/>
      <c r="C65" s="183"/>
      <c r="D65" s="183"/>
      <c r="E65" s="183"/>
      <c r="F65" s="183"/>
      <c r="G65" s="2"/>
      <c r="H65" s="2"/>
      <c r="I65" s="2"/>
      <c r="J65" s="2"/>
      <c r="K65" s="2"/>
    </row>
    <row r="66" spans="2:11">
      <c r="B66" s="2"/>
      <c r="C66" s="183"/>
      <c r="D66" s="183"/>
      <c r="E66" s="183"/>
      <c r="F66" s="183"/>
      <c r="G66" s="2"/>
      <c r="H66" s="2"/>
      <c r="I66" s="2"/>
      <c r="J66" s="2"/>
      <c r="K66" s="2"/>
    </row>
    <row r="67" spans="2:7">
      <c r="B67" s="2"/>
      <c r="C67" s="183"/>
      <c r="D67" s="183"/>
      <c r="E67" s="183"/>
      <c r="F67" s="183"/>
      <c r="G67" s="2"/>
    </row>
    <row r="68" spans="2:7">
      <c r="B68" s="2"/>
      <c r="C68" s="183"/>
      <c r="D68" s="183"/>
      <c r="E68" s="183"/>
      <c r="F68" s="183"/>
      <c r="G68" s="2"/>
    </row>
    <row r="69" spans="2:7">
      <c r="B69" s="2"/>
      <c r="C69" s="183"/>
      <c r="D69" s="183"/>
      <c r="E69" s="183"/>
      <c r="F69" s="183"/>
      <c r="G69" s="2"/>
    </row>
    <row r="70" spans="2:7">
      <c r="B70" s="2"/>
      <c r="C70" s="183"/>
      <c r="D70" s="183"/>
      <c r="E70" s="183"/>
      <c r="F70" s="183"/>
      <c r="G70" s="2"/>
    </row>
    <row r="71" spans="2:7">
      <c r="B71" s="2"/>
      <c r="C71" s="183"/>
      <c r="D71" s="183"/>
      <c r="E71" s="183"/>
      <c r="F71" s="183"/>
      <c r="G71" s="2"/>
    </row>
    <row r="72" spans="2:7">
      <c r="B72" s="2"/>
      <c r="C72" s="183"/>
      <c r="D72" s="183"/>
      <c r="E72" s="183"/>
      <c r="F72" s="183"/>
      <c r="G72" s="2"/>
    </row>
    <row r="73" spans="2:7">
      <c r="B73" s="2"/>
      <c r="C73" s="183"/>
      <c r="D73" s="183"/>
      <c r="E73" s="183"/>
      <c r="F73" s="183"/>
      <c r="G73" s="2"/>
    </row>
    <row r="74" spans="2:7">
      <c r="B74" s="2"/>
      <c r="C74" s="183"/>
      <c r="D74" s="183"/>
      <c r="E74" s="183"/>
      <c r="F74" s="18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xSplit="6" ySplit="2" topLeftCell="G6" activePane="bottomRight" state="frozen"/>
      <selection/>
      <selection pane="topRight"/>
      <selection pane="bottomLeft"/>
      <selection pane="bottomRight" activeCell="J29" sqref="J29"/>
    </sheetView>
  </sheetViews>
  <sheetFormatPr defaultColWidth="9" defaultRowHeight="14"/>
  <cols>
    <col min="1" max="1" width="19.5" customWidth="1"/>
    <col min="2" max="2" width="14.8727272727273" style="102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7.4545454545455" customWidth="1"/>
    <col min="8" max="10" width="13" customWidth="1"/>
    <col min="11" max="11" width="14.8727272727273" customWidth="1"/>
    <col min="12" max="12" width="13" customWidth="1"/>
  </cols>
  <sheetData>
    <row r="1" ht="21" spans="1:10">
      <c r="A1" s="103" t="s">
        <v>172</v>
      </c>
      <c r="B1" s="103"/>
      <c r="C1" s="103"/>
      <c r="E1" s="104" t="s">
        <v>173</v>
      </c>
      <c r="F1" s="105"/>
      <c r="G1" s="105"/>
      <c r="H1" s="106"/>
      <c r="I1" s="143"/>
      <c r="J1" s="143"/>
    </row>
    <row r="2" ht="23.45" customHeight="1" spans="1:10">
      <c r="A2" s="107" t="s">
        <v>1</v>
      </c>
      <c r="B2" s="108" t="s">
        <v>174</v>
      </c>
      <c r="C2" s="109" t="s">
        <v>175</v>
      </c>
      <c r="E2" s="110" t="s">
        <v>176</v>
      </c>
      <c r="F2" s="110" t="s">
        <v>1</v>
      </c>
      <c r="G2" s="111" t="s">
        <v>177</v>
      </c>
      <c r="H2" s="110" t="s">
        <v>175</v>
      </c>
      <c r="I2" s="144"/>
      <c r="J2" s="144"/>
    </row>
    <row r="3" ht="15.75" customHeight="1" spans="1:8">
      <c r="A3" s="112" t="s">
        <v>178</v>
      </c>
      <c r="B3" s="113"/>
      <c r="C3" s="114"/>
      <c r="E3" s="115" t="s">
        <v>179</v>
      </c>
      <c r="F3" s="116" t="s">
        <v>180</v>
      </c>
      <c r="G3" s="117">
        <v>0</v>
      </c>
      <c r="H3" s="116"/>
    </row>
    <row r="4" ht="15.75" customHeight="1" spans="1:8">
      <c r="A4" s="112" t="s">
        <v>181</v>
      </c>
      <c r="B4" s="113"/>
      <c r="C4" s="118"/>
      <c r="E4" s="119"/>
      <c r="F4" s="116" t="s">
        <v>182</v>
      </c>
      <c r="G4" s="117"/>
      <c r="H4" s="116"/>
    </row>
    <row r="5" ht="15.75" customHeight="1" spans="1:10">
      <c r="A5" s="112" t="s">
        <v>183</v>
      </c>
      <c r="B5" s="120">
        <f>SUM(G3:G4)</f>
        <v>0</v>
      </c>
      <c r="C5" s="114"/>
      <c r="E5" s="121" t="s">
        <v>184</v>
      </c>
      <c r="F5" s="122" t="s">
        <v>185</v>
      </c>
      <c r="G5" s="117"/>
      <c r="H5" s="122"/>
      <c r="I5" s="145"/>
      <c r="J5" s="145"/>
    </row>
    <row r="6" ht="15.75" customHeight="1" spans="1:12">
      <c r="A6" s="112" t="s">
        <v>186</v>
      </c>
      <c r="B6" s="113"/>
      <c r="C6" s="114"/>
      <c r="E6" s="123"/>
      <c r="F6" s="122" t="s">
        <v>187</v>
      </c>
      <c r="G6" s="117"/>
      <c r="H6" s="116"/>
      <c r="L6">
        <v>10000</v>
      </c>
    </row>
    <row r="7" ht="15.75" customHeight="1" spans="1:8">
      <c r="A7" s="124" t="s">
        <v>188</v>
      </c>
      <c r="B7" s="120">
        <f>SUM(B3:B6)</f>
        <v>0</v>
      </c>
      <c r="C7" s="114"/>
      <c r="E7" s="123"/>
      <c r="F7" s="122" t="s">
        <v>189</v>
      </c>
      <c r="G7" s="117"/>
      <c r="H7" s="116"/>
    </row>
    <row r="8" ht="15.75" customHeight="1" spans="1:8">
      <c r="A8" s="125" t="s">
        <v>190</v>
      </c>
      <c r="B8" s="120">
        <f>SUM(G5:G12)</f>
        <v>0</v>
      </c>
      <c r="C8" s="126"/>
      <c r="E8" s="123"/>
      <c r="F8" s="122" t="s">
        <v>191</v>
      </c>
      <c r="G8" s="117"/>
      <c r="H8" s="116"/>
    </row>
    <row r="9" ht="15.75" customHeight="1" spans="1:10">
      <c r="A9" s="112" t="s">
        <v>192</v>
      </c>
      <c r="B9" s="120">
        <f>SUM(G13:G21)</f>
        <v>0.4</v>
      </c>
      <c r="C9" s="114"/>
      <c r="E9" s="123"/>
      <c r="F9" s="116" t="s">
        <v>193</v>
      </c>
      <c r="G9" s="117"/>
      <c r="H9" s="127"/>
      <c r="I9" s="146"/>
      <c r="J9" s="146"/>
    </row>
    <row r="10" ht="15.75" customHeight="1" spans="1:8">
      <c r="A10" s="118" t="s">
        <v>57</v>
      </c>
      <c r="B10" s="120">
        <f>B7+B8+B9</f>
        <v>0.4</v>
      </c>
      <c r="C10" s="114"/>
      <c r="E10" s="123"/>
      <c r="F10" s="116" t="s">
        <v>194</v>
      </c>
      <c r="G10" s="128"/>
      <c r="H10" s="116"/>
    </row>
    <row r="11" ht="15.75" customHeight="1" spans="5:8">
      <c r="E11" s="123"/>
      <c r="F11" s="116" t="s">
        <v>195</v>
      </c>
      <c r="G11" s="128"/>
      <c r="H11" s="116"/>
    </row>
    <row r="12" ht="15.75" customHeight="1" spans="5:10">
      <c r="E12" s="129"/>
      <c r="F12" s="116" t="s">
        <v>196</v>
      </c>
      <c r="G12" s="117"/>
      <c r="H12" s="127"/>
      <c r="I12" s="146"/>
      <c r="J12" s="146"/>
    </row>
    <row r="13" ht="15.75" customHeight="1" spans="5:10">
      <c r="E13" s="115" t="s">
        <v>92</v>
      </c>
      <c r="F13" s="116" t="s">
        <v>197</v>
      </c>
      <c r="G13" s="117"/>
      <c r="H13" s="130"/>
      <c r="I13" s="147"/>
      <c r="J13" s="147"/>
    </row>
    <row r="14" ht="15.75" customHeight="1" spans="5:8">
      <c r="E14" s="119"/>
      <c r="F14" s="116" t="s">
        <v>198</v>
      </c>
      <c r="G14" s="117"/>
      <c r="H14" s="116"/>
    </row>
    <row r="15" ht="15.75" customHeight="1" spans="5:8">
      <c r="E15" s="119"/>
      <c r="F15" s="116" t="s">
        <v>199</v>
      </c>
      <c r="G15" s="117"/>
      <c r="H15" s="116"/>
    </row>
    <row r="16" ht="15.75" customHeight="1" spans="5:8">
      <c r="E16" s="119"/>
      <c r="F16" s="116" t="s">
        <v>200</v>
      </c>
      <c r="G16" s="131">
        <v>0.15</v>
      </c>
      <c r="H16" s="116"/>
    </row>
    <row r="17" ht="15.75" customHeight="1" spans="5:8">
      <c r="E17" s="119"/>
      <c r="F17" s="116" t="s">
        <v>201</v>
      </c>
      <c r="G17" s="131"/>
      <c r="H17" s="116"/>
    </row>
    <row r="18" ht="15.75" customHeight="1" spans="5:8">
      <c r="E18" s="119"/>
      <c r="F18" s="116" t="s">
        <v>202</v>
      </c>
      <c r="G18" s="131"/>
      <c r="H18" s="116"/>
    </row>
    <row r="19" ht="15.75" customHeight="1" spans="5:8">
      <c r="E19" s="119"/>
      <c r="F19" s="116" t="s">
        <v>203</v>
      </c>
      <c r="G19" s="131">
        <v>0.25</v>
      </c>
      <c r="H19" s="116"/>
    </row>
    <row r="20" ht="15.75" customHeight="1" spans="5:8">
      <c r="E20" s="119"/>
      <c r="F20" s="116" t="s">
        <v>204</v>
      </c>
      <c r="G20" s="117"/>
      <c r="H20" s="116"/>
    </row>
    <row r="21" ht="15.75" customHeight="1" spans="5:8">
      <c r="E21" s="132"/>
      <c r="F21" s="116" t="s">
        <v>39</v>
      </c>
      <c r="G21" s="117"/>
      <c r="H21" s="116"/>
    </row>
    <row r="22" ht="15.75" customHeight="1" spans="5:8">
      <c r="E22" s="110" t="s">
        <v>57</v>
      </c>
      <c r="F22" s="116"/>
      <c r="G22" s="111">
        <f>SUM(G3:G21)</f>
        <v>0.4</v>
      </c>
      <c r="H22" s="116"/>
    </row>
    <row r="23" ht="30.75" customHeight="1" spans="5:10">
      <c r="E23" s="133" t="s">
        <v>205</v>
      </c>
      <c r="F23" s="133"/>
      <c r="G23" s="133"/>
      <c r="H23" s="133"/>
      <c r="I23" s="148"/>
      <c r="J23" s="148"/>
    </row>
    <row r="25" ht="16.5" spans="1:12">
      <c r="A25" s="134" t="s">
        <v>1</v>
      </c>
      <c r="B25" s="134" t="s">
        <v>174</v>
      </c>
      <c r="C25" s="134" t="s">
        <v>206</v>
      </c>
      <c r="D25" s="135" t="s">
        <v>207</v>
      </c>
      <c r="E25" s="135" t="s">
        <v>106</v>
      </c>
      <c r="F25" s="135" t="s">
        <v>55</v>
      </c>
      <c r="G25" s="135" t="s">
        <v>56</v>
      </c>
      <c r="H25" s="135" t="s">
        <v>208</v>
      </c>
      <c r="I25" s="135" t="s">
        <v>209</v>
      </c>
      <c r="J25" s="135" t="s">
        <v>210</v>
      </c>
      <c r="K25" s="135" t="s">
        <v>57</v>
      </c>
      <c r="L25" s="149" t="s">
        <v>211</v>
      </c>
    </row>
    <row r="26" spans="1:12">
      <c r="A26" s="136" t="s">
        <v>86</v>
      </c>
      <c r="B26" s="137">
        <f>(B5+B8)*10000</f>
        <v>0</v>
      </c>
      <c r="C26" s="138">
        <v>0.05</v>
      </c>
      <c r="D26" s="139">
        <f>B26*(1-C26)/3</f>
        <v>0</v>
      </c>
      <c r="E26" s="139">
        <f t="shared" ref="E26:J26" si="0">D26</f>
        <v>0</v>
      </c>
      <c r="F26" s="139">
        <f t="shared" si="0"/>
        <v>0</v>
      </c>
      <c r="G26" s="139">
        <f t="shared" si="0"/>
        <v>0</v>
      </c>
      <c r="H26" s="139">
        <f t="shared" si="0"/>
        <v>0</v>
      </c>
      <c r="I26" s="139">
        <f t="shared" si="0"/>
        <v>0</v>
      </c>
      <c r="J26" s="139">
        <f t="shared" si="0"/>
        <v>0</v>
      </c>
      <c r="K26" s="139">
        <f>SUM(D26:J26)</f>
        <v>0</v>
      </c>
      <c r="L26" s="139">
        <f>B26*0.05</f>
        <v>0</v>
      </c>
    </row>
    <row r="27" spans="1:12">
      <c r="A27" s="136" t="s">
        <v>212</v>
      </c>
      <c r="B27" s="137">
        <f>B9*10000</f>
        <v>4000</v>
      </c>
      <c r="C27" s="139"/>
      <c r="D27" s="139">
        <f>B27/4</f>
        <v>1000</v>
      </c>
      <c r="E27" s="139">
        <f t="shared" ref="E26:F27" si="1">D27</f>
        <v>1000</v>
      </c>
      <c r="F27" s="139">
        <f t="shared" si="1"/>
        <v>1000</v>
      </c>
      <c r="G27" s="139">
        <f>F27</f>
        <v>1000</v>
      </c>
      <c r="H27" s="139"/>
      <c r="I27" s="139"/>
      <c r="J27" s="139"/>
      <c r="K27" s="139">
        <f>SUM(D27:J27)</f>
        <v>4000</v>
      </c>
      <c r="L27" s="139"/>
    </row>
    <row r="28" spans="1:12">
      <c r="A28" s="140" t="s">
        <v>150</v>
      </c>
      <c r="B28" s="141"/>
      <c r="C28" s="142"/>
      <c r="D28" s="139">
        <f>SUM(D26:D27)</f>
        <v>1000</v>
      </c>
      <c r="E28" s="139">
        <f t="shared" ref="E28:K28" si="2">SUM(E26:E27)</f>
        <v>1000</v>
      </c>
      <c r="F28" s="139">
        <f t="shared" si="2"/>
        <v>1000</v>
      </c>
      <c r="G28" s="139">
        <f t="shared" si="2"/>
        <v>1000</v>
      </c>
      <c r="H28" s="139">
        <f t="shared" si="2"/>
        <v>0</v>
      </c>
      <c r="I28" s="139">
        <f t="shared" si="2"/>
        <v>0</v>
      </c>
      <c r="J28" s="139">
        <f t="shared" si="2"/>
        <v>0</v>
      </c>
      <c r="K28" s="139">
        <f t="shared" si="2"/>
        <v>4000</v>
      </c>
      <c r="L28" s="15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zoomScale="85" zoomScaleNormal="85" workbookViewId="0">
      <selection activeCell="C9" sqref="C9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5.9363636363636" style="69" customWidth="1"/>
    <col min="5" max="5" width="12.8727272727273" style="69" customWidth="1"/>
    <col min="6" max="6" width="11.1272727272727" style="69" customWidth="1"/>
    <col min="7" max="7" width="13.2545454545455" style="69" hidden="1" customWidth="1"/>
    <col min="8" max="8" width="12.1272727272727" style="69" hidden="1" customWidth="1"/>
    <col min="9" max="9" width="13.1272727272727" style="69" hidden="1" customWidth="1"/>
    <col min="10" max="12" width="12.1272727272727" style="69" hidden="1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7" width="18.3636363636364" style="69" customWidth="1"/>
    <col min="18" max="19" width="20.1818181818182" style="69"/>
    <col min="20" max="20" width="15.6363636363636" style="69"/>
    <col min="21" max="16384" width="9" style="69"/>
  </cols>
  <sheetData>
    <row r="1" ht="29.25" customHeight="1" spans="1:13">
      <c r="A1" s="71" t="s">
        <v>213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214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215</v>
      </c>
      <c r="D3" s="69" t="s">
        <v>216</v>
      </c>
      <c r="E3" s="74">
        <v>0.01</v>
      </c>
    </row>
    <row r="5" ht="45" customHeight="1" spans="1:13">
      <c r="A5" s="75" t="s">
        <v>217</v>
      </c>
      <c r="B5" s="76" t="s">
        <v>156</v>
      </c>
      <c r="C5" s="77" t="s">
        <v>157</v>
      </c>
      <c r="D5" s="77" t="s">
        <v>158</v>
      </c>
      <c r="E5" s="77" t="s">
        <v>159</v>
      </c>
      <c r="F5" s="78"/>
      <c r="G5" s="21"/>
      <c r="H5" s="21"/>
      <c r="I5" s="21"/>
      <c r="J5" s="21"/>
      <c r="K5" s="21"/>
      <c r="L5" s="21"/>
      <c r="M5" s="96" t="s">
        <v>57</v>
      </c>
    </row>
    <row r="6" ht="31.5" customHeight="1" spans="1:19">
      <c r="A6" s="75"/>
      <c r="B6" s="76" t="s">
        <v>160</v>
      </c>
      <c r="C6" s="79" t="s">
        <v>161</v>
      </c>
      <c r="D6" s="79" t="s">
        <v>162</v>
      </c>
      <c r="E6" s="80" t="s">
        <v>163</v>
      </c>
      <c r="F6" s="23"/>
      <c r="G6" s="23"/>
      <c r="H6" s="23"/>
      <c r="I6" s="23"/>
      <c r="J6" s="23"/>
      <c r="K6" s="23"/>
      <c r="L6" s="23"/>
      <c r="M6" s="97"/>
      <c r="O6" s="70">
        <v>100</v>
      </c>
      <c r="Q6" s="75" t="s">
        <v>218</v>
      </c>
      <c r="R6" s="75"/>
      <c r="S6" s="75"/>
    </row>
    <row r="7" ht="51" customHeight="1" spans="1:19">
      <c r="A7" s="75"/>
      <c r="B7" s="23" t="s">
        <v>219</v>
      </c>
      <c r="C7" s="81"/>
      <c r="D7" s="81"/>
      <c r="E7" s="81"/>
      <c r="F7" s="23"/>
      <c r="G7" s="78"/>
      <c r="H7" s="78"/>
      <c r="I7" s="23"/>
      <c r="J7" s="23"/>
      <c r="K7" s="23"/>
      <c r="L7" s="23"/>
      <c r="M7" s="98"/>
      <c r="N7" s="69">
        <v>2025</v>
      </c>
      <c r="O7" s="70">
        <f>O6*(1-$E$3)</f>
        <v>99</v>
      </c>
      <c r="P7" s="93">
        <f t="shared" ref="P7:P12" si="0">O7/$O$6</f>
        <v>0.99</v>
      </c>
      <c r="Q7" s="101">
        <f>C8*P7</f>
        <v>137.511</v>
      </c>
      <c r="R7" s="101">
        <f>D8*P7</f>
        <v>130.086</v>
      </c>
      <c r="S7" s="101">
        <f>E8*P7</f>
        <v>114.444</v>
      </c>
    </row>
    <row r="8" ht="33" spans="1:19">
      <c r="A8" s="75"/>
      <c r="B8" s="23" t="s">
        <v>220</v>
      </c>
      <c r="C8" s="81">
        <v>138.9</v>
      </c>
      <c r="D8" s="81">
        <v>131.4</v>
      </c>
      <c r="E8" s="81">
        <v>115.6</v>
      </c>
      <c r="F8" s="82"/>
      <c r="G8" s="82"/>
      <c r="H8" s="82"/>
      <c r="I8" s="82"/>
      <c r="J8" s="82"/>
      <c r="K8" s="82"/>
      <c r="L8" s="82"/>
      <c r="M8" s="99">
        <f>SUM(C8:L8)</f>
        <v>385.9</v>
      </c>
      <c r="N8" s="69">
        <v>2026</v>
      </c>
      <c r="O8" s="70">
        <f>O7*(1-$E$3)</f>
        <v>98.01</v>
      </c>
      <c r="P8" s="93">
        <f t="shared" si="0"/>
        <v>0.9801</v>
      </c>
      <c r="Q8" s="101">
        <f>C8*$P$8</f>
        <v>136.13589</v>
      </c>
      <c r="R8" s="101">
        <f>D8*$P$8</f>
        <v>128.78514</v>
      </c>
      <c r="S8" s="101">
        <f>E8*$P$8</f>
        <v>113.29956</v>
      </c>
    </row>
    <row r="9" spans="1:19">
      <c r="A9" s="83" t="s">
        <v>221</v>
      </c>
      <c r="B9" s="23" t="s">
        <v>207</v>
      </c>
      <c r="C9" s="84">
        <v>1500</v>
      </c>
      <c r="D9" s="84">
        <v>1500</v>
      </c>
      <c r="E9" s="84">
        <v>1500</v>
      </c>
      <c r="F9" s="84"/>
      <c r="G9" s="82"/>
      <c r="H9" s="82"/>
      <c r="I9" s="82"/>
      <c r="J9" s="82"/>
      <c r="K9" s="82"/>
      <c r="L9" s="82"/>
      <c r="M9" s="99">
        <f>SUM(C9:L9)</f>
        <v>4500</v>
      </c>
      <c r="N9" s="69">
        <v>2027</v>
      </c>
      <c r="O9" s="70">
        <f>O8*(1-$E$3)</f>
        <v>97.0299</v>
      </c>
      <c r="P9" s="93">
        <f t="shared" si="0"/>
        <v>0.970299</v>
      </c>
      <c r="Q9" s="101">
        <f>C8*$P$9</f>
        <v>134.7745311</v>
      </c>
      <c r="R9" s="101">
        <f>D8*$P$9</f>
        <v>127.4972886</v>
      </c>
      <c r="S9" s="101">
        <f>E8*$P$9</f>
        <v>112.1665644</v>
      </c>
    </row>
    <row r="10" spans="1:19">
      <c r="A10" s="85"/>
      <c r="B10" s="86" t="s">
        <v>106</v>
      </c>
      <c r="C10" s="84">
        <v>2000</v>
      </c>
      <c r="D10" s="84">
        <v>2000</v>
      </c>
      <c r="E10" s="84">
        <v>2000</v>
      </c>
      <c r="F10" s="84"/>
      <c r="G10" s="87"/>
      <c r="H10" s="87"/>
      <c r="I10" s="87"/>
      <c r="J10" s="87"/>
      <c r="K10" s="87"/>
      <c r="L10" s="87"/>
      <c r="M10" s="99">
        <f t="shared" ref="M10:M15" si="1">SUM(C10:L10)</f>
        <v>6000</v>
      </c>
      <c r="N10" s="69">
        <v>2028</v>
      </c>
      <c r="O10" s="70">
        <f>O9*(1-$E$3)</f>
        <v>96.059601</v>
      </c>
      <c r="P10" s="93">
        <f t="shared" si="0"/>
        <v>0.96059601</v>
      </c>
      <c r="Q10" s="101">
        <f>C8*$P$10</f>
        <v>133.426785789</v>
      </c>
      <c r="R10" s="101">
        <f>D8*$P$10</f>
        <v>126.222315714</v>
      </c>
      <c r="S10" s="101">
        <f>E8*$P$10</f>
        <v>111.044898756</v>
      </c>
    </row>
    <row r="11" spans="1:19">
      <c r="A11" s="85"/>
      <c r="B11" s="86" t="s">
        <v>55</v>
      </c>
      <c r="C11" s="84">
        <v>2600</v>
      </c>
      <c r="D11" s="84">
        <v>2600</v>
      </c>
      <c r="E11" s="84">
        <v>2600</v>
      </c>
      <c r="F11" s="84"/>
      <c r="G11" s="87"/>
      <c r="H11" s="87"/>
      <c r="I11" s="87"/>
      <c r="J11" s="87"/>
      <c r="K11" s="87"/>
      <c r="L11" s="87"/>
      <c r="M11" s="99">
        <f t="shared" si="1"/>
        <v>7800</v>
      </c>
      <c r="N11" s="69">
        <v>2029</v>
      </c>
      <c r="O11" s="70">
        <f>O10*(1-$E$3)</f>
        <v>95.09900499</v>
      </c>
      <c r="P11" s="93">
        <f t="shared" si="0"/>
        <v>0.9509900499</v>
      </c>
      <c r="Q11" s="101">
        <f>C8*$P$11</f>
        <v>132.09251793111</v>
      </c>
      <c r="R11" s="101">
        <f>D8*$P$11</f>
        <v>124.96009255686</v>
      </c>
      <c r="S11" s="101">
        <f>E8*$P$11</f>
        <v>109.93444976844</v>
      </c>
    </row>
    <row r="12" spans="1:19">
      <c r="A12" s="85"/>
      <c r="B12" s="86" t="s">
        <v>56</v>
      </c>
      <c r="C12" s="84">
        <v>3000</v>
      </c>
      <c r="D12" s="84">
        <v>3000</v>
      </c>
      <c r="E12" s="84">
        <v>3000</v>
      </c>
      <c r="F12" s="84"/>
      <c r="G12" s="87"/>
      <c r="H12" s="87"/>
      <c r="I12" s="87"/>
      <c r="J12" s="87"/>
      <c r="K12" s="87"/>
      <c r="L12" s="87"/>
      <c r="M12" s="99">
        <f t="shared" si="1"/>
        <v>9000</v>
      </c>
      <c r="N12" s="69">
        <v>2030</v>
      </c>
      <c r="O12" s="70">
        <f>O11*(1-$E$3)</f>
        <v>94.1480149401</v>
      </c>
      <c r="P12" s="93">
        <f t="shared" si="0"/>
        <v>0.941480149401</v>
      </c>
      <c r="Q12" s="101">
        <f>C8*$P$12</f>
        <v>130.771592751799</v>
      </c>
      <c r="R12" s="101">
        <f>D8*$P$12</f>
        <v>123.710491631291</v>
      </c>
      <c r="S12" s="101">
        <f>E8*$P$12</f>
        <v>108.835105270756</v>
      </c>
    </row>
    <row r="13" spans="1:17">
      <c r="A13" s="85"/>
      <c r="B13" s="86" t="s">
        <v>208</v>
      </c>
      <c r="C13" s="84"/>
      <c r="D13" s="84"/>
      <c r="E13" s="84"/>
      <c r="F13" s="84"/>
      <c r="G13" s="87"/>
      <c r="H13" s="87"/>
      <c r="I13" s="87"/>
      <c r="J13" s="87"/>
      <c r="K13" s="87"/>
      <c r="L13" s="87"/>
      <c r="M13" s="99">
        <f>SUM(C13:H13)</f>
        <v>0</v>
      </c>
      <c r="Q13" s="93"/>
    </row>
    <row r="14" ht="17.5" spans="1:20">
      <c r="A14" s="85"/>
      <c r="B14" s="86" t="s">
        <v>209</v>
      </c>
      <c r="C14" s="84"/>
      <c r="D14" s="84"/>
      <c r="E14" s="84"/>
      <c r="F14" s="84"/>
      <c r="G14" s="87"/>
      <c r="H14" s="88"/>
      <c r="I14" s="88"/>
      <c r="J14" s="88"/>
      <c r="K14" s="88"/>
      <c r="L14" s="88"/>
      <c r="M14" s="99">
        <f>SUM(C14:H14)</f>
        <v>0</v>
      </c>
      <c r="P14" s="100">
        <v>2025</v>
      </c>
      <c r="Q14" s="93">
        <f>($C$8-Q7)*C10</f>
        <v>2778.00000000002</v>
      </c>
      <c r="R14" s="93">
        <f>($D$8-R7)*D10</f>
        <v>2627.99999999999</v>
      </c>
      <c r="S14" s="93">
        <f>($E$8-S7)*E10</f>
        <v>2312.00000000001</v>
      </c>
      <c r="T14" s="93">
        <f t="shared" ref="T14:T19" si="2">SUM(Q14:S14)</f>
        <v>7718.00000000002</v>
      </c>
    </row>
    <row r="15" ht="17.5" spans="1:20">
      <c r="A15" s="89"/>
      <c r="B15" s="86" t="s">
        <v>210</v>
      </c>
      <c r="C15" s="84"/>
      <c r="D15" s="84"/>
      <c r="E15" s="84"/>
      <c r="F15" s="84"/>
      <c r="G15" s="87"/>
      <c r="H15" s="88"/>
      <c r="I15" s="88"/>
      <c r="J15" s="88"/>
      <c r="K15" s="88"/>
      <c r="L15" s="88"/>
      <c r="M15" s="99">
        <f t="shared" si="1"/>
        <v>0</v>
      </c>
      <c r="P15" s="100">
        <v>2026</v>
      </c>
      <c r="Q15" s="93">
        <f>(C8-Q8)*C11</f>
        <v>7186.68599999997</v>
      </c>
      <c r="R15" s="93">
        <f>(D8-R8)*D11</f>
        <v>6798.63599999998</v>
      </c>
      <c r="S15" s="93">
        <f>(E8-S8)*E11</f>
        <v>5981.14399999999</v>
      </c>
      <c r="T15" s="93">
        <f t="shared" si="2"/>
        <v>19966.4659999999</v>
      </c>
    </row>
    <row r="16" spans="1:20">
      <c r="A16" s="86" t="s">
        <v>57</v>
      </c>
      <c r="B16" s="86"/>
      <c r="C16" s="90">
        <f>SUM(C9:C15)</f>
        <v>9100</v>
      </c>
      <c r="D16" s="90">
        <f>SUM(D9:D15)</f>
        <v>9100</v>
      </c>
      <c r="E16" s="90">
        <f>SUM(E9:E15)</f>
        <v>9100</v>
      </c>
      <c r="F16" s="90">
        <f t="shared" ref="C16:N16" si="3">SUM(F10:F14)</f>
        <v>0</v>
      </c>
      <c r="G16" s="90">
        <f t="shared" si="3"/>
        <v>0</v>
      </c>
      <c r="H16" s="90">
        <f t="shared" si="3"/>
        <v>0</v>
      </c>
      <c r="I16" s="90">
        <f t="shared" si="3"/>
        <v>0</v>
      </c>
      <c r="J16" s="90">
        <f t="shared" si="3"/>
        <v>0</v>
      </c>
      <c r="K16" s="90">
        <f t="shared" si="3"/>
        <v>0</v>
      </c>
      <c r="L16" s="90">
        <f t="shared" si="3"/>
        <v>0</v>
      </c>
      <c r="M16" s="90">
        <f t="shared" si="3"/>
        <v>22800</v>
      </c>
      <c r="P16" s="100">
        <v>2027</v>
      </c>
      <c r="Q16" s="93">
        <f>(C8-Q9)*C12</f>
        <v>12376.4067</v>
      </c>
      <c r="R16" s="93">
        <f>(D8-R9)*D12</f>
        <v>11708.1342</v>
      </c>
      <c r="S16" s="93">
        <f>(E8-S9)*E12</f>
        <v>10300.3068</v>
      </c>
      <c r="T16" s="93">
        <f t="shared" si="2"/>
        <v>34384.8477</v>
      </c>
    </row>
    <row r="17" ht="33" spans="1:20">
      <c r="A17" s="91"/>
      <c r="B17" s="91"/>
      <c r="C17" s="92" t="s">
        <v>52</v>
      </c>
      <c r="P17" s="100">
        <v>2028</v>
      </c>
      <c r="Q17" s="93">
        <f>(C8-Q10)*C13</f>
        <v>0</v>
      </c>
      <c r="R17" s="93">
        <f>(D8-R10)*D13</f>
        <v>0</v>
      </c>
      <c r="S17" s="93">
        <f>(E8-S10)*E13</f>
        <v>0</v>
      </c>
      <c r="T17" s="93">
        <f t="shared" si="2"/>
        <v>0</v>
      </c>
    </row>
    <row r="18" spans="2:20">
      <c r="B18" s="69" t="s">
        <v>222</v>
      </c>
      <c r="C18" s="93">
        <f>材料成本!D24</f>
        <v>127.69</v>
      </c>
      <c r="D18" s="93">
        <f>材料成本!E24</f>
        <v>73</v>
      </c>
      <c r="E18" s="93">
        <f>材料成本!F24</f>
        <v>94.86</v>
      </c>
      <c r="F18" s="93">
        <f>材料成本!G24</f>
        <v>0</v>
      </c>
      <c r="G18" s="93">
        <f>材料成本!H24</f>
        <v>0</v>
      </c>
      <c r="H18" s="93">
        <f>材料成本!I24</f>
        <v>0</v>
      </c>
      <c r="I18" s="93">
        <f>材料成本!J24</f>
        <v>0</v>
      </c>
      <c r="J18" s="93">
        <f>材料成本!K24</f>
        <v>0</v>
      </c>
      <c r="K18" s="93">
        <f>材料成本!L24</f>
        <v>0</v>
      </c>
      <c r="L18" s="93">
        <f>材料成本!M24</f>
        <v>0</v>
      </c>
      <c r="M18" s="91">
        <f>SUM(C18:L18)</f>
        <v>295.55</v>
      </c>
      <c r="P18" s="100">
        <v>2029</v>
      </c>
      <c r="Q18" s="93">
        <f>(C8-Q11)*C14</f>
        <v>0</v>
      </c>
      <c r="R18" s="93">
        <f>(D8-R11)*D14</f>
        <v>0</v>
      </c>
      <c r="S18" s="93">
        <f>(E8-S11)*E14</f>
        <v>0</v>
      </c>
      <c r="T18" s="93">
        <f t="shared" si="2"/>
        <v>0</v>
      </c>
    </row>
    <row r="19" spans="2:20">
      <c r="B19" s="69" t="s">
        <v>108</v>
      </c>
      <c r="C19" s="93">
        <f>C8-C18</f>
        <v>11.21</v>
      </c>
      <c r="D19" s="93">
        <f t="shared" ref="D19:M19" si="4">D8-D18</f>
        <v>58.4</v>
      </c>
      <c r="E19" s="93">
        <f t="shared" si="4"/>
        <v>20.74</v>
      </c>
      <c r="F19" s="93">
        <f t="shared" si="4"/>
        <v>0</v>
      </c>
      <c r="G19" s="93">
        <f t="shared" si="4"/>
        <v>0</v>
      </c>
      <c r="H19" s="93">
        <f t="shared" si="4"/>
        <v>0</v>
      </c>
      <c r="I19" s="93">
        <f t="shared" si="4"/>
        <v>0</v>
      </c>
      <c r="J19" s="93">
        <f t="shared" si="4"/>
        <v>0</v>
      </c>
      <c r="K19" s="93">
        <f t="shared" si="4"/>
        <v>0</v>
      </c>
      <c r="L19" s="93">
        <f t="shared" si="4"/>
        <v>0</v>
      </c>
      <c r="M19" s="91">
        <f>SUM(C19:L19)</f>
        <v>90.35</v>
      </c>
      <c r="P19" s="100">
        <v>2030</v>
      </c>
      <c r="Q19" s="93">
        <f>(C8-Q12)*C15</f>
        <v>0</v>
      </c>
      <c r="R19" s="93">
        <f>(D8-R12)*D15</f>
        <v>0</v>
      </c>
      <c r="S19" s="93">
        <f>(E8-S12)*E15</f>
        <v>0</v>
      </c>
      <c r="T19" s="93">
        <f t="shared" si="2"/>
        <v>0</v>
      </c>
    </row>
    <row r="20" spans="2:20">
      <c r="B20" s="69" t="s">
        <v>223</v>
      </c>
      <c r="C20" s="94">
        <f>C19/C8</f>
        <v>0.0807055435565155</v>
      </c>
      <c r="D20" s="94">
        <f t="shared" ref="D20:N20" si="5">D19/D8</f>
        <v>0.444444444444444</v>
      </c>
      <c r="E20" s="94">
        <f t="shared" si="5"/>
        <v>0.179411764705882</v>
      </c>
      <c r="F20" s="94" t="e">
        <f t="shared" si="5"/>
        <v>#DIV/0!</v>
      </c>
      <c r="G20" s="95" t="e">
        <f t="shared" si="5"/>
        <v>#DIV/0!</v>
      </c>
      <c r="H20" s="95" t="e">
        <f t="shared" si="5"/>
        <v>#DIV/0!</v>
      </c>
      <c r="I20" s="95" t="e">
        <f t="shared" si="5"/>
        <v>#DIV/0!</v>
      </c>
      <c r="J20" s="95" t="e">
        <f t="shared" si="5"/>
        <v>#DIV/0!</v>
      </c>
      <c r="K20" s="94" t="e">
        <f t="shared" si="5"/>
        <v>#DIV/0!</v>
      </c>
      <c r="L20" s="94" t="e">
        <f t="shared" si="5"/>
        <v>#DIV/0!</v>
      </c>
      <c r="M20" s="94">
        <f t="shared" si="5"/>
        <v>0.234128012438456</v>
      </c>
      <c r="Q20" s="93"/>
      <c r="R20" s="93"/>
      <c r="S20" s="93"/>
      <c r="T20" s="93"/>
    </row>
  </sheetData>
  <mergeCells count="5">
    <mergeCell ref="Q6:S6"/>
    <mergeCell ref="A16:B16"/>
    <mergeCell ref="A5:A8"/>
    <mergeCell ref="A9:A15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2024-12-10T01:09:13Z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