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<sst xmlns="http://schemas.openxmlformats.org/spreadsheetml/2006/main" count="1266" uniqueCount="294">
  <si>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</si>
  <si>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</si>
  <si>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</si>
  <si>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</si>
  <si>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</si>
  <si>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</si>
  <si>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</si>
  <si>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</si>
  <si>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</si>
  <si>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</si>
  <si>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</si>
  <si>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</si>
  <si>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</si>
  <si>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</si>
  <si>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</si>
  <si>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</si>
  <si>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</si>
  <si>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</si>
  <si>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</si>
  <si>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</si>
  <si>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</si>
  <si>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</si>
  <si>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</si>
  <si>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</si>
  <si>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</si>
  <si>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</si>
  <si>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</si>
  <si>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</si>
  <si>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</si>
  <si>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</si>
  <si>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</si>
  <si>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</si>
  <si>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</si>
  <si>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</si>
  <si>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</si>
  <si>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</si>
  <si>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</si>
  <si>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</si>
  <si>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</si>
  <si>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</si>
  <si>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</si>
  <si>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</si>
  <si>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</si>
  <si>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</si>
  <si>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</si>
  <si>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</si>
  <si>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</si>
  <si>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</si>
  <si>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</si>
  <si>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</si>
  <si>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</si>
  <si>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北京福田戴姆勒A6座椅项目可行性分析            单位：元</t>
  </si>
  <si>
    <t>面套、骨架、底支架自制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</si>
  <si>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</si>
  <si>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</si>
  <si>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</si>
  <si>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</si>
  <si>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</si>
  <si>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</si>
  <si>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</si>
  <si>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</si>
  <si>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</si>
  <si>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</si>
  <si>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</si>
  <si>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</si>
  <si>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</si>
  <si>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</si>
  <si>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</si>
  <si>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</si>
  <si>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</si>
  <si>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</si>
  <si>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</si>
  <si>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</si>
  <si>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</si>
  <si>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</si>
  <si>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</si>
  <si>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</si>
  <si>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</si>
  <si>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</si>
  <si>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</si>
  <si>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</si>
  <si>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</si>
  <si>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</si>
  <si>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</si>
  <si>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</si>
  <si>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</si>
  <si>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</si>
  <si>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</si>
  <si>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</si>
  <si>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</si>
  <si>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</si>
  <si>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</si>
  <si>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</si>
  <si>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</si>
  <si>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</si>
  <si>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</si>
  <si>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</si>
  <si>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</si>
  <si>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</si>
  <si>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</si>
  <si>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</si>
  <si>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</si>
  <si>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</si>
  <si>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</si>
  <si>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</si>
  <si>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</si>
  <si>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</si>
  <si>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</si>
  <si>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</si>
  <si>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</si>
  <si>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</si>
  <si>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</si>
  <si>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</si>
  <si>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</si>
  <si>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</si>
  <si>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</si>
  <si>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</si>
  <si>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</si>
  <si>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</si>
  <si>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</si>
  <si>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</si>
  <si>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</si>
  <si>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</si>
  <si>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</si>
  <si>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</si>
  <si>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</si>
  <si>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</si>
  <si>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</si>
  <si>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</si>
  <si>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</si>
  <si>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</si>
  <si>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</si>
  <si>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</si>
  <si>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</si>
  <si>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</si>
  <si>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</si>
  <si>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</si>
  <si>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</si>
  <si>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</si>
  <si>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</si>
  <si>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</si>
  <si>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</si>
  <si>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</si>
  <si>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</si>
  <si>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</si>
  <si>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</si>
  <si>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</si>
  <si>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</si>
  <si>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</si>
  <si>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</si>
  <si>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</si>
  <si>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北京福田戴姆勒</t>
  </si>
  <si>
    <t>产品名称</t>
  </si>
  <si>
    <t>驾驶员座椅</t>
  </si>
  <si>
    <t>副驾驶员座椅</t>
  </si>
  <si>
    <t>副驾驶员座椅安装支架</t>
  </si>
  <si>
    <t>产品图号</t>
  </si>
  <si>
    <t>A668100000004/26</t>
  </si>
  <si>
    <t>A668100000006/25</t>
  </si>
  <si>
    <t>A6681000000010/23</t>
  </si>
  <si>
    <t>A6681000000011/24</t>
  </si>
  <si>
    <t>A668100000007</t>
  </si>
  <si>
    <t>A668100000022</t>
  </si>
  <si>
    <t>车型</t>
  </si>
  <si>
    <t>舒适</t>
  </si>
  <si>
    <t>标准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</si>
  <si>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</si>
  <si>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</si>
  <si>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</si>
  <si>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</si>
  <si>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</si>
  <si>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</si>
  <si>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</si>
  <si>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</si>
  <si>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</si>
  <si>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</si>
  <si>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</si>
  <si>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</si>
  <si>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</si>
  <si>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</si>
  <si>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</si>
  <si>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</si>
  <si>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</si>
  <si>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</si>
  <si>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</si>
  <si>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</si>
  <si>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</si>
  <si>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</si>
  <si>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</si>
  <si>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</si>
  <si>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</si>
  <si>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</si>
  <si>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</si>
  <si>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</si>
  <si>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</si>
  <si>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</si>
  <si>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</si>
  <si>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</si>
  <si>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</si>
  <si>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</si>
  <si>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</si>
  <si>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</si>
  <si>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</si>
  <si>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</si>
  <si>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</si>
  <si>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</si>
  <si>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</si>
  <si>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</si>
  <si>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</si>
  <si>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</si>
  <si>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</si>
  <si>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</si>
  <si>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</si>
  <si>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</si>
  <si>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</si>
  <si>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</si>
  <si>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</si>
  <si>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</si>
  <si>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</si>
  <si>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</si>
  <si>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</si>
  <si>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</si>
  <si>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</si>
  <si>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目标材料成本</t>
  </si>
  <si>
    <t>降本目标</t>
  </si>
  <si>
    <t>预估原材料成本（单位：元，未税）</t>
  </si>
  <si>
    <t>供应商年降：       年6 %</t>
  </si>
  <si>
    <t>模块</t>
  </si>
  <si>
    <t>项目名称</t>
  </si>
  <si>
    <t>A6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</si>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</sst>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19" applyNumberFormat="0" applyAlignment="0" applyProtection="0">
      <alignment vertical="center"/>
    </xf>
    <xf numFmtId="0" fontId="43" fillId="12" borderId="20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5" fillId="13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3" fillId="0" borderId="0"/>
    <xf numFmtId="0" fontId="54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56" fillId="0" borderId="0"/>
    <xf numFmtId="1" fontId="57" fillId="0" borderId="2" applyBorder="0"/>
    <xf numFmtId="43" fontId="58" fillId="0" borderId="0" applyFont="0" applyFill="0" applyBorder="0" applyAlignment="0" applyProtection="0">
      <alignment vertical="center"/>
    </xf>
    <xf numFmtId="0" fontId="55" fillId="0" borderId="0"/>
  </cellStyleXfs>
  <cellXfs count="2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3" fillId="5" borderId="0" xfId="0" applyFont="1" applyFill="1">
      <alignment vertical="center"/>
    </xf>
    <xf numFmtId="43" fontId="3" fillId="5" borderId="0" xfId="0" applyNumberFormat="1" applyFont="1" applyFill="1">
      <alignment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7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8" fillId="7" borderId="2" xfId="53" applyNumberFormat="1" applyFont="1" applyFill="1" applyBorder="1" applyAlignment="1">
      <alignment horizontal="center" vertical="center" wrapText="1"/>
    </xf>
    <xf numFmtId="43" fontId="18" fillId="7" borderId="2" xfId="1" applyFont="1" applyFill="1" applyBorder="1" applyAlignment="1">
      <alignment horizontal="center" vertical="center" wrapText="1"/>
    </xf>
    <xf numFmtId="0" fontId="18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9" fillId="0" borderId="2" xfId="53" applyNumberFormat="1" applyFont="1" applyFill="1" applyBorder="1" applyAlignment="1">
      <alignment horizontal="left" vertical="center"/>
    </xf>
    <xf numFmtId="43" fontId="19" fillId="4" borderId="2" xfId="1" applyFont="1" applyFill="1" applyBorder="1" applyAlignment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9" fillId="0" borderId="3" xfId="53" applyNumberFormat="1" applyFont="1" applyFill="1" applyBorder="1" applyAlignment="1">
      <alignment horizontal="center" vertical="center"/>
    </xf>
    <xf numFmtId="179" fontId="19" fillId="0" borderId="3" xfId="53" applyNumberFormat="1" applyFont="1" applyFill="1" applyBorder="1" applyAlignment="1">
      <alignment horizontal="left" vertical="center" wrapText="1"/>
    </xf>
    <xf numFmtId="0" fontId="20" fillId="6" borderId="2" xfId="49" applyNumberFormat="1" applyFont="1" applyFill="1" applyBorder="1" applyAlignment="1" applyProtection="1">
      <alignment horizontal="center" vertical="center" wrapText="1"/>
    </xf>
    <xf numFmtId="43" fontId="19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0" fontId="25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10" fontId="24" fillId="0" borderId="2" xfId="3" applyNumberFormat="1" applyFont="1" applyFill="1" applyBorder="1" applyAlignment="1">
      <alignment horizontal="center" vertical="center"/>
    </xf>
    <xf numFmtId="0" fontId="22" fillId="0" borderId="2" xfId="0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4" fillId="0" borderId="2" xfId="1" applyFont="1" applyFill="1" applyBorder="1">
      <alignment vertical="center"/>
    </xf>
    <xf numFmtId="0" fontId="23" fillId="0" borderId="2" xfId="0" applyFont="1" applyFill="1" applyBorder="1">
      <alignment vertical="center"/>
    </xf>
    <xf numFmtId="9" fontId="24" fillId="0" borderId="2" xfId="3" applyFont="1" applyFill="1" applyBorder="1">
      <alignment vertical="center"/>
    </xf>
    <xf numFmtId="43" fontId="22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23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4" fillId="0" borderId="5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4" fillId="0" borderId="0" xfId="0" applyNumberFormat="1" applyFont="1" applyFill="1">
      <alignment vertical="center"/>
    </xf>
    <xf numFmtId="10" fontId="24" fillId="0" borderId="0" xfId="0" applyNumberFormat="1" applyFont="1" applyFill="1">
      <alignment vertical="center"/>
    </xf>
    <xf numFmtId="0" fontId="27" fillId="0" borderId="0" xfId="0" applyFont="1" applyFill="1">
      <alignment vertical="center"/>
    </xf>
    <xf numFmtId="180" fontId="24" fillId="0" borderId="0" xfId="0" applyNumberFormat="1" applyFont="1" applyFill="1">
      <alignment vertical="center"/>
    </xf>
    <xf numFmtId="10" fontId="24" fillId="0" borderId="2" xfId="3" applyNumberFormat="1" applyFont="1" applyFill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0" fontId="28" fillId="0" borderId="1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43" fontId="29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horizontal="center" vertical="center"/>
    </xf>
    <xf numFmtId="0" fontId="25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23" fillId="0" borderId="2" xfId="3" applyNumberFormat="1" applyFont="1" applyBorder="1" applyAlignment="1">
      <alignment vertical="center"/>
    </xf>
    <xf numFmtId="177" fontId="23" fillId="0" borderId="2" xfId="1" applyNumberFormat="1" applyFont="1" applyBorder="1" applyAlignment="1">
      <alignment horizontal="center" vertical="center"/>
    </xf>
    <xf numFmtId="177" fontId="24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4" fillId="0" borderId="2" xfId="1" applyNumberFormat="1" applyFont="1" applyBorder="1" applyAlignment="1">
      <alignment horizontal="center" vertical="center"/>
    </xf>
    <xf numFmtId="43" fontId="24" fillId="0" borderId="2" xfId="1" applyNumberFormat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10" fontId="24" fillId="0" borderId="2" xfId="3" applyNumberFormat="1" applyFont="1" applyBorder="1">
      <alignment vertical="center"/>
    </xf>
    <xf numFmtId="10" fontId="24" fillId="0" borderId="0" xfId="3" applyNumberFormat="1" applyFont="1" applyBorder="1">
      <alignment vertical="center"/>
    </xf>
    <xf numFmtId="43" fontId="24" fillId="0" borderId="0" xfId="0" applyNumberFormat="1" applyFont="1" applyFill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7" fontId="24" fillId="0" borderId="2" xfId="1" applyNumberFormat="1" applyFont="1" applyBorder="1">
      <alignment vertical="center"/>
    </xf>
    <xf numFmtId="0" fontId="23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19" fillId="6" borderId="0" xfId="49" applyNumberFormat="1" applyFont="1" applyFill="1" applyProtection="1"/>
    <xf numFmtId="0" fontId="19" fillId="6" borderId="0" xfId="49" applyFont="1" applyFill="1" applyProtection="1"/>
    <xf numFmtId="0" fontId="31" fillId="6" borderId="0" xfId="49" applyFont="1" applyFill="1" applyAlignment="1" applyProtection="1">
      <alignment horizontal="centerContinuous"/>
    </xf>
    <xf numFmtId="0" fontId="19" fillId="6" borderId="0" xfId="49" applyFont="1" applyFill="1" applyAlignment="1">
      <alignment horizontal="centerContinuous"/>
    </xf>
    <xf numFmtId="0" fontId="19" fillId="6" borderId="0" xfId="49" applyFont="1" applyFill="1" applyAlignment="1" applyProtection="1">
      <alignment horizontal="centerContinuous"/>
    </xf>
    <xf numFmtId="9" fontId="19" fillId="6" borderId="0" xfId="49" applyNumberFormat="1" applyFont="1" applyFill="1" applyProtection="1"/>
    <xf numFmtId="0" fontId="19" fillId="6" borderId="6" xfId="49" applyFont="1" applyFill="1" applyBorder="1" applyAlignment="1" applyProtection="1">
      <alignment horizontal="center"/>
    </xf>
    <xf numFmtId="0" fontId="21" fillId="6" borderId="2" xfId="49" applyFont="1" applyFill="1" applyBorder="1" applyAlignment="1" applyProtection="1">
      <alignment horizontal="center"/>
    </xf>
    <xf numFmtId="0" fontId="21" fillId="6" borderId="4" xfId="49" applyFont="1" applyFill="1" applyBorder="1" applyAlignment="1" applyProtection="1">
      <alignment horizontal="center"/>
    </xf>
    <xf numFmtId="1" fontId="21" fillId="6" borderId="4" xfId="54" applyFont="1" applyFill="1" applyBorder="1"/>
    <xf numFmtId="1" fontId="19" fillId="6" borderId="4" xfId="54" applyFont="1" applyFill="1" applyBorder="1"/>
    <xf numFmtId="0" fontId="19" fillId="6" borderId="7" xfId="49" applyFont="1" applyFill="1" applyBorder="1" applyProtection="1"/>
    <xf numFmtId="0" fontId="19" fillId="6" borderId="2" xfId="49" applyFont="1" applyFill="1" applyBorder="1" applyAlignment="1" applyProtection="1">
      <alignment horizontal="center"/>
    </xf>
    <xf numFmtId="0" fontId="19" fillId="6" borderId="2" xfId="49" applyFont="1" applyFill="1" applyBorder="1" applyAlignment="1" applyProtection="1">
      <alignment horizontal="left"/>
    </xf>
    <xf numFmtId="0" fontId="19" fillId="9" borderId="2" xfId="49" applyFont="1" applyFill="1" applyBorder="1" applyProtection="1"/>
    <xf numFmtId="177" fontId="19" fillId="9" borderId="2" xfId="1" applyNumberFormat="1" applyFont="1" applyFill="1" applyBorder="1" applyAlignment="1" applyProtection="1"/>
    <xf numFmtId="0" fontId="19" fillId="6" borderId="2" xfId="49" applyFont="1" applyFill="1" applyBorder="1" applyProtection="1"/>
    <xf numFmtId="177" fontId="19" fillId="6" borderId="2" xfId="1" applyNumberFormat="1" applyFont="1" applyFill="1" applyBorder="1" applyAlignment="1" applyProtection="1"/>
    <xf numFmtId="0" fontId="19" fillId="6" borderId="2" xfId="49" applyNumberFormat="1" applyFont="1" applyFill="1" applyBorder="1" applyAlignment="1" applyProtection="1">
      <alignment horizontal="left"/>
    </xf>
    <xf numFmtId="1" fontId="19" fillId="6" borderId="2" xfId="49" applyNumberFormat="1" applyFont="1" applyFill="1" applyBorder="1" applyProtection="1"/>
    <xf numFmtId="1" fontId="19" fillId="6" borderId="2" xfId="49" applyNumberFormat="1" applyFont="1" applyFill="1" applyBorder="1" applyAlignment="1" applyProtection="1">
      <alignment horizontal="left"/>
    </xf>
    <xf numFmtId="0" fontId="19" fillId="6" borderId="9" xfId="49" applyFont="1" applyFill="1" applyBorder="1" applyProtection="1"/>
    <xf numFmtId="0" fontId="19" fillId="6" borderId="11" xfId="49" applyFont="1" applyFill="1" applyBorder="1" applyProtection="1"/>
    <xf numFmtId="0" fontId="19" fillId="6" borderId="12" xfId="49" applyFont="1" applyFill="1" applyBorder="1" applyProtection="1"/>
    <xf numFmtId="0" fontId="19" fillId="6" borderId="0" xfId="49" applyFont="1" applyFill="1" applyBorder="1" applyProtection="1"/>
    <xf numFmtId="181" fontId="19" fillId="6" borderId="0" xfId="49" applyNumberFormat="1" applyFont="1" applyFill="1" applyBorder="1" applyProtection="1"/>
    <xf numFmtId="10" fontId="19" fillId="6" borderId="0" xfId="49" applyNumberFormat="1" applyFont="1" applyFill="1" applyBorder="1" applyProtection="1"/>
    <xf numFmtId="1" fontId="19" fillId="6" borderId="0" xfId="49" applyNumberFormat="1" applyFont="1" applyFill="1" applyBorder="1" applyProtection="1"/>
    <xf numFmtId="0" fontId="19" fillId="6" borderId="13" xfId="49" applyFont="1" applyFill="1" applyBorder="1" applyProtection="1"/>
    <xf numFmtId="0" fontId="19" fillId="6" borderId="1" xfId="49" applyFont="1" applyFill="1" applyBorder="1" applyProtection="1"/>
    <xf numFmtId="2" fontId="19" fillId="6" borderId="1" xfId="49" applyNumberFormat="1" applyFont="1" applyFill="1" applyBorder="1" applyProtection="1"/>
    <xf numFmtId="0" fontId="19" fillId="6" borderId="5" xfId="49" applyFont="1" applyFill="1" applyBorder="1"/>
    <xf numFmtId="1" fontId="19" fillId="6" borderId="7" xfId="54" applyFont="1" applyFill="1" applyBorder="1" applyAlignment="1">
      <alignment horizontal="center"/>
    </xf>
    <xf numFmtId="0" fontId="19" fillId="6" borderId="8" xfId="49" applyFont="1" applyFill="1" applyBorder="1" applyProtection="1"/>
    <xf numFmtId="0" fontId="19" fillId="6" borderId="14" xfId="49" applyFont="1" applyFill="1" applyBorder="1" applyProtection="1"/>
    <xf numFmtId="0" fontId="19" fillId="6" borderId="15" xfId="49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38" customFormat="1" ht="35.25" customHeight="1" spans="1:4">
      <c r="A2" s="239" t="s">
        <v>0</v>
      </c>
      <c r="B2" s="239" t="s">
        <v>1</v>
      </c>
      <c r="C2" s="239" t="s">
        <v>2</v>
      </c>
      <c r="D2" s="240"/>
    </row>
    <row r="3" s="238" customFormat="1" ht="33.75" customHeight="1" spans="1:4">
      <c r="A3" s="241">
        <v>1</v>
      </c>
      <c r="B3" s="241" t="s">
        <v>3</v>
      </c>
      <c r="C3" s="242" t="s">
        <v>4</v>
      </c>
      <c r="D3" s="240"/>
    </row>
    <row r="4" s="238" customFormat="1" ht="33.75" customHeight="1" spans="1:3">
      <c r="A4" s="241">
        <v>2</v>
      </c>
      <c r="B4" s="241" t="s">
        <v>5</v>
      </c>
      <c r="C4" s="242" t="s">
        <v>6</v>
      </c>
    </row>
    <row r="5" s="238" customFormat="1" ht="33.75" customHeight="1" spans="1:3">
      <c r="A5" s="241">
        <v>3</v>
      </c>
      <c r="B5" s="243" t="s">
        <v>7</v>
      </c>
      <c r="C5" s="244" t="s">
        <v>8</v>
      </c>
    </row>
    <row r="6" s="238" customFormat="1" ht="33.75" customHeight="1" spans="1:3">
      <c r="A6" s="241">
        <v>4</v>
      </c>
      <c r="B6" s="245"/>
      <c r="C6" s="242" t="s">
        <v>9</v>
      </c>
    </row>
    <row r="7" s="238" customFormat="1" ht="33.75" customHeight="1" spans="1:3">
      <c r="A7" s="241">
        <v>5</v>
      </c>
      <c r="B7" s="246" t="s">
        <v>10</v>
      </c>
      <c r="C7" s="242" t="s">
        <v>11</v>
      </c>
    </row>
    <row r="8" s="238" customFormat="1" ht="33.75" customHeight="1" spans="1:3">
      <c r="A8" s="241">
        <v>6</v>
      </c>
      <c r="B8" s="243" t="s">
        <v>12</v>
      </c>
      <c r="C8" s="242" t="s">
        <v>13</v>
      </c>
    </row>
    <row r="9" s="238" customFormat="1" ht="33.75" customHeight="1" spans="1:3">
      <c r="A9" s="241">
        <v>7</v>
      </c>
      <c r="B9" s="245"/>
      <c r="C9" s="242" t="s">
        <v>14</v>
      </c>
    </row>
    <row r="10" s="238" customFormat="1" ht="33.75" customHeight="1" spans="1:3">
      <c r="A10" s="241">
        <v>8</v>
      </c>
      <c r="B10" s="245"/>
      <c r="C10" s="244" t="s">
        <v>15</v>
      </c>
    </row>
    <row r="11" s="238" customFormat="1" ht="33.75" customHeight="1" spans="1:3">
      <c r="A11" s="241">
        <v>9</v>
      </c>
      <c r="B11" s="245"/>
      <c r="C11" s="242" t="s">
        <v>16</v>
      </c>
    </row>
    <row r="12" s="238" customFormat="1" ht="33.75" customHeight="1" spans="1:3">
      <c r="A12" s="241">
        <v>10</v>
      </c>
      <c r="B12" s="246" t="s">
        <v>17</v>
      </c>
      <c r="C12" s="242" t="s">
        <v>18</v>
      </c>
    </row>
    <row r="13" ht="33.75" customHeight="1"/>
    <row r="14" ht="33.75" customHeight="1"/>
    <row r="15" ht="33.75" customHeight="1" spans="3:3">
      <c r="C15" s="247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250</v>
      </c>
      <c r="C1" s="25" t="s">
        <v>251</v>
      </c>
      <c r="D1" s="25" t="s">
        <v>252</v>
      </c>
    </row>
    <row r="2" ht="19.5" customHeight="1" spans="1:4">
      <c r="A2" s="25">
        <v>1</v>
      </c>
      <c r="B2" s="26" t="s">
        <v>253</v>
      </c>
      <c r="C2" s="27" t="s">
        <v>254</v>
      </c>
      <c r="D2" s="25"/>
    </row>
    <row r="3" ht="36" customHeight="1" spans="1:4">
      <c r="A3" s="25">
        <v>2</v>
      </c>
      <c r="B3" s="26" t="s">
        <v>255</v>
      </c>
      <c r="C3" s="28" t="s">
        <v>256</v>
      </c>
      <c r="D3" s="25" t="s">
        <v>257</v>
      </c>
    </row>
    <row r="4" ht="19.5" customHeight="1" spans="1:4">
      <c r="A4" s="25">
        <v>3</v>
      </c>
      <c r="B4" s="26" t="s">
        <v>258</v>
      </c>
      <c r="C4" s="27" t="s">
        <v>259</v>
      </c>
      <c r="D4" s="25"/>
    </row>
    <row r="5" ht="42.75" customHeight="1" spans="1:4">
      <c r="A5" s="25">
        <v>4</v>
      </c>
      <c r="B5" s="26" t="s">
        <v>260</v>
      </c>
      <c r="C5" s="27"/>
      <c r="D5" s="25"/>
    </row>
    <row r="6" ht="39" customHeight="1" spans="1:4">
      <c r="A6" s="25">
        <v>5</v>
      </c>
      <c r="B6" s="26" t="s">
        <v>261</v>
      </c>
      <c r="C6" s="27"/>
      <c r="D6" s="25"/>
    </row>
    <row r="7" ht="27.75" customHeight="1" spans="1:3">
      <c r="A7" s="25">
        <v>6</v>
      </c>
      <c r="B7" s="25" t="s">
        <v>262</v>
      </c>
      <c r="C7" s="28" t="s">
        <v>263</v>
      </c>
    </row>
    <row r="8" ht="36" customHeight="1" spans="1:4">
      <c r="A8" s="25">
        <v>7</v>
      </c>
      <c r="B8" s="26" t="s">
        <v>264</v>
      </c>
      <c r="C8" s="29" t="s">
        <v>265</v>
      </c>
      <c r="D8" s="25"/>
    </row>
    <row r="9" ht="34.5" customHeight="1" spans="1:4">
      <c r="A9" s="25">
        <v>8</v>
      </c>
      <c r="B9" s="25" t="s">
        <v>266</v>
      </c>
      <c r="C9" s="30">
        <v>0.003</v>
      </c>
      <c r="D9" s="25"/>
    </row>
    <row r="10" ht="34.5" customHeight="1" spans="1:4">
      <c r="A10" s="25">
        <v>9</v>
      </c>
      <c r="B10" s="25" t="s">
        <v>267</v>
      </c>
      <c r="C10" s="29" t="s">
        <v>268</v>
      </c>
      <c r="D10" s="25"/>
    </row>
    <row r="11" ht="34.5" customHeight="1" spans="1:4">
      <c r="A11" s="25">
        <v>10</v>
      </c>
      <c r="B11" s="25" t="s">
        <v>269</v>
      </c>
      <c r="C11" s="29"/>
      <c r="D11" s="25" t="s">
        <v>270</v>
      </c>
    </row>
    <row r="12" ht="34.5" customHeight="1" spans="1:4">
      <c r="A12" s="25">
        <v>11</v>
      </c>
      <c r="B12" s="25" t="s">
        <v>271</v>
      </c>
      <c r="C12" s="29"/>
      <c r="D12" s="25"/>
    </row>
    <row r="13" ht="24" customHeight="1" spans="1:4">
      <c r="A13" s="25">
        <v>12</v>
      </c>
      <c r="B13" s="26" t="s">
        <v>272</v>
      </c>
      <c r="C13" s="29" t="s">
        <v>273</v>
      </c>
      <c r="D13" s="25"/>
    </row>
    <row r="14" ht="24" customHeight="1" spans="1:4">
      <c r="A14" s="25">
        <v>13</v>
      </c>
      <c r="B14" s="26" t="s">
        <v>274</v>
      </c>
      <c r="C14" s="29" t="s">
        <v>275</v>
      </c>
      <c r="D14" s="25"/>
    </row>
    <row r="15" ht="24" customHeight="1" spans="1:4">
      <c r="A15" s="25">
        <v>14</v>
      </c>
      <c r="B15" s="26" t="s">
        <v>276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40"/>
  <sheetViews>
    <sheetView zoomScale="85" zoomScaleNormal="85" topLeftCell="A42" workbookViewId="0">
      <selection activeCell="E73" sqref="E73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20.7272727272727" style="3" customWidth="1"/>
    <col min="10" max="16384" width="9" style="2"/>
  </cols>
  <sheetData>
    <row r="1" s="1" customFormat="1" ht="18.75" customHeight="1" spans="7:9">
      <c r="G1" s="4" t="s">
        <v>278</v>
      </c>
      <c r="H1" s="4"/>
      <c r="I1" s="21" t="str">
        <f>材料成本!D5</f>
        <v>A668100000004/26</v>
      </c>
    </row>
    <row r="2" ht="39" customHeight="1" spans="1:9">
      <c r="A2" s="5" t="s">
        <v>279</v>
      </c>
      <c r="B2" s="5"/>
      <c r="C2" s="6" t="s">
        <v>280</v>
      </c>
      <c r="D2" s="7"/>
      <c r="E2" s="7"/>
      <c r="F2" s="7"/>
      <c r="G2" s="7"/>
      <c r="H2" s="8"/>
      <c r="I2" s="3" t="s">
        <v>281</v>
      </c>
    </row>
    <row r="3" ht="34.5" customHeight="1" spans="1:9">
      <c r="A3" s="5"/>
      <c r="B3" s="5"/>
      <c r="C3" s="9" t="s">
        <v>282</v>
      </c>
      <c r="D3" s="9" t="s">
        <v>283</v>
      </c>
      <c r="E3" s="9" t="s">
        <v>284</v>
      </c>
      <c r="F3" s="10" t="s">
        <v>285</v>
      </c>
      <c r="G3" s="10" t="s">
        <v>286</v>
      </c>
      <c r="H3" s="10" t="s">
        <v>287</v>
      </c>
      <c r="I3" s="22">
        <f>销量!C8</f>
        <v>1818.58</v>
      </c>
    </row>
    <row r="4" ht="24" customHeight="1" spans="1:9">
      <c r="A4" s="11" t="s">
        <v>288</v>
      </c>
      <c r="B4" s="11"/>
      <c r="C4" s="12"/>
      <c r="D4" s="13"/>
      <c r="E4" s="14">
        <f>I3*I4</f>
        <v>78.380798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289</v>
      </c>
      <c r="B5" s="11" t="s">
        <v>290</v>
      </c>
      <c r="C5" s="12"/>
      <c r="D5" s="13"/>
      <c r="E5" s="14">
        <f>$I$3*I5</f>
        <v>74.56178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291</v>
      </c>
      <c r="C6" s="12"/>
      <c r="D6" s="13"/>
      <c r="E6" s="14">
        <f>$I$3*I6</f>
        <v>39.463186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292</v>
      </c>
      <c r="B7" s="8"/>
      <c r="C7" s="16"/>
      <c r="D7" s="17"/>
      <c r="E7" s="14">
        <f t="shared" ref="E7:E11" si="0">$I$3*I7</f>
        <v>192.405764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87</v>
      </c>
      <c r="B8" s="11"/>
      <c r="C8" s="12"/>
      <c r="D8" s="13"/>
      <c r="E8" s="14">
        <f t="shared" si="0"/>
        <v>61.83172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293</v>
      </c>
      <c r="B9" s="11" t="s">
        <v>290</v>
      </c>
      <c r="C9" s="12"/>
      <c r="D9" s="13"/>
      <c r="E9" s="14">
        <f t="shared" si="0"/>
        <v>12.73006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291</v>
      </c>
      <c r="C10" s="12"/>
      <c r="D10" s="13"/>
      <c r="E10" s="14">
        <f t="shared" si="0"/>
        <v>80.01752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90</v>
      </c>
      <c r="B11" s="11"/>
      <c r="C11" s="12"/>
      <c r="D11" s="13"/>
      <c r="E11" s="14">
        <f t="shared" si="0"/>
        <v>54.5574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278</v>
      </c>
      <c r="H13" s="4"/>
      <c r="I13" s="23" t="str">
        <f>材料成本!E5</f>
        <v>A668100000006/25</v>
      </c>
    </row>
    <row r="14" ht="39" customHeight="1" spans="1:9">
      <c r="A14" s="5" t="s">
        <v>279</v>
      </c>
      <c r="B14" s="5"/>
      <c r="C14" s="6" t="s">
        <v>280</v>
      </c>
      <c r="D14" s="7"/>
      <c r="E14" s="7"/>
      <c r="F14" s="7"/>
      <c r="G14" s="7"/>
      <c r="H14" s="8"/>
      <c r="I14" s="3" t="s">
        <v>281</v>
      </c>
    </row>
    <row r="15" ht="34.5" customHeight="1" spans="1:9">
      <c r="A15" s="5"/>
      <c r="B15" s="5"/>
      <c r="C15" s="9" t="s">
        <v>282</v>
      </c>
      <c r="D15" s="9" t="s">
        <v>283</v>
      </c>
      <c r="E15" s="9" t="s">
        <v>284</v>
      </c>
      <c r="F15" s="10" t="s">
        <v>285</v>
      </c>
      <c r="G15" s="10" t="s">
        <v>286</v>
      </c>
      <c r="H15" s="10" t="s">
        <v>287</v>
      </c>
      <c r="I15" s="22">
        <f>销量!D8</f>
        <v>575.22</v>
      </c>
    </row>
    <row r="16" ht="24" customHeight="1" spans="1:9">
      <c r="A16" s="11" t="s">
        <v>288</v>
      </c>
      <c r="B16" s="11"/>
      <c r="C16" s="12"/>
      <c r="D16" s="13"/>
      <c r="E16" s="14">
        <f>I15*I16</f>
        <v>24.791982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289</v>
      </c>
      <c r="B17" s="11" t="s">
        <v>290</v>
      </c>
      <c r="C17" s="12"/>
      <c r="D17" s="13"/>
      <c r="E17" s="14">
        <f>$I$15*I17</f>
        <v>23.58402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291</v>
      </c>
      <c r="C18" s="12"/>
      <c r="D18" s="13"/>
      <c r="E18" s="14">
        <f t="shared" ref="E18:E23" si="1">$I$15*I18</f>
        <v>12.482274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292</v>
      </c>
      <c r="B19" s="8"/>
      <c r="C19" s="16"/>
      <c r="D19" s="17"/>
      <c r="E19" s="14">
        <f t="shared" si="1"/>
        <v>60.858276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87</v>
      </c>
      <c r="B20" s="11"/>
      <c r="C20" s="12"/>
      <c r="D20" s="13"/>
      <c r="E20" s="14">
        <f t="shared" si="1"/>
        <v>19.55748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293</v>
      </c>
      <c r="B21" s="11" t="s">
        <v>290</v>
      </c>
      <c r="C21" s="12"/>
      <c r="D21" s="13"/>
      <c r="E21" s="14">
        <f t="shared" si="1"/>
        <v>4.02654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291</v>
      </c>
      <c r="C22" s="12"/>
      <c r="D22" s="13"/>
      <c r="E22" s="14">
        <f t="shared" si="1"/>
        <v>25.30968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90</v>
      </c>
      <c r="B23" s="11"/>
      <c r="C23" s="12"/>
      <c r="D23" s="13"/>
      <c r="E23" s="14">
        <f t="shared" si="1"/>
        <v>17.2566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278</v>
      </c>
      <c r="H26" s="4"/>
      <c r="I26" s="23" t="str">
        <f>材料成本!F5</f>
        <v>A6681000000010/23</v>
      </c>
    </row>
    <row r="27" ht="39" customHeight="1" spans="1:9">
      <c r="A27" s="5" t="s">
        <v>279</v>
      </c>
      <c r="B27" s="5"/>
      <c r="C27" s="6" t="s">
        <v>280</v>
      </c>
      <c r="D27" s="7"/>
      <c r="E27" s="7"/>
      <c r="F27" s="7"/>
      <c r="G27" s="7"/>
      <c r="H27" s="8"/>
      <c r="I27" s="3" t="s">
        <v>281</v>
      </c>
    </row>
    <row r="28" ht="34.5" customHeight="1" spans="1:9">
      <c r="A28" s="5"/>
      <c r="B28" s="5"/>
      <c r="C28" s="9" t="s">
        <v>282</v>
      </c>
      <c r="D28" s="9" t="s">
        <v>283</v>
      </c>
      <c r="E28" s="9" t="s">
        <v>284</v>
      </c>
      <c r="F28" s="10" t="s">
        <v>285</v>
      </c>
      <c r="G28" s="10" t="s">
        <v>286</v>
      </c>
      <c r="H28" s="10" t="s">
        <v>287</v>
      </c>
      <c r="I28" s="22">
        <f>销量!E8</f>
        <v>2283.18</v>
      </c>
    </row>
    <row r="29" ht="24" customHeight="1" spans="1:9">
      <c r="A29" s="11" t="s">
        <v>288</v>
      </c>
      <c r="B29" s="11"/>
      <c r="C29" s="12"/>
      <c r="D29" s="13"/>
      <c r="E29" s="14">
        <f>I28*I29</f>
        <v>98.405058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289</v>
      </c>
      <c r="B30" s="11" t="s">
        <v>290</v>
      </c>
      <c r="C30" s="12"/>
      <c r="D30" s="13"/>
      <c r="E30" s="14">
        <f>$I$28*I30</f>
        <v>93.61038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291</v>
      </c>
      <c r="C31" s="12"/>
      <c r="D31" s="13"/>
      <c r="E31" s="14">
        <f t="shared" ref="E30:E36" si="2">$I$28*I31</f>
        <v>49.545006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292</v>
      </c>
      <c r="B32" s="8"/>
      <c r="C32" s="16"/>
      <c r="D32" s="17"/>
      <c r="E32" s="14">
        <f t="shared" si="2"/>
        <v>241.560444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87</v>
      </c>
      <c r="B33" s="11"/>
      <c r="C33" s="12"/>
      <c r="D33" s="13"/>
      <c r="E33" s="14">
        <f t="shared" si="2"/>
        <v>77.62812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293</v>
      </c>
      <c r="B34" s="11" t="s">
        <v>290</v>
      </c>
      <c r="C34" s="12"/>
      <c r="D34" s="13"/>
      <c r="E34" s="14">
        <f t="shared" si="2"/>
        <v>15.98226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291</v>
      </c>
      <c r="C35" s="12"/>
      <c r="D35" s="13"/>
      <c r="E35" s="14">
        <f t="shared" si="2"/>
        <v>100.45992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90</v>
      </c>
      <c r="B36" s="11"/>
      <c r="C36" s="12"/>
      <c r="D36" s="13"/>
      <c r="E36" s="14">
        <f>$I$28*I36</f>
        <v>68.4954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278</v>
      </c>
      <c r="H39" s="4"/>
      <c r="I39" s="23" t="str">
        <f>材料成本!G5</f>
        <v>A6681000000011/24</v>
      </c>
    </row>
    <row r="40" ht="39" customHeight="1" spans="1:9">
      <c r="A40" s="5" t="s">
        <v>279</v>
      </c>
      <c r="B40" s="5"/>
      <c r="C40" s="6" t="s">
        <v>280</v>
      </c>
      <c r="D40" s="7"/>
      <c r="E40" s="7"/>
      <c r="F40" s="7"/>
      <c r="G40" s="7"/>
      <c r="H40" s="8"/>
      <c r="I40" s="3" t="s">
        <v>281</v>
      </c>
    </row>
    <row r="41" ht="34.5" customHeight="1" spans="1:9">
      <c r="A41" s="5"/>
      <c r="B41" s="5"/>
      <c r="C41" s="9" t="s">
        <v>282</v>
      </c>
      <c r="D41" s="9" t="s">
        <v>283</v>
      </c>
      <c r="E41" s="9" t="s">
        <v>284</v>
      </c>
      <c r="F41" s="10" t="s">
        <v>285</v>
      </c>
      <c r="G41" s="10" t="s">
        <v>286</v>
      </c>
      <c r="H41" s="10" t="s">
        <v>287</v>
      </c>
      <c r="I41" s="22">
        <f>销量!F8</f>
        <v>699.11</v>
      </c>
    </row>
    <row r="42" ht="24" customHeight="1" spans="1:9">
      <c r="A42" s="11" t="s">
        <v>288</v>
      </c>
      <c r="B42" s="11"/>
      <c r="C42" s="12"/>
      <c r="D42" s="13"/>
      <c r="E42" s="14">
        <f>I41*I42</f>
        <v>30.131641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289</v>
      </c>
      <c r="B43" s="11" t="s">
        <v>290</v>
      </c>
      <c r="C43" s="12"/>
      <c r="D43" s="13"/>
      <c r="E43" s="14">
        <f>$I$41*I43</f>
        <v>28.66351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291</v>
      </c>
      <c r="C44" s="12"/>
      <c r="D44" s="13"/>
      <c r="E44" s="14">
        <f>$I$41*I44</f>
        <v>15.170687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292</v>
      </c>
      <c r="B45" s="8"/>
      <c r="C45" s="16"/>
      <c r="D45" s="17"/>
      <c r="E45" s="14">
        <f>$I$28*I45</f>
        <v>241.560444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87</v>
      </c>
      <c r="B46" s="11"/>
      <c r="C46" s="12"/>
      <c r="D46" s="13"/>
      <c r="E46" s="14">
        <f>$I$41*I46</f>
        <v>23.76974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293</v>
      </c>
      <c r="B47" s="11" t="s">
        <v>290</v>
      </c>
      <c r="C47" s="12"/>
      <c r="D47" s="13"/>
      <c r="E47" s="14">
        <f>$I$41*I47</f>
        <v>4.89377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291</v>
      </c>
      <c r="C48" s="12"/>
      <c r="D48" s="13"/>
      <c r="E48" s="14">
        <f>$I$41*I48</f>
        <v>30.76084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90</v>
      </c>
      <c r="B49" s="11"/>
      <c r="C49" s="12"/>
      <c r="D49" s="13"/>
      <c r="E49" s="14">
        <f>$I$41*I49</f>
        <v>20.9733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278</v>
      </c>
      <c r="H52" s="4"/>
      <c r="I52" s="23" t="str">
        <f>材料成本!H5</f>
        <v>A668100000007</v>
      </c>
    </row>
    <row r="53" ht="39" customHeight="1" spans="1:9">
      <c r="A53" s="5" t="s">
        <v>279</v>
      </c>
      <c r="B53" s="5"/>
      <c r="C53" s="6" t="s">
        <v>280</v>
      </c>
      <c r="D53" s="7"/>
      <c r="E53" s="7"/>
      <c r="F53" s="7"/>
      <c r="G53" s="7"/>
      <c r="H53" s="8"/>
      <c r="I53" s="3" t="s">
        <v>281</v>
      </c>
    </row>
    <row r="54" ht="34.5" customHeight="1" spans="1:9">
      <c r="A54" s="5"/>
      <c r="B54" s="5"/>
      <c r="C54" s="9" t="s">
        <v>282</v>
      </c>
      <c r="D54" s="9" t="s">
        <v>283</v>
      </c>
      <c r="E54" s="9" t="s">
        <v>284</v>
      </c>
      <c r="F54" s="10" t="s">
        <v>285</v>
      </c>
      <c r="G54" s="10" t="s">
        <v>286</v>
      </c>
      <c r="H54" s="10" t="s">
        <v>287</v>
      </c>
      <c r="I54" s="22">
        <f>销量!G8</f>
        <v>61.94</v>
      </c>
    </row>
    <row r="55" ht="24" customHeight="1" spans="1:9">
      <c r="A55" s="11" t="s">
        <v>288</v>
      </c>
      <c r="B55" s="11"/>
      <c r="C55" s="12"/>
      <c r="D55" s="13"/>
      <c r="E55" s="14">
        <f>I54*I55</f>
        <v>2.669614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289</v>
      </c>
      <c r="B56" s="11" t="s">
        <v>290</v>
      </c>
      <c r="C56" s="12"/>
      <c r="D56" s="13"/>
      <c r="E56" s="14">
        <f>$I$54*I56</f>
        <v>2.53954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291</v>
      </c>
      <c r="C57" s="12"/>
      <c r="D57" s="13"/>
      <c r="E57" s="14">
        <f>$I$54*I57</f>
        <v>1.344098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292</v>
      </c>
      <c r="B58" s="8"/>
      <c r="C58" s="16"/>
      <c r="D58" s="17"/>
      <c r="E58" s="14">
        <f>$I$54*I58</f>
        <v>6.553252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87</v>
      </c>
      <c r="B59" s="11"/>
      <c r="C59" s="12"/>
      <c r="D59" s="13"/>
      <c r="E59" s="14">
        <f>$I$54*I59</f>
        <v>2.10596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293</v>
      </c>
      <c r="B60" s="11" t="s">
        <v>290</v>
      </c>
      <c r="C60" s="12"/>
      <c r="D60" s="13"/>
      <c r="E60" s="14">
        <f>$I$54*I60</f>
        <v>0.43358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291</v>
      </c>
      <c r="C61" s="12"/>
      <c r="D61" s="13"/>
      <c r="E61" s="14">
        <f>$I$54*I61</f>
        <v>2.72536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90</v>
      </c>
      <c r="B62" s="11"/>
      <c r="C62" s="12"/>
      <c r="D62" s="13"/>
      <c r="E62" s="14">
        <f>$I$54*I62</f>
        <v>1.8582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278</v>
      </c>
      <c r="H65" s="4"/>
      <c r="I65" s="23" t="str">
        <f>材料成本!I5</f>
        <v>A668100000022</v>
      </c>
    </row>
    <row r="66" ht="39" customHeight="1" spans="1:9">
      <c r="A66" s="5" t="s">
        <v>279</v>
      </c>
      <c r="B66" s="5"/>
      <c r="C66" s="6" t="s">
        <v>280</v>
      </c>
      <c r="D66" s="7"/>
      <c r="E66" s="7"/>
      <c r="F66" s="7"/>
      <c r="G66" s="7"/>
      <c r="H66" s="8"/>
      <c r="I66" s="3" t="s">
        <v>281</v>
      </c>
    </row>
    <row r="67" ht="34.5" customHeight="1" spans="1:9">
      <c r="A67" s="5"/>
      <c r="B67" s="5"/>
      <c r="C67" s="9" t="s">
        <v>282</v>
      </c>
      <c r="D67" s="9" t="s">
        <v>283</v>
      </c>
      <c r="E67" s="9" t="s">
        <v>284</v>
      </c>
      <c r="F67" s="10" t="s">
        <v>285</v>
      </c>
      <c r="G67" s="10" t="s">
        <v>286</v>
      </c>
      <c r="H67" s="10" t="s">
        <v>287</v>
      </c>
      <c r="I67" s="22">
        <f>销量!H8</f>
        <v>61.94</v>
      </c>
    </row>
    <row r="68" ht="24" customHeight="1" spans="1:9">
      <c r="A68" s="11" t="s">
        <v>288</v>
      </c>
      <c r="B68" s="11"/>
      <c r="C68" s="12"/>
      <c r="D68" s="13"/>
      <c r="E68" s="14">
        <f>I67*I68</f>
        <v>2.669614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289</v>
      </c>
      <c r="B69" s="11" t="s">
        <v>290</v>
      </c>
      <c r="C69" s="12"/>
      <c r="D69" s="13"/>
      <c r="E69" s="14">
        <f>$I$67*I69</f>
        <v>2.53954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291</v>
      </c>
      <c r="C70" s="12"/>
      <c r="D70" s="13"/>
      <c r="E70" s="14">
        <f t="shared" ref="E69:E75" si="3">$I$67*I70</f>
        <v>1.344098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292</v>
      </c>
      <c r="B71" s="8"/>
      <c r="C71" s="16"/>
      <c r="D71" s="17"/>
      <c r="E71" s="14">
        <f>$I$67*I71</f>
        <v>6.553252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87</v>
      </c>
      <c r="B72" s="11"/>
      <c r="C72" s="12"/>
      <c r="D72" s="13"/>
      <c r="E72" s="14">
        <f>$I$67*I72</f>
        <v>2.10596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293</v>
      </c>
      <c r="B73" s="11" t="s">
        <v>290</v>
      </c>
      <c r="C73" s="12"/>
      <c r="D73" s="13"/>
      <c r="E73" s="14">
        <f t="shared" si="3"/>
        <v>0.43358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291</v>
      </c>
      <c r="C74" s="12"/>
      <c r="D74" s="13"/>
      <c r="E74" s="14">
        <f t="shared" si="3"/>
        <v>2.72536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90</v>
      </c>
      <c r="B75" s="11"/>
      <c r="C75" s="12"/>
      <c r="D75" s="13"/>
      <c r="E75" s="14">
        <f t="shared" si="3"/>
        <v>1.8582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278</v>
      </c>
      <c r="H78" s="4"/>
      <c r="I78" s="23"/>
    </row>
    <row r="79" ht="39" customHeight="1" spans="1:9">
      <c r="A79" s="5" t="s">
        <v>279</v>
      </c>
      <c r="B79" s="5"/>
      <c r="C79" s="6" t="s">
        <v>280</v>
      </c>
      <c r="D79" s="7"/>
      <c r="E79" s="7"/>
      <c r="F79" s="7"/>
      <c r="G79" s="7"/>
      <c r="H79" s="8"/>
      <c r="I79" s="3" t="s">
        <v>281</v>
      </c>
    </row>
    <row r="80" ht="34.5" customHeight="1" spans="1:9">
      <c r="A80" s="5"/>
      <c r="B80" s="5"/>
      <c r="C80" s="9" t="s">
        <v>282</v>
      </c>
      <c r="D80" s="9" t="s">
        <v>283</v>
      </c>
      <c r="E80" s="9" t="s">
        <v>284</v>
      </c>
      <c r="F80" s="10" t="s">
        <v>285</v>
      </c>
      <c r="G80" s="10" t="s">
        <v>286</v>
      </c>
      <c r="H80" s="10" t="s">
        <v>287</v>
      </c>
      <c r="I80" s="22"/>
    </row>
    <row r="81" ht="24" customHeight="1" spans="1:9">
      <c r="A81" s="11" t="s">
        <v>288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289</v>
      </c>
      <c r="B82" s="11" t="s">
        <v>290</v>
      </c>
      <c r="C82" s="12"/>
      <c r="D82" s="13"/>
      <c r="E82" s="14">
        <f t="shared" ref="E82:E88" si="4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291</v>
      </c>
      <c r="C83" s="12"/>
      <c r="D83" s="13"/>
      <c r="E83" s="14">
        <f t="shared" si="4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292</v>
      </c>
      <c r="B84" s="8"/>
      <c r="C84" s="16"/>
      <c r="D84" s="17"/>
      <c r="E84" s="14">
        <f t="shared" si="4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87</v>
      </c>
      <c r="B85" s="11"/>
      <c r="C85" s="12"/>
      <c r="D85" s="13"/>
      <c r="E85" s="14">
        <f t="shared" si="4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293</v>
      </c>
      <c r="B86" s="11" t="s">
        <v>290</v>
      </c>
      <c r="C86" s="12"/>
      <c r="D86" s="13"/>
      <c r="E86" s="14">
        <f t="shared" si="4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291</v>
      </c>
      <c r="C87" s="12"/>
      <c r="D87" s="13"/>
      <c r="E87" s="14">
        <f t="shared" si="4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90</v>
      </c>
      <c r="B88" s="11"/>
      <c r="C88" s="12"/>
      <c r="D88" s="13"/>
      <c r="E88" s="14">
        <f t="shared" si="4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278</v>
      </c>
      <c r="H91" s="4"/>
      <c r="I91" s="23"/>
    </row>
    <row r="92" ht="39" customHeight="1" spans="1:9">
      <c r="A92" s="5" t="s">
        <v>279</v>
      </c>
      <c r="B92" s="5"/>
      <c r="C92" s="6" t="s">
        <v>280</v>
      </c>
      <c r="D92" s="7"/>
      <c r="E92" s="7"/>
      <c r="F92" s="7"/>
      <c r="G92" s="7"/>
      <c r="H92" s="8"/>
      <c r="I92" s="3" t="s">
        <v>281</v>
      </c>
    </row>
    <row r="93" ht="34.5" customHeight="1" spans="1:9">
      <c r="A93" s="5"/>
      <c r="B93" s="5"/>
      <c r="C93" s="9" t="s">
        <v>282</v>
      </c>
      <c r="D93" s="9" t="s">
        <v>283</v>
      </c>
      <c r="E93" s="9" t="s">
        <v>284</v>
      </c>
      <c r="F93" s="10" t="s">
        <v>285</v>
      </c>
      <c r="G93" s="10" t="s">
        <v>286</v>
      </c>
      <c r="H93" s="10" t="s">
        <v>287</v>
      </c>
      <c r="I93" s="22"/>
    </row>
    <row r="94" ht="24" customHeight="1" spans="1:9">
      <c r="A94" s="11" t="s">
        <v>288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289</v>
      </c>
      <c r="B95" s="11" t="s">
        <v>290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291</v>
      </c>
      <c r="C96" s="12"/>
      <c r="D96" s="13"/>
      <c r="E96" s="14">
        <f t="shared" ref="E96:E101" si="5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292</v>
      </c>
      <c r="B97" s="8"/>
      <c r="C97" s="16"/>
      <c r="D97" s="17"/>
      <c r="E97" s="14">
        <f t="shared" si="5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87</v>
      </c>
      <c r="B98" s="11"/>
      <c r="C98" s="12"/>
      <c r="D98" s="13"/>
      <c r="E98" s="14">
        <f t="shared" si="5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293</v>
      </c>
      <c r="B99" s="11" t="s">
        <v>290</v>
      </c>
      <c r="C99" s="12"/>
      <c r="D99" s="13"/>
      <c r="E99" s="14">
        <f t="shared" si="5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291</v>
      </c>
      <c r="C100" s="12"/>
      <c r="D100" s="13"/>
      <c r="E100" s="14">
        <f t="shared" si="5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90</v>
      </c>
      <c r="B101" s="11"/>
      <c r="C101" s="12"/>
      <c r="D101" s="13"/>
      <c r="E101" s="14">
        <f t="shared" si="5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278</v>
      </c>
      <c r="H104" s="4"/>
      <c r="I104" s="23"/>
    </row>
    <row r="105" ht="39" customHeight="1" spans="1:9">
      <c r="A105" s="5" t="s">
        <v>279</v>
      </c>
      <c r="B105" s="5"/>
      <c r="C105" s="6" t="s">
        <v>280</v>
      </c>
      <c r="D105" s="7"/>
      <c r="E105" s="7"/>
      <c r="F105" s="7"/>
      <c r="G105" s="7"/>
      <c r="H105" s="8"/>
      <c r="I105" s="3" t="s">
        <v>281</v>
      </c>
    </row>
    <row r="106" ht="34.5" customHeight="1" spans="1:9">
      <c r="A106" s="5"/>
      <c r="B106" s="5"/>
      <c r="C106" s="9" t="s">
        <v>282</v>
      </c>
      <c r="D106" s="9" t="s">
        <v>283</v>
      </c>
      <c r="E106" s="9" t="s">
        <v>284</v>
      </c>
      <c r="F106" s="10" t="s">
        <v>285</v>
      </c>
      <c r="G106" s="10" t="s">
        <v>286</v>
      </c>
      <c r="H106" s="10" t="s">
        <v>287</v>
      </c>
      <c r="I106" s="22"/>
    </row>
    <row r="107" ht="24" customHeight="1" spans="1:9">
      <c r="A107" s="11" t="s">
        <v>288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289</v>
      </c>
      <c r="B108" s="11" t="s">
        <v>290</v>
      </c>
      <c r="C108" s="12"/>
      <c r="D108" s="13"/>
      <c r="E108" s="14">
        <f t="shared" ref="E108:E114" si="6"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291</v>
      </c>
      <c r="C109" s="12"/>
      <c r="D109" s="13"/>
      <c r="E109" s="14">
        <f t="shared" si="6"/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292</v>
      </c>
      <c r="B110" s="8"/>
      <c r="C110" s="16"/>
      <c r="D110" s="17"/>
      <c r="E110" s="14">
        <f t="shared" si="6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87</v>
      </c>
      <c r="B111" s="11"/>
      <c r="C111" s="12"/>
      <c r="D111" s="13"/>
      <c r="E111" s="14">
        <f t="shared" si="6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293</v>
      </c>
      <c r="B112" s="11" t="s">
        <v>290</v>
      </c>
      <c r="C112" s="12"/>
      <c r="D112" s="13"/>
      <c r="E112" s="14">
        <f t="shared" si="6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291</v>
      </c>
      <c r="C113" s="12"/>
      <c r="D113" s="13"/>
      <c r="E113" s="14">
        <f t="shared" si="6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90</v>
      </c>
      <c r="B114" s="11"/>
      <c r="C114" s="12"/>
      <c r="D114" s="13"/>
      <c r="E114" s="14">
        <f t="shared" si="6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278</v>
      </c>
      <c r="H117" s="4"/>
      <c r="I117" s="23"/>
    </row>
    <row r="118" ht="39" customHeight="1" spans="1:9">
      <c r="A118" s="5" t="s">
        <v>279</v>
      </c>
      <c r="B118" s="5"/>
      <c r="C118" s="6" t="s">
        <v>280</v>
      </c>
      <c r="D118" s="7"/>
      <c r="E118" s="7"/>
      <c r="F118" s="7"/>
      <c r="G118" s="7"/>
      <c r="H118" s="8"/>
      <c r="I118" s="3" t="s">
        <v>281</v>
      </c>
    </row>
    <row r="119" ht="34.5" customHeight="1" spans="1:9">
      <c r="A119" s="5"/>
      <c r="B119" s="5"/>
      <c r="C119" s="9" t="s">
        <v>282</v>
      </c>
      <c r="D119" s="9" t="s">
        <v>283</v>
      </c>
      <c r="E119" s="9" t="s">
        <v>284</v>
      </c>
      <c r="F119" s="10" t="s">
        <v>285</v>
      </c>
      <c r="G119" s="10" t="s">
        <v>286</v>
      </c>
      <c r="H119" s="10" t="s">
        <v>287</v>
      </c>
      <c r="I119" s="22"/>
    </row>
    <row r="120" ht="24" customHeight="1" spans="1:9">
      <c r="A120" s="11" t="s">
        <v>288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289</v>
      </c>
      <c r="B121" s="11" t="s">
        <v>290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291</v>
      </c>
      <c r="C122" s="12"/>
      <c r="D122" s="13"/>
      <c r="E122" s="14">
        <f t="shared" ref="E122:E127" si="7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292</v>
      </c>
      <c r="B123" s="8"/>
      <c r="C123" s="16"/>
      <c r="D123" s="17"/>
      <c r="E123" s="14">
        <f t="shared" si="7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87</v>
      </c>
      <c r="B124" s="11"/>
      <c r="C124" s="12"/>
      <c r="D124" s="13"/>
      <c r="E124" s="14">
        <f t="shared" si="7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293</v>
      </c>
      <c r="B125" s="11" t="s">
        <v>290</v>
      </c>
      <c r="C125" s="12"/>
      <c r="D125" s="13"/>
      <c r="E125" s="14">
        <f t="shared" si="7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291</v>
      </c>
      <c r="C126" s="12"/>
      <c r="D126" s="13"/>
      <c r="E126" s="14">
        <f t="shared" si="7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90</v>
      </c>
      <c r="B127" s="11"/>
      <c r="C127" s="12"/>
      <c r="D127" s="13"/>
      <c r="E127" s="14">
        <f t="shared" si="7"/>
        <v>0</v>
      </c>
      <c r="F127" s="14"/>
      <c r="G127" s="14"/>
      <c r="H127" s="15">
        <v>0.011</v>
      </c>
      <c r="I127" s="3">
        <v>0.03</v>
      </c>
    </row>
    <row r="130" s="1" customFormat="1" ht="18.75" customHeight="1" spans="7:9">
      <c r="G130" s="4" t="s">
        <v>278</v>
      </c>
      <c r="H130" s="4"/>
      <c r="I130" s="23"/>
    </row>
    <row r="131" ht="39" customHeight="1" spans="1:9">
      <c r="A131" s="5" t="s">
        <v>279</v>
      </c>
      <c r="B131" s="5"/>
      <c r="C131" s="6" t="s">
        <v>280</v>
      </c>
      <c r="D131" s="7"/>
      <c r="E131" s="7"/>
      <c r="F131" s="7"/>
      <c r="G131" s="7"/>
      <c r="H131" s="8"/>
      <c r="I131" s="3" t="s">
        <v>281</v>
      </c>
    </row>
    <row r="132" ht="34.5" customHeight="1" spans="1:9">
      <c r="A132" s="5"/>
      <c r="B132" s="5"/>
      <c r="C132" s="9" t="s">
        <v>282</v>
      </c>
      <c r="D132" s="9" t="s">
        <v>283</v>
      </c>
      <c r="E132" s="9" t="s">
        <v>284</v>
      </c>
      <c r="F132" s="10" t="s">
        <v>285</v>
      </c>
      <c r="G132" s="10" t="s">
        <v>286</v>
      </c>
      <c r="H132" s="10" t="s">
        <v>287</v>
      </c>
      <c r="I132" s="22"/>
    </row>
    <row r="133" ht="24" customHeight="1" spans="1:9">
      <c r="A133" s="11" t="s">
        <v>288</v>
      </c>
      <c r="B133" s="11"/>
      <c r="C133" s="12"/>
      <c r="D133" s="13"/>
      <c r="E133" s="14">
        <f>I132*I133</f>
        <v>0</v>
      </c>
      <c r="F133" s="14"/>
      <c r="G133" s="14"/>
      <c r="H133" s="15">
        <v>0.0448</v>
      </c>
      <c r="I133" s="3">
        <v>0.0431</v>
      </c>
    </row>
    <row r="134" ht="24" customHeight="1" spans="1:9">
      <c r="A134" s="11" t="s">
        <v>289</v>
      </c>
      <c r="B134" s="11" t="s">
        <v>290</v>
      </c>
      <c r="C134" s="12"/>
      <c r="D134" s="13"/>
      <c r="E134" s="14">
        <f>$I$132*I134</f>
        <v>0</v>
      </c>
      <c r="F134" s="14"/>
      <c r="G134" s="14"/>
      <c r="H134" s="15">
        <v>0.0404</v>
      </c>
      <c r="I134" s="3">
        <v>0.041</v>
      </c>
    </row>
    <row r="135" ht="24" customHeight="1" spans="1:9">
      <c r="A135" s="11"/>
      <c r="B135" s="11" t="s">
        <v>291</v>
      </c>
      <c r="C135" s="12"/>
      <c r="D135" s="13"/>
      <c r="E135" s="14">
        <f t="shared" ref="E135:E140" si="8">$I$132*I135</f>
        <v>0</v>
      </c>
      <c r="F135" s="14"/>
      <c r="G135" s="14"/>
      <c r="H135" s="15">
        <v>0.0166</v>
      </c>
      <c r="I135" s="3">
        <v>0.0217</v>
      </c>
    </row>
    <row r="136" ht="24" customHeight="1" spans="1:9">
      <c r="A136" s="6" t="s">
        <v>292</v>
      </c>
      <c r="B136" s="8"/>
      <c r="C136" s="16"/>
      <c r="D136" s="17"/>
      <c r="E136" s="14">
        <f t="shared" si="8"/>
        <v>0</v>
      </c>
      <c r="F136" s="14"/>
      <c r="G136" s="14"/>
      <c r="H136" s="18">
        <f>SUM(H133:H135)</f>
        <v>0.1018</v>
      </c>
      <c r="I136" s="3">
        <f>SUM(I133:I135)</f>
        <v>0.1058</v>
      </c>
    </row>
    <row r="137" ht="24" customHeight="1" spans="1:9">
      <c r="A137" s="11" t="s">
        <v>87</v>
      </c>
      <c r="B137" s="11"/>
      <c r="C137" s="12"/>
      <c r="D137" s="13"/>
      <c r="E137" s="14">
        <f t="shared" si="8"/>
        <v>0</v>
      </c>
      <c r="F137" s="14"/>
      <c r="G137" s="14"/>
      <c r="H137" s="15">
        <f>1.97%+0.75%</f>
        <v>0.0272</v>
      </c>
      <c r="I137" s="3">
        <v>0.034</v>
      </c>
    </row>
    <row r="138" ht="24" customHeight="1" spans="1:9">
      <c r="A138" s="19" t="s">
        <v>293</v>
      </c>
      <c r="B138" s="11" t="s">
        <v>290</v>
      </c>
      <c r="C138" s="12"/>
      <c r="D138" s="13"/>
      <c r="E138" s="14">
        <f t="shared" si="8"/>
        <v>0</v>
      </c>
      <c r="F138" s="14"/>
      <c r="G138" s="14"/>
      <c r="H138" s="15">
        <v>0.0053</v>
      </c>
      <c r="I138" s="3">
        <v>0.007</v>
      </c>
    </row>
    <row r="139" ht="24" customHeight="1" spans="1:9">
      <c r="A139" s="20"/>
      <c r="B139" s="11" t="s">
        <v>291</v>
      </c>
      <c r="C139" s="12"/>
      <c r="D139" s="13"/>
      <c r="E139" s="14">
        <f t="shared" si="8"/>
        <v>0</v>
      </c>
      <c r="F139" s="14"/>
      <c r="G139" s="14"/>
      <c r="H139" s="15">
        <v>0.0341</v>
      </c>
      <c r="I139" s="3">
        <f>2.8%+1.6%</f>
        <v>0.044</v>
      </c>
    </row>
    <row r="140" ht="24" customHeight="1" spans="1:9">
      <c r="A140" s="11" t="s">
        <v>90</v>
      </c>
      <c r="B140" s="11"/>
      <c r="C140" s="12"/>
      <c r="D140" s="13"/>
      <c r="E140" s="14">
        <f t="shared" si="8"/>
        <v>0</v>
      </c>
      <c r="F140" s="14"/>
      <c r="G140" s="14"/>
      <c r="H140" s="15">
        <v>0.011</v>
      </c>
      <c r="I140" s="3">
        <v>0.03</v>
      </c>
    </row>
  </sheetData>
  <mergeCells count="99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G130:H130"/>
    <mergeCell ref="C131:H131"/>
    <mergeCell ref="A133:B133"/>
    <mergeCell ref="A136:B136"/>
    <mergeCell ref="A137:B137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134:A135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3" customWidth="1"/>
    <col min="2" max="2" width="28.5" style="203" customWidth="1"/>
    <col min="3" max="4" width="9.12727272727273" style="203"/>
    <col min="5" max="5" width="13.8727272727273" style="203" customWidth="1"/>
    <col min="6" max="12" width="16.1272727272727" style="203" customWidth="1"/>
    <col min="13" max="13" width="10.6272727272727" style="203" customWidth="1"/>
    <col min="14" max="254" width="9.12727272727273" style="203"/>
    <col min="255" max="255" width="8" style="203" customWidth="1"/>
    <col min="256" max="256" width="28.5" style="203" customWidth="1"/>
    <col min="257" max="268" width="9.12727272727273" style="203"/>
    <col min="269" max="269" width="10.6272727272727" style="203" customWidth="1"/>
    <col min="270" max="510" width="9.12727272727273" style="203"/>
    <col min="511" max="511" width="8" style="203" customWidth="1"/>
    <col min="512" max="512" width="28.5" style="203" customWidth="1"/>
    <col min="513" max="524" width="9.12727272727273" style="203"/>
    <col min="525" max="525" width="10.6272727272727" style="203" customWidth="1"/>
    <col min="526" max="766" width="9.12727272727273" style="203"/>
    <col min="767" max="767" width="8" style="203" customWidth="1"/>
    <col min="768" max="768" width="28.5" style="203" customWidth="1"/>
    <col min="769" max="780" width="9.12727272727273" style="203"/>
    <col min="781" max="781" width="10.6272727272727" style="203" customWidth="1"/>
    <col min="782" max="1022" width="9.12727272727273" style="203"/>
    <col min="1023" max="1023" width="8" style="203" customWidth="1"/>
    <col min="1024" max="1024" width="28.5" style="203" customWidth="1"/>
    <col min="1025" max="1036" width="9.12727272727273" style="203"/>
    <col min="1037" max="1037" width="10.6272727272727" style="203" customWidth="1"/>
    <col min="1038" max="1278" width="9.12727272727273" style="203"/>
    <col min="1279" max="1279" width="8" style="203" customWidth="1"/>
    <col min="1280" max="1280" width="28.5" style="203" customWidth="1"/>
    <col min="1281" max="1292" width="9.12727272727273" style="203"/>
    <col min="1293" max="1293" width="10.6272727272727" style="203" customWidth="1"/>
    <col min="1294" max="1534" width="9.12727272727273" style="203"/>
    <col min="1535" max="1535" width="8" style="203" customWidth="1"/>
    <col min="1536" max="1536" width="28.5" style="203" customWidth="1"/>
    <col min="1537" max="1548" width="9.12727272727273" style="203"/>
    <col min="1549" max="1549" width="10.6272727272727" style="203" customWidth="1"/>
    <col min="1550" max="1790" width="9.12727272727273" style="203"/>
    <col min="1791" max="1791" width="8" style="203" customWidth="1"/>
    <col min="1792" max="1792" width="28.5" style="203" customWidth="1"/>
    <col min="1793" max="1804" width="9.12727272727273" style="203"/>
    <col min="1805" max="1805" width="10.6272727272727" style="203" customWidth="1"/>
    <col min="1806" max="2046" width="9.12727272727273" style="203"/>
    <col min="2047" max="2047" width="8" style="203" customWidth="1"/>
    <col min="2048" max="2048" width="28.5" style="203" customWidth="1"/>
    <col min="2049" max="2060" width="9.12727272727273" style="203"/>
    <col min="2061" max="2061" width="10.6272727272727" style="203" customWidth="1"/>
    <col min="2062" max="2302" width="9.12727272727273" style="203"/>
    <col min="2303" max="2303" width="8" style="203" customWidth="1"/>
    <col min="2304" max="2304" width="28.5" style="203" customWidth="1"/>
    <col min="2305" max="2316" width="9.12727272727273" style="203"/>
    <col min="2317" max="2317" width="10.6272727272727" style="203" customWidth="1"/>
    <col min="2318" max="2558" width="9.12727272727273" style="203"/>
    <col min="2559" max="2559" width="8" style="203" customWidth="1"/>
    <col min="2560" max="2560" width="28.5" style="203" customWidth="1"/>
    <col min="2561" max="2572" width="9.12727272727273" style="203"/>
    <col min="2573" max="2573" width="10.6272727272727" style="203" customWidth="1"/>
    <col min="2574" max="2814" width="9.12727272727273" style="203"/>
    <col min="2815" max="2815" width="8" style="203" customWidth="1"/>
    <col min="2816" max="2816" width="28.5" style="203" customWidth="1"/>
    <col min="2817" max="2828" width="9.12727272727273" style="203"/>
    <col min="2829" max="2829" width="10.6272727272727" style="203" customWidth="1"/>
    <col min="2830" max="3070" width="9.12727272727273" style="203"/>
    <col min="3071" max="3071" width="8" style="203" customWidth="1"/>
    <col min="3072" max="3072" width="28.5" style="203" customWidth="1"/>
    <col min="3073" max="3084" width="9.12727272727273" style="203"/>
    <col min="3085" max="3085" width="10.6272727272727" style="203" customWidth="1"/>
    <col min="3086" max="3326" width="9.12727272727273" style="203"/>
    <col min="3327" max="3327" width="8" style="203" customWidth="1"/>
    <col min="3328" max="3328" width="28.5" style="203" customWidth="1"/>
    <col min="3329" max="3340" width="9.12727272727273" style="203"/>
    <col min="3341" max="3341" width="10.6272727272727" style="203" customWidth="1"/>
    <col min="3342" max="3582" width="9.12727272727273" style="203"/>
    <col min="3583" max="3583" width="8" style="203" customWidth="1"/>
    <col min="3584" max="3584" width="28.5" style="203" customWidth="1"/>
    <col min="3585" max="3596" width="9.12727272727273" style="203"/>
    <col min="3597" max="3597" width="10.6272727272727" style="203" customWidth="1"/>
    <col min="3598" max="3838" width="9.12727272727273" style="203"/>
    <col min="3839" max="3839" width="8" style="203" customWidth="1"/>
    <col min="3840" max="3840" width="28.5" style="203" customWidth="1"/>
    <col min="3841" max="3852" width="9.12727272727273" style="203"/>
    <col min="3853" max="3853" width="10.6272727272727" style="203" customWidth="1"/>
    <col min="3854" max="4094" width="9.12727272727273" style="203"/>
    <col min="4095" max="4095" width="8" style="203" customWidth="1"/>
    <col min="4096" max="4096" width="28.5" style="203" customWidth="1"/>
    <col min="4097" max="4108" width="9.12727272727273" style="203"/>
    <col min="4109" max="4109" width="10.6272727272727" style="203" customWidth="1"/>
    <col min="4110" max="4350" width="9.12727272727273" style="203"/>
    <col min="4351" max="4351" width="8" style="203" customWidth="1"/>
    <col min="4352" max="4352" width="28.5" style="203" customWidth="1"/>
    <col min="4353" max="4364" width="9.12727272727273" style="203"/>
    <col min="4365" max="4365" width="10.6272727272727" style="203" customWidth="1"/>
    <col min="4366" max="4606" width="9.12727272727273" style="203"/>
    <col min="4607" max="4607" width="8" style="203" customWidth="1"/>
    <col min="4608" max="4608" width="28.5" style="203" customWidth="1"/>
    <col min="4609" max="4620" width="9.12727272727273" style="203"/>
    <col min="4621" max="4621" width="10.6272727272727" style="203" customWidth="1"/>
    <col min="4622" max="4862" width="9.12727272727273" style="203"/>
    <col min="4863" max="4863" width="8" style="203" customWidth="1"/>
    <col min="4864" max="4864" width="28.5" style="203" customWidth="1"/>
    <col min="4865" max="4876" width="9.12727272727273" style="203"/>
    <col min="4877" max="4877" width="10.6272727272727" style="203" customWidth="1"/>
    <col min="4878" max="5118" width="9.12727272727273" style="203"/>
    <col min="5119" max="5119" width="8" style="203" customWidth="1"/>
    <col min="5120" max="5120" width="28.5" style="203" customWidth="1"/>
    <col min="5121" max="5132" width="9.12727272727273" style="203"/>
    <col min="5133" max="5133" width="10.6272727272727" style="203" customWidth="1"/>
    <col min="5134" max="5374" width="9.12727272727273" style="203"/>
    <col min="5375" max="5375" width="8" style="203" customWidth="1"/>
    <col min="5376" max="5376" width="28.5" style="203" customWidth="1"/>
    <col min="5377" max="5388" width="9.12727272727273" style="203"/>
    <col min="5389" max="5389" width="10.6272727272727" style="203" customWidth="1"/>
    <col min="5390" max="5630" width="9.12727272727273" style="203"/>
    <col min="5631" max="5631" width="8" style="203" customWidth="1"/>
    <col min="5632" max="5632" width="28.5" style="203" customWidth="1"/>
    <col min="5633" max="5644" width="9.12727272727273" style="203"/>
    <col min="5645" max="5645" width="10.6272727272727" style="203" customWidth="1"/>
    <col min="5646" max="5886" width="9.12727272727273" style="203"/>
    <col min="5887" max="5887" width="8" style="203" customWidth="1"/>
    <col min="5888" max="5888" width="28.5" style="203" customWidth="1"/>
    <col min="5889" max="5900" width="9.12727272727273" style="203"/>
    <col min="5901" max="5901" width="10.6272727272727" style="203" customWidth="1"/>
    <col min="5902" max="6142" width="9.12727272727273" style="203"/>
    <col min="6143" max="6143" width="8" style="203" customWidth="1"/>
    <col min="6144" max="6144" width="28.5" style="203" customWidth="1"/>
    <col min="6145" max="6156" width="9.12727272727273" style="203"/>
    <col min="6157" max="6157" width="10.6272727272727" style="203" customWidth="1"/>
    <col min="6158" max="6398" width="9.12727272727273" style="203"/>
    <col min="6399" max="6399" width="8" style="203" customWidth="1"/>
    <col min="6400" max="6400" width="28.5" style="203" customWidth="1"/>
    <col min="6401" max="6412" width="9.12727272727273" style="203"/>
    <col min="6413" max="6413" width="10.6272727272727" style="203" customWidth="1"/>
    <col min="6414" max="6654" width="9.12727272727273" style="203"/>
    <col min="6655" max="6655" width="8" style="203" customWidth="1"/>
    <col min="6656" max="6656" width="28.5" style="203" customWidth="1"/>
    <col min="6657" max="6668" width="9.12727272727273" style="203"/>
    <col min="6669" max="6669" width="10.6272727272727" style="203" customWidth="1"/>
    <col min="6670" max="6910" width="9.12727272727273" style="203"/>
    <col min="6911" max="6911" width="8" style="203" customWidth="1"/>
    <col min="6912" max="6912" width="28.5" style="203" customWidth="1"/>
    <col min="6913" max="6924" width="9.12727272727273" style="203"/>
    <col min="6925" max="6925" width="10.6272727272727" style="203" customWidth="1"/>
    <col min="6926" max="7166" width="9.12727272727273" style="203"/>
    <col min="7167" max="7167" width="8" style="203" customWidth="1"/>
    <col min="7168" max="7168" width="28.5" style="203" customWidth="1"/>
    <col min="7169" max="7180" width="9.12727272727273" style="203"/>
    <col min="7181" max="7181" width="10.6272727272727" style="203" customWidth="1"/>
    <col min="7182" max="7422" width="9.12727272727273" style="203"/>
    <col min="7423" max="7423" width="8" style="203" customWidth="1"/>
    <col min="7424" max="7424" width="28.5" style="203" customWidth="1"/>
    <col min="7425" max="7436" width="9.12727272727273" style="203"/>
    <col min="7437" max="7437" width="10.6272727272727" style="203" customWidth="1"/>
    <col min="7438" max="7678" width="9.12727272727273" style="203"/>
    <col min="7679" max="7679" width="8" style="203" customWidth="1"/>
    <col min="7680" max="7680" width="28.5" style="203" customWidth="1"/>
    <col min="7681" max="7692" width="9.12727272727273" style="203"/>
    <col min="7693" max="7693" width="10.6272727272727" style="203" customWidth="1"/>
    <col min="7694" max="7934" width="9.12727272727273" style="203"/>
    <col min="7935" max="7935" width="8" style="203" customWidth="1"/>
    <col min="7936" max="7936" width="28.5" style="203" customWidth="1"/>
    <col min="7937" max="7948" width="9.12727272727273" style="203"/>
    <col min="7949" max="7949" width="10.6272727272727" style="203" customWidth="1"/>
    <col min="7950" max="8190" width="9.12727272727273" style="203"/>
    <col min="8191" max="8191" width="8" style="203" customWidth="1"/>
    <col min="8192" max="8192" width="28.5" style="203" customWidth="1"/>
    <col min="8193" max="8204" width="9.12727272727273" style="203"/>
    <col min="8205" max="8205" width="10.6272727272727" style="203" customWidth="1"/>
    <col min="8206" max="8446" width="9.12727272727273" style="203"/>
    <col min="8447" max="8447" width="8" style="203" customWidth="1"/>
    <col min="8448" max="8448" width="28.5" style="203" customWidth="1"/>
    <col min="8449" max="8460" width="9.12727272727273" style="203"/>
    <col min="8461" max="8461" width="10.6272727272727" style="203" customWidth="1"/>
    <col min="8462" max="8702" width="9.12727272727273" style="203"/>
    <col min="8703" max="8703" width="8" style="203" customWidth="1"/>
    <col min="8704" max="8704" width="28.5" style="203" customWidth="1"/>
    <col min="8705" max="8716" width="9.12727272727273" style="203"/>
    <col min="8717" max="8717" width="10.6272727272727" style="203" customWidth="1"/>
    <col min="8718" max="8958" width="9.12727272727273" style="203"/>
    <col min="8959" max="8959" width="8" style="203" customWidth="1"/>
    <col min="8960" max="8960" width="28.5" style="203" customWidth="1"/>
    <col min="8961" max="8972" width="9.12727272727273" style="203"/>
    <col min="8973" max="8973" width="10.6272727272727" style="203" customWidth="1"/>
    <col min="8974" max="9214" width="9.12727272727273" style="203"/>
    <col min="9215" max="9215" width="8" style="203" customWidth="1"/>
    <col min="9216" max="9216" width="28.5" style="203" customWidth="1"/>
    <col min="9217" max="9228" width="9.12727272727273" style="203"/>
    <col min="9229" max="9229" width="10.6272727272727" style="203" customWidth="1"/>
    <col min="9230" max="9470" width="9.12727272727273" style="203"/>
    <col min="9471" max="9471" width="8" style="203" customWidth="1"/>
    <col min="9472" max="9472" width="28.5" style="203" customWidth="1"/>
    <col min="9473" max="9484" width="9.12727272727273" style="203"/>
    <col min="9485" max="9485" width="10.6272727272727" style="203" customWidth="1"/>
    <col min="9486" max="9726" width="9.12727272727273" style="203"/>
    <col min="9727" max="9727" width="8" style="203" customWidth="1"/>
    <col min="9728" max="9728" width="28.5" style="203" customWidth="1"/>
    <col min="9729" max="9740" width="9.12727272727273" style="203"/>
    <col min="9741" max="9741" width="10.6272727272727" style="203" customWidth="1"/>
    <col min="9742" max="9982" width="9.12727272727273" style="203"/>
    <col min="9983" max="9983" width="8" style="203" customWidth="1"/>
    <col min="9984" max="9984" width="28.5" style="203" customWidth="1"/>
    <col min="9985" max="9996" width="9.12727272727273" style="203"/>
    <col min="9997" max="9997" width="10.6272727272727" style="203" customWidth="1"/>
    <col min="9998" max="10238" width="9.12727272727273" style="203"/>
    <col min="10239" max="10239" width="8" style="203" customWidth="1"/>
    <col min="10240" max="10240" width="28.5" style="203" customWidth="1"/>
    <col min="10241" max="10252" width="9.12727272727273" style="203"/>
    <col min="10253" max="10253" width="10.6272727272727" style="203" customWidth="1"/>
    <col min="10254" max="10494" width="9.12727272727273" style="203"/>
    <col min="10495" max="10495" width="8" style="203" customWidth="1"/>
    <col min="10496" max="10496" width="28.5" style="203" customWidth="1"/>
    <col min="10497" max="10508" width="9.12727272727273" style="203"/>
    <col min="10509" max="10509" width="10.6272727272727" style="203" customWidth="1"/>
    <col min="10510" max="10750" width="9.12727272727273" style="203"/>
    <col min="10751" max="10751" width="8" style="203" customWidth="1"/>
    <col min="10752" max="10752" width="28.5" style="203" customWidth="1"/>
    <col min="10753" max="10764" width="9.12727272727273" style="203"/>
    <col min="10765" max="10765" width="10.6272727272727" style="203" customWidth="1"/>
    <col min="10766" max="11006" width="9.12727272727273" style="203"/>
    <col min="11007" max="11007" width="8" style="203" customWidth="1"/>
    <col min="11008" max="11008" width="28.5" style="203" customWidth="1"/>
    <col min="11009" max="11020" width="9.12727272727273" style="203"/>
    <col min="11021" max="11021" width="10.6272727272727" style="203" customWidth="1"/>
    <col min="11022" max="11262" width="9.12727272727273" style="203"/>
    <col min="11263" max="11263" width="8" style="203" customWidth="1"/>
    <col min="11264" max="11264" width="28.5" style="203" customWidth="1"/>
    <col min="11265" max="11276" width="9.12727272727273" style="203"/>
    <col min="11277" max="11277" width="10.6272727272727" style="203" customWidth="1"/>
    <col min="11278" max="11518" width="9.12727272727273" style="203"/>
    <col min="11519" max="11519" width="8" style="203" customWidth="1"/>
    <col min="11520" max="11520" width="28.5" style="203" customWidth="1"/>
    <col min="11521" max="11532" width="9.12727272727273" style="203"/>
    <col min="11533" max="11533" width="10.6272727272727" style="203" customWidth="1"/>
    <col min="11534" max="11774" width="9.12727272727273" style="203"/>
    <col min="11775" max="11775" width="8" style="203" customWidth="1"/>
    <col min="11776" max="11776" width="28.5" style="203" customWidth="1"/>
    <col min="11777" max="11788" width="9.12727272727273" style="203"/>
    <col min="11789" max="11789" width="10.6272727272727" style="203" customWidth="1"/>
    <col min="11790" max="12030" width="9.12727272727273" style="203"/>
    <col min="12031" max="12031" width="8" style="203" customWidth="1"/>
    <col min="12032" max="12032" width="28.5" style="203" customWidth="1"/>
    <col min="12033" max="12044" width="9.12727272727273" style="203"/>
    <col min="12045" max="12045" width="10.6272727272727" style="203" customWidth="1"/>
    <col min="12046" max="12286" width="9.12727272727273" style="203"/>
    <col min="12287" max="12287" width="8" style="203" customWidth="1"/>
    <col min="12288" max="12288" width="28.5" style="203" customWidth="1"/>
    <col min="12289" max="12300" width="9.12727272727273" style="203"/>
    <col min="12301" max="12301" width="10.6272727272727" style="203" customWidth="1"/>
    <col min="12302" max="12542" width="9.12727272727273" style="203"/>
    <col min="12543" max="12543" width="8" style="203" customWidth="1"/>
    <col min="12544" max="12544" width="28.5" style="203" customWidth="1"/>
    <col min="12545" max="12556" width="9.12727272727273" style="203"/>
    <col min="12557" max="12557" width="10.6272727272727" style="203" customWidth="1"/>
    <col min="12558" max="12798" width="9.12727272727273" style="203"/>
    <col min="12799" max="12799" width="8" style="203" customWidth="1"/>
    <col min="12800" max="12800" width="28.5" style="203" customWidth="1"/>
    <col min="12801" max="12812" width="9.12727272727273" style="203"/>
    <col min="12813" max="12813" width="10.6272727272727" style="203" customWidth="1"/>
    <col min="12814" max="13054" width="9.12727272727273" style="203"/>
    <col min="13055" max="13055" width="8" style="203" customWidth="1"/>
    <col min="13056" max="13056" width="28.5" style="203" customWidth="1"/>
    <col min="13057" max="13068" width="9.12727272727273" style="203"/>
    <col min="13069" max="13069" width="10.6272727272727" style="203" customWidth="1"/>
    <col min="13070" max="13310" width="9.12727272727273" style="203"/>
    <col min="13311" max="13311" width="8" style="203" customWidth="1"/>
    <col min="13312" max="13312" width="28.5" style="203" customWidth="1"/>
    <col min="13313" max="13324" width="9.12727272727273" style="203"/>
    <col min="13325" max="13325" width="10.6272727272727" style="203" customWidth="1"/>
    <col min="13326" max="13566" width="9.12727272727273" style="203"/>
    <col min="13567" max="13567" width="8" style="203" customWidth="1"/>
    <col min="13568" max="13568" width="28.5" style="203" customWidth="1"/>
    <col min="13569" max="13580" width="9.12727272727273" style="203"/>
    <col min="13581" max="13581" width="10.6272727272727" style="203" customWidth="1"/>
    <col min="13582" max="13822" width="9.12727272727273" style="203"/>
    <col min="13823" max="13823" width="8" style="203" customWidth="1"/>
    <col min="13824" max="13824" width="28.5" style="203" customWidth="1"/>
    <col min="13825" max="13836" width="9.12727272727273" style="203"/>
    <col min="13837" max="13837" width="10.6272727272727" style="203" customWidth="1"/>
    <col min="13838" max="14078" width="9.12727272727273" style="203"/>
    <col min="14079" max="14079" width="8" style="203" customWidth="1"/>
    <col min="14080" max="14080" width="28.5" style="203" customWidth="1"/>
    <col min="14081" max="14092" width="9.12727272727273" style="203"/>
    <col min="14093" max="14093" width="10.6272727272727" style="203" customWidth="1"/>
    <col min="14094" max="14334" width="9.12727272727273" style="203"/>
    <col min="14335" max="14335" width="8" style="203" customWidth="1"/>
    <col min="14336" max="14336" width="28.5" style="203" customWidth="1"/>
    <col min="14337" max="14348" width="9.12727272727273" style="203"/>
    <col min="14349" max="14349" width="10.6272727272727" style="203" customWidth="1"/>
    <col min="14350" max="14590" width="9.12727272727273" style="203"/>
    <col min="14591" max="14591" width="8" style="203" customWidth="1"/>
    <col min="14592" max="14592" width="28.5" style="203" customWidth="1"/>
    <col min="14593" max="14604" width="9.12727272727273" style="203"/>
    <col min="14605" max="14605" width="10.6272727272727" style="203" customWidth="1"/>
    <col min="14606" max="14846" width="9.12727272727273" style="203"/>
    <col min="14847" max="14847" width="8" style="203" customWidth="1"/>
    <col min="14848" max="14848" width="28.5" style="203" customWidth="1"/>
    <col min="14849" max="14860" width="9.12727272727273" style="203"/>
    <col min="14861" max="14861" width="10.6272727272727" style="203" customWidth="1"/>
    <col min="14862" max="15102" width="9.12727272727273" style="203"/>
    <col min="15103" max="15103" width="8" style="203" customWidth="1"/>
    <col min="15104" max="15104" width="28.5" style="203" customWidth="1"/>
    <col min="15105" max="15116" width="9.12727272727273" style="203"/>
    <col min="15117" max="15117" width="10.6272727272727" style="203" customWidth="1"/>
    <col min="15118" max="15358" width="9.12727272727273" style="203"/>
    <col min="15359" max="15359" width="8" style="203" customWidth="1"/>
    <col min="15360" max="15360" width="28.5" style="203" customWidth="1"/>
    <col min="15361" max="15372" width="9.12727272727273" style="203"/>
    <col min="15373" max="15373" width="10.6272727272727" style="203" customWidth="1"/>
    <col min="15374" max="15614" width="9.12727272727273" style="203"/>
    <col min="15615" max="15615" width="8" style="203" customWidth="1"/>
    <col min="15616" max="15616" width="28.5" style="203" customWidth="1"/>
    <col min="15617" max="15628" width="9.12727272727273" style="203"/>
    <col min="15629" max="15629" width="10.6272727272727" style="203" customWidth="1"/>
    <col min="15630" max="15870" width="9.12727272727273" style="203"/>
    <col min="15871" max="15871" width="8" style="203" customWidth="1"/>
    <col min="15872" max="15872" width="28.5" style="203" customWidth="1"/>
    <col min="15873" max="15884" width="9.12727272727273" style="203"/>
    <col min="15885" max="15885" width="10.6272727272727" style="203" customWidth="1"/>
    <col min="15886" max="16126" width="9.12727272727273" style="203"/>
    <col min="16127" max="16127" width="8" style="203" customWidth="1"/>
    <col min="16128" max="16128" width="28.5" style="203" customWidth="1"/>
    <col min="16129" max="16140" width="9.12727272727273" style="203"/>
    <col min="16141" max="16141" width="10.6272727272727" style="203" customWidth="1"/>
    <col min="16142" max="16384" width="9.12727272727273" style="203"/>
  </cols>
  <sheetData>
    <row r="1" ht="17.5" spans="1:13">
      <c r="A1" s="204" t="s">
        <v>19</v>
      </c>
      <c r="B1" s="205"/>
      <c r="C1" s="206"/>
      <c r="D1" s="206"/>
      <c r="E1" s="205"/>
      <c r="F1" s="206"/>
      <c r="G1" s="206"/>
      <c r="H1" s="205"/>
      <c r="I1" s="206"/>
      <c r="J1" s="206"/>
      <c r="K1" s="206"/>
      <c r="L1" s="206"/>
      <c r="M1" s="206"/>
    </row>
    <row r="2" ht="14" spans="1:2">
      <c r="A2" s="203" t="s">
        <v>20</v>
      </c>
      <c r="B2" s="207"/>
    </row>
    <row r="3" ht="16.9" customHeight="1" spans="1:13">
      <c r="A3" s="208" t="s">
        <v>21</v>
      </c>
      <c r="B3" s="208" t="s">
        <v>22</v>
      </c>
      <c r="C3" s="209" t="s">
        <v>23</v>
      </c>
      <c r="D3" s="209"/>
      <c r="E3" s="209"/>
      <c r="F3" s="210"/>
      <c r="G3" s="211"/>
      <c r="H3" s="212"/>
      <c r="I3" s="212"/>
      <c r="J3" s="212" t="s">
        <v>24</v>
      </c>
      <c r="K3" s="212"/>
      <c r="L3" s="212"/>
      <c r="M3" s="233"/>
    </row>
    <row r="4" ht="16.15" customHeight="1" spans="1:13">
      <c r="A4" s="213"/>
      <c r="B4" s="213" t="s">
        <v>25</v>
      </c>
      <c r="C4" s="209">
        <v>2017</v>
      </c>
      <c r="D4" s="209">
        <f t="shared" ref="D4:L4" si="0">C4+1</f>
        <v>2018</v>
      </c>
      <c r="E4" s="209">
        <f t="shared" si="0"/>
        <v>2019</v>
      </c>
      <c r="F4" s="209">
        <f t="shared" si="0"/>
        <v>2020</v>
      </c>
      <c r="G4" s="209">
        <f t="shared" si="0"/>
        <v>2021</v>
      </c>
      <c r="H4" s="214">
        <f t="shared" si="0"/>
        <v>2022</v>
      </c>
      <c r="I4" s="214">
        <f t="shared" si="0"/>
        <v>2023</v>
      </c>
      <c r="J4" s="214">
        <f t="shared" si="0"/>
        <v>2024</v>
      </c>
      <c r="K4" s="214">
        <f t="shared" si="0"/>
        <v>2025</v>
      </c>
      <c r="L4" s="214">
        <f t="shared" si="0"/>
        <v>2026</v>
      </c>
      <c r="M4" s="234" t="s">
        <v>26</v>
      </c>
    </row>
    <row r="5" ht="15.6" customHeight="1" spans="1:13">
      <c r="A5" s="215">
        <v>1</v>
      </c>
      <c r="B5" s="216" t="s">
        <v>27</v>
      </c>
      <c r="C5" s="217">
        <f>SUM(C6:C9)</f>
        <v>0</v>
      </c>
      <c r="D5" s="217">
        <f t="shared" ref="D5:L5" si="1">SUM(D6:D9)</f>
        <v>0</v>
      </c>
      <c r="E5" s="217" t="e">
        <f t="shared" si="1"/>
        <v>#REF!</v>
      </c>
      <c r="F5" s="217" t="e">
        <f t="shared" si="1"/>
        <v>#REF!</v>
      </c>
      <c r="G5" s="217" t="e">
        <f t="shared" si="1"/>
        <v>#REF!</v>
      </c>
      <c r="H5" s="217" t="e">
        <f t="shared" si="1"/>
        <v>#REF!</v>
      </c>
      <c r="I5" s="217" t="e">
        <f t="shared" si="1"/>
        <v>#REF!</v>
      </c>
      <c r="J5" s="217" t="e">
        <f t="shared" si="1"/>
        <v>#REF!</v>
      </c>
      <c r="K5" s="217" t="e">
        <f t="shared" si="1"/>
        <v>#REF!</v>
      </c>
      <c r="L5" s="217" t="e">
        <f t="shared" si="1"/>
        <v>#REF!</v>
      </c>
      <c r="M5" s="221" t="e">
        <f t="shared" ref="M5:M17" si="2">SUM(C5:L5)</f>
        <v>#REF!</v>
      </c>
    </row>
    <row r="6" ht="15.6" customHeight="1" spans="1:13">
      <c r="A6" s="215">
        <v>1.1</v>
      </c>
      <c r="B6" s="218" t="s">
        <v>28</v>
      </c>
      <c r="C6" s="219"/>
      <c r="D6" s="219"/>
      <c r="E6" s="219" t="e">
        <f>#REF!</f>
        <v>#REF!</v>
      </c>
      <c r="F6" s="219" t="e">
        <f>#REF!</f>
        <v>#REF!</v>
      </c>
      <c r="G6" s="219" t="e">
        <f>#REF!</f>
        <v>#REF!</v>
      </c>
      <c r="H6" s="219" t="e">
        <f>#REF!</f>
        <v>#REF!</v>
      </c>
      <c r="I6" s="219" t="e">
        <f>#REF!</f>
        <v>#REF!</v>
      </c>
      <c r="J6" s="219" t="e">
        <f>#REF!</f>
        <v>#REF!</v>
      </c>
      <c r="K6" s="219" t="e">
        <f>#REF!</f>
        <v>#REF!</v>
      </c>
      <c r="L6" s="219" t="e">
        <f>#REF!</f>
        <v>#REF!</v>
      </c>
      <c r="M6" s="221" t="e">
        <f t="shared" si="2"/>
        <v>#REF!</v>
      </c>
    </row>
    <row r="7" ht="15.6" customHeight="1" spans="1:13">
      <c r="A7" s="215">
        <v>1.2</v>
      </c>
      <c r="B7" s="218" t="s">
        <v>29</v>
      </c>
      <c r="C7" s="219"/>
      <c r="D7" s="219"/>
      <c r="E7" s="219">
        <f>[1]折、摊!G18</f>
        <v>0</v>
      </c>
      <c r="F7" s="219">
        <f>[1]折、摊!H18</f>
        <v>0</v>
      </c>
      <c r="G7" s="219">
        <f>[1]折、摊!I18</f>
        <v>0</v>
      </c>
      <c r="H7" s="219">
        <f>[1]折、摊!J18</f>
        <v>0</v>
      </c>
      <c r="I7" s="219">
        <f>[1]折、摊!K18</f>
        <v>0</v>
      </c>
      <c r="J7" s="219">
        <f>[1]折、摊!L18</f>
        <v>0</v>
      </c>
      <c r="K7" s="219">
        <f>[1]折、摊!M18</f>
        <v>0</v>
      </c>
      <c r="L7" s="219">
        <f>[1]折、摊!N18</f>
        <v>0</v>
      </c>
      <c r="M7" s="221">
        <f t="shared" si="2"/>
        <v>0</v>
      </c>
    </row>
    <row r="8" ht="15.6" customHeight="1" spans="1:13">
      <c r="A8" s="215">
        <v>1.3</v>
      </c>
      <c r="B8" s="218" t="s">
        <v>30</v>
      </c>
      <c r="C8" s="219" t="s">
        <v>31</v>
      </c>
      <c r="D8" s="219" t="s">
        <v>31</v>
      </c>
      <c r="E8" s="219" t="s">
        <v>31</v>
      </c>
      <c r="F8" s="219" t="s">
        <v>31</v>
      </c>
      <c r="G8" s="219" t="s">
        <v>31</v>
      </c>
      <c r="H8" s="219" t="s">
        <v>31</v>
      </c>
      <c r="I8" s="219" t="s">
        <v>31</v>
      </c>
      <c r="J8" s="219" t="s">
        <v>31</v>
      </c>
      <c r="K8" s="219" t="s">
        <v>31</v>
      </c>
      <c r="L8" s="219"/>
      <c r="M8" s="221">
        <f t="shared" si="2"/>
        <v>0</v>
      </c>
    </row>
    <row r="9" s="202" customFormat="1" ht="15.6" customHeight="1" spans="1:13">
      <c r="A9" s="220">
        <v>1.4</v>
      </c>
      <c r="B9" s="221" t="s">
        <v>32</v>
      </c>
      <c r="C9" s="219" t="s">
        <v>31</v>
      </c>
      <c r="D9" s="219" t="s">
        <v>31</v>
      </c>
      <c r="E9" s="219" t="s">
        <v>31</v>
      </c>
      <c r="F9" s="219" t="s">
        <v>31</v>
      </c>
      <c r="G9" s="219" t="s">
        <v>31</v>
      </c>
      <c r="H9" s="219" t="s">
        <v>31</v>
      </c>
      <c r="I9" s="219" t="s">
        <v>31</v>
      </c>
      <c r="J9" s="219" t="s">
        <v>31</v>
      </c>
      <c r="K9" s="219" t="s">
        <v>31</v>
      </c>
      <c r="L9" s="219" t="s">
        <v>31</v>
      </c>
      <c r="M9" s="221">
        <f t="shared" si="2"/>
        <v>0</v>
      </c>
    </row>
    <row r="10" ht="15.6" customHeight="1" spans="1:13">
      <c r="A10" s="220">
        <v>2</v>
      </c>
      <c r="B10" s="216" t="s">
        <v>33</v>
      </c>
      <c r="C10" s="217">
        <f t="shared" ref="C10:L10" si="3">SUM(C11:C16)</f>
        <v>0</v>
      </c>
      <c r="D10" s="217">
        <f t="shared" si="3"/>
        <v>0</v>
      </c>
      <c r="E10" s="217">
        <f t="shared" si="3"/>
        <v>0</v>
      </c>
      <c r="F10" s="217">
        <f t="shared" si="3"/>
        <v>0</v>
      </c>
      <c r="G10" s="217">
        <f t="shared" si="3"/>
        <v>0</v>
      </c>
      <c r="H10" s="217">
        <f t="shared" si="3"/>
        <v>0</v>
      </c>
      <c r="I10" s="217">
        <f t="shared" si="3"/>
        <v>0</v>
      </c>
      <c r="J10" s="217">
        <f t="shared" si="3"/>
        <v>0</v>
      </c>
      <c r="K10" s="217">
        <f t="shared" si="3"/>
        <v>0</v>
      </c>
      <c r="L10" s="217">
        <f t="shared" si="3"/>
        <v>0</v>
      </c>
      <c r="M10" s="221">
        <f t="shared" si="2"/>
        <v>0</v>
      </c>
    </row>
    <row r="11" ht="15" customHeight="1" spans="1:13">
      <c r="A11" s="215">
        <v>2.1</v>
      </c>
      <c r="B11" s="215" t="s">
        <v>34</v>
      </c>
      <c r="C11" s="219">
        <f>([1]计划!C6-[1]计划!C7)</f>
        <v>0</v>
      </c>
      <c r="D11" s="219">
        <f>([1]计划!D6-[1]计划!D7)</f>
        <v>0</v>
      </c>
      <c r="E11" s="219">
        <f>([1]计划!E6-[1]计划!E7)</f>
        <v>0</v>
      </c>
      <c r="F11" s="219">
        <f>([1]计划!F6-[1]计划!F7)</f>
        <v>0</v>
      </c>
      <c r="G11" s="219">
        <f>([1]计划!G6-[1]计划!G7)</f>
        <v>0</v>
      </c>
      <c r="H11" s="219">
        <f>([1]计划!H6-[1]计划!H7)</f>
        <v>0</v>
      </c>
      <c r="I11" s="219">
        <f>([1]计划!I6-[1]计划!I7)</f>
        <v>0</v>
      </c>
      <c r="J11" s="219">
        <f>([1]计划!J6-[1]计划!J7)</f>
        <v>0</v>
      </c>
      <c r="K11" s="219">
        <f>([1]计划!K6-[1]计划!K7)</f>
        <v>0</v>
      </c>
      <c r="L11" s="219">
        <f>([1]计划!L6-[1]计划!L7)</f>
        <v>0</v>
      </c>
      <c r="M11" s="221">
        <f t="shared" si="2"/>
        <v>0</v>
      </c>
    </row>
    <row r="12" s="202" customFormat="1" ht="15" customHeight="1" spans="1:13">
      <c r="A12" s="215">
        <v>2.2</v>
      </c>
      <c r="B12" s="221" t="s">
        <v>35</v>
      </c>
      <c r="C12" s="219">
        <f>[1]计划!C8</f>
        <v>0</v>
      </c>
      <c r="D12" s="219">
        <f>[1]计划!D8</f>
        <v>0</v>
      </c>
      <c r="E12" s="219">
        <f>[1]计划!E8</f>
        <v>0</v>
      </c>
      <c r="F12" s="219">
        <f>[1]计划!F8</f>
        <v>0</v>
      </c>
      <c r="G12" s="219">
        <f>[1]计划!G8</f>
        <v>0</v>
      </c>
      <c r="H12" s="219">
        <f>[1]计划!H8</f>
        <v>0</v>
      </c>
      <c r="I12" s="219">
        <f>[1]计划!I8</f>
        <v>0</v>
      </c>
      <c r="J12" s="219">
        <f>[1]计划!J8</f>
        <v>0</v>
      </c>
      <c r="K12" s="219">
        <f>[1]计划!K8</f>
        <v>0</v>
      </c>
      <c r="L12" s="219">
        <f>[1]计划!L8</f>
        <v>0</v>
      </c>
      <c r="M12" s="221">
        <f t="shared" si="2"/>
        <v>0</v>
      </c>
    </row>
    <row r="13" ht="15" customHeight="1" spans="1:13">
      <c r="A13" s="215">
        <v>2.3</v>
      </c>
      <c r="B13" s="218" t="s">
        <v>36</v>
      </c>
      <c r="C13" s="219">
        <f>[1]总成本!C22</f>
        <v>0</v>
      </c>
      <c r="D13" s="219">
        <f>[1]总成本!D22</f>
        <v>0</v>
      </c>
      <c r="E13" s="219">
        <f>[1]总成本!E22</f>
        <v>0</v>
      </c>
      <c r="F13" s="219">
        <f>[1]总成本!F22</f>
        <v>0</v>
      </c>
      <c r="G13" s="219">
        <f>[1]总成本!G22</f>
        <v>0</v>
      </c>
      <c r="H13" s="219">
        <f>[1]总成本!H22</f>
        <v>0</v>
      </c>
      <c r="I13" s="219">
        <f>[1]总成本!I22</f>
        <v>0</v>
      </c>
      <c r="J13" s="219">
        <f>[1]总成本!J22</f>
        <v>0</v>
      </c>
      <c r="K13" s="219">
        <f>[1]总成本!K22</f>
        <v>0</v>
      </c>
      <c r="L13" s="219">
        <f>[1]总成本!L22</f>
        <v>0</v>
      </c>
      <c r="M13" s="221">
        <f t="shared" si="2"/>
        <v>0</v>
      </c>
    </row>
    <row r="14" ht="15" customHeight="1" spans="1:13">
      <c r="A14" s="215">
        <v>2.4</v>
      </c>
      <c r="B14" s="218" t="s">
        <v>37</v>
      </c>
      <c r="C14" s="219">
        <f>[1]价格!D15</f>
        <v>0</v>
      </c>
      <c r="D14" s="219">
        <f>[1]价格!E15</f>
        <v>0</v>
      </c>
      <c r="E14" s="219">
        <f>[1]价格!F15</f>
        <v>0</v>
      </c>
      <c r="F14" s="219">
        <f>[1]价格!G15</f>
        <v>0</v>
      </c>
      <c r="G14" s="219">
        <f>[1]价格!H15</f>
        <v>0</v>
      </c>
      <c r="H14" s="219">
        <f>[1]价格!I15</f>
        <v>0</v>
      </c>
      <c r="I14" s="219">
        <f>[1]价格!J15</f>
        <v>0</v>
      </c>
      <c r="J14" s="219">
        <f>[1]价格!K15</f>
        <v>0</v>
      </c>
      <c r="K14" s="219">
        <f>[1]价格!L15</f>
        <v>0</v>
      </c>
      <c r="L14" s="219">
        <f>[1]价格!M15</f>
        <v>0</v>
      </c>
      <c r="M14" s="221">
        <f t="shared" si="2"/>
        <v>0</v>
      </c>
    </row>
    <row r="15" ht="15" customHeight="1" spans="1:13">
      <c r="A15" s="215">
        <v>2.5</v>
      </c>
      <c r="B15" s="218" t="s">
        <v>38</v>
      </c>
      <c r="C15" s="219">
        <f>[1]利润!C13</f>
        <v>0</v>
      </c>
      <c r="D15" s="219">
        <f>[1]利润!D13</f>
        <v>0</v>
      </c>
      <c r="E15" s="219">
        <f>[1]利润!E13</f>
        <v>0</v>
      </c>
      <c r="F15" s="219">
        <f>[1]利润!F13</f>
        <v>0</v>
      </c>
      <c r="G15" s="219">
        <f>[1]利润!G13</f>
        <v>0</v>
      </c>
      <c r="H15" s="219">
        <f>[1]利润!H13</f>
        <v>0</v>
      </c>
      <c r="I15" s="219">
        <f>[1]利润!I13</f>
        <v>0</v>
      </c>
      <c r="J15" s="219">
        <f>[1]利润!J13</f>
        <v>0</v>
      </c>
      <c r="K15" s="219">
        <f>[1]利润!K13</f>
        <v>0</v>
      </c>
      <c r="L15" s="219">
        <f>[1]利润!L13</f>
        <v>0</v>
      </c>
      <c r="M15" s="221">
        <f t="shared" si="2"/>
        <v>0</v>
      </c>
    </row>
    <row r="16" ht="15" customHeight="1" spans="1:13">
      <c r="A16" s="215">
        <v>2.6</v>
      </c>
      <c r="B16" s="218" t="s">
        <v>39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21">
        <f t="shared" si="2"/>
        <v>0</v>
      </c>
    </row>
    <row r="17" ht="14" spans="1:13">
      <c r="A17" s="215">
        <v>3</v>
      </c>
      <c r="B17" s="216" t="s">
        <v>40</v>
      </c>
      <c r="C17" s="217">
        <f t="shared" ref="C17:L17" si="4">C5-C10</f>
        <v>0</v>
      </c>
      <c r="D17" s="217">
        <f t="shared" si="4"/>
        <v>0</v>
      </c>
      <c r="E17" s="217" t="e">
        <f t="shared" si="4"/>
        <v>#REF!</v>
      </c>
      <c r="F17" s="217" t="e">
        <f t="shared" si="4"/>
        <v>#REF!</v>
      </c>
      <c r="G17" s="217" t="e">
        <f t="shared" si="4"/>
        <v>#REF!</v>
      </c>
      <c r="H17" s="217" t="e">
        <f t="shared" si="4"/>
        <v>#REF!</v>
      </c>
      <c r="I17" s="217" t="e">
        <f t="shared" si="4"/>
        <v>#REF!</v>
      </c>
      <c r="J17" s="217" t="e">
        <f t="shared" si="4"/>
        <v>#REF!</v>
      </c>
      <c r="K17" s="217" t="e">
        <f t="shared" si="4"/>
        <v>#REF!</v>
      </c>
      <c r="L17" s="217" t="e">
        <f t="shared" si="4"/>
        <v>#REF!</v>
      </c>
      <c r="M17" s="221" t="e">
        <f t="shared" si="2"/>
        <v>#REF!</v>
      </c>
    </row>
    <row r="18" ht="14" spans="1:13">
      <c r="A18" s="222">
        <v>4</v>
      </c>
      <c r="B18" s="218" t="s">
        <v>41</v>
      </c>
      <c r="C18" s="219">
        <f>C17</f>
        <v>0</v>
      </c>
      <c r="D18" s="219">
        <f t="shared" ref="D18:L18" si="5">C18+D17</f>
        <v>0</v>
      </c>
      <c r="E18" s="219" t="e">
        <f t="shared" si="5"/>
        <v>#REF!</v>
      </c>
      <c r="F18" s="219" t="e">
        <f t="shared" si="5"/>
        <v>#REF!</v>
      </c>
      <c r="G18" s="219" t="e">
        <f t="shared" si="5"/>
        <v>#REF!</v>
      </c>
      <c r="H18" s="219" t="e">
        <f t="shared" si="5"/>
        <v>#REF!</v>
      </c>
      <c r="I18" s="219" t="e">
        <f t="shared" si="5"/>
        <v>#REF!</v>
      </c>
      <c r="J18" s="219" t="e">
        <f t="shared" si="5"/>
        <v>#REF!</v>
      </c>
      <c r="K18" s="219" t="e">
        <f t="shared" si="5"/>
        <v>#REF!</v>
      </c>
      <c r="L18" s="219" t="e">
        <f t="shared" si="5"/>
        <v>#REF!</v>
      </c>
      <c r="M18" s="218" t="s">
        <v>31</v>
      </c>
    </row>
    <row r="19" s="202" customFormat="1" ht="13" spans="1:13">
      <c r="A19" s="222">
        <v>5</v>
      </c>
      <c r="B19" s="218" t="s">
        <v>42</v>
      </c>
      <c r="C19" s="219">
        <f t="shared" ref="C19:L19" si="6">C17+C15</f>
        <v>0</v>
      </c>
      <c r="D19" s="219">
        <f t="shared" si="6"/>
        <v>0</v>
      </c>
      <c r="E19" s="219" t="e">
        <f t="shared" si="6"/>
        <v>#REF!</v>
      </c>
      <c r="F19" s="219" t="e">
        <f t="shared" si="6"/>
        <v>#REF!</v>
      </c>
      <c r="G19" s="219" t="e">
        <f t="shared" si="6"/>
        <v>#REF!</v>
      </c>
      <c r="H19" s="219" t="e">
        <f t="shared" si="6"/>
        <v>#REF!</v>
      </c>
      <c r="I19" s="219" t="e">
        <f t="shared" si="6"/>
        <v>#REF!</v>
      </c>
      <c r="J19" s="219" t="e">
        <f t="shared" si="6"/>
        <v>#REF!</v>
      </c>
      <c r="K19" s="219" t="e">
        <f t="shared" si="6"/>
        <v>#REF!</v>
      </c>
      <c r="L19" s="219" t="e">
        <f t="shared" si="6"/>
        <v>#REF!</v>
      </c>
      <c r="M19" s="221" t="e">
        <f>SUM(C19:L19)</f>
        <v>#REF!</v>
      </c>
    </row>
    <row r="20" s="202" customFormat="1" ht="13" spans="1:13">
      <c r="A20" s="215">
        <v>6</v>
      </c>
      <c r="B20" s="218" t="s">
        <v>43</v>
      </c>
      <c r="C20" s="219">
        <f>C19</f>
        <v>0</v>
      </c>
      <c r="D20" s="219">
        <f t="shared" ref="D20:L20" si="7">C20+D19</f>
        <v>0</v>
      </c>
      <c r="E20" s="219" t="e">
        <f t="shared" si="7"/>
        <v>#REF!</v>
      </c>
      <c r="F20" s="219" t="e">
        <f t="shared" si="7"/>
        <v>#REF!</v>
      </c>
      <c r="G20" s="219" t="e">
        <f t="shared" si="7"/>
        <v>#REF!</v>
      </c>
      <c r="H20" s="219" t="e">
        <f t="shared" si="7"/>
        <v>#REF!</v>
      </c>
      <c r="I20" s="219" t="e">
        <f t="shared" si="7"/>
        <v>#REF!</v>
      </c>
      <c r="J20" s="219" t="e">
        <f t="shared" si="7"/>
        <v>#REF!</v>
      </c>
      <c r="K20" s="219" t="e">
        <f t="shared" si="7"/>
        <v>#REF!</v>
      </c>
      <c r="L20" s="219" t="e">
        <f t="shared" si="7"/>
        <v>#REF!</v>
      </c>
      <c r="M20" s="218" t="s">
        <v>31</v>
      </c>
    </row>
    <row r="21" ht="14" spans="1:13">
      <c r="A21" s="223"/>
      <c r="B21" s="224" t="s">
        <v>44</v>
      </c>
      <c r="C21" s="224"/>
      <c r="D21" s="224"/>
      <c r="E21" s="224" t="s">
        <v>45</v>
      </c>
      <c r="F21" s="224"/>
      <c r="G21" s="224"/>
      <c r="H21" s="224"/>
      <c r="I21" s="224" t="s">
        <v>46</v>
      </c>
      <c r="J21" s="224"/>
      <c r="K21" s="224"/>
      <c r="L21" s="224"/>
      <c r="M21" s="235"/>
    </row>
    <row r="22" ht="14" spans="1:13">
      <c r="A22" s="225"/>
      <c r="B22" s="226" t="s">
        <v>47</v>
      </c>
      <c r="C22" s="226"/>
      <c r="D22" s="227" t="s">
        <v>48</v>
      </c>
      <c r="E22" s="228" t="e">
        <f>IRR(C17:L17,0.15)</f>
        <v>#VALUE!</v>
      </c>
      <c r="F22" s="226"/>
      <c r="G22" s="226"/>
      <c r="H22" s="226"/>
      <c r="I22" s="228" t="e">
        <f>IRR(C19:L19,0.15)</f>
        <v>#VALUE!</v>
      </c>
      <c r="J22" s="226"/>
      <c r="K22" s="226"/>
      <c r="L22" s="226"/>
      <c r="M22" s="236"/>
    </row>
    <row r="23" ht="14" spans="1:18">
      <c r="A23" s="225"/>
      <c r="B23" s="226" t="s">
        <v>49</v>
      </c>
      <c r="C23" s="226"/>
      <c r="D23" s="226"/>
      <c r="E23" s="229" t="e">
        <f>NPV(0.12,C17:L17)</f>
        <v>#REF!</v>
      </c>
      <c r="F23" s="226"/>
      <c r="G23" s="226"/>
      <c r="H23" s="226"/>
      <c r="I23" s="229" t="e">
        <f>NPV(0.12,C19:L19)</f>
        <v>#REF!</v>
      </c>
      <c r="J23" s="226"/>
      <c r="K23" s="226"/>
      <c r="L23" s="226"/>
      <c r="M23" s="236"/>
      <c r="R23" s="203">
        <f>30.9-29.82</f>
        <v>1.08</v>
      </c>
    </row>
    <row r="24" ht="14" spans="1:13">
      <c r="A24" s="230"/>
      <c r="B24" s="231" t="s">
        <v>50</v>
      </c>
      <c r="C24" s="231"/>
      <c r="D24" s="231"/>
      <c r="E24" s="232" t="e">
        <f>6-H18/I17</f>
        <v>#REF!</v>
      </c>
      <c r="F24" s="231"/>
      <c r="G24" s="231"/>
      <c r="H24" s="231"/>
      <c r="I24" s="232" t="e">
        <f>6-H20/I19</f>
        <v>#REF!</v>
      </c>
      <c r="J24" s="231"/>
      <c r="K24" s="231"/>
      <c r="L24" s="231"/>
      <c r="M24" s="23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4.5"/>
  <cols>
    <col min="1" max="1" width="5.12727272727273" style="170" customWidth="1"/>
    <col min="2" max="2" width="32.6272727272727" style="170" customWidth="1"/>
    <col min="3" max="3" width="14.5" style="171" customWidth="1"/>
    <col min="4" max="5" width="14.7545454545455" style="171" customWidth="1"/>
    <col min="6" max="6" width="16.5" style="171" customWidth="1"/>
    <col min="7" max="7" width="15.5" style="170" customWidth="1"/>
    <col min="8" max="33" width="9" style="170"/>
    <col min="34" max="34" width="4.37272727272727" style="170" customWidth="1"/>
    <col min="35" max="35" width="13.8727272727273" style="170" customWidth="1"/>
    <col min="36" max="16384" width="9" style="170"/>
  </cols>
  <sheetData>
    <row r="1" ht="27" customHeight="1" spans="1:7">
      <c r="A1" s="172" t="s">
        <v>51</v>
      </c>
      <c r="B1" s="172"/>
      <c r="C1" s="172"/>
      <c r="D1" s="172"/>
      <c r="E1" s="172"/>
      <c r="F1" s="172"/>
      <c r="G1" s="83" t="s">
        <v>52</v>
      </c>
    </row>
    <row r="2" ht="15.75" customHeight="1" spans="1:36">
      <c r="A2" s="173" t="s">
        <v>21</v>
      </c>
      <c r="B2" s="174" t="s">
        <v>1</v>
      </c>
      <c r="C2" s="174" t="s">
        <v>53</v>
      </c>
      <c r="D2" s="174" t="s">
        <v>54</v>
      </c>
      <c r="E2" s="174" t="s">
        <v>55</v>
      </c>
      <c r="F2" s="175" t="s">
        <v>56</v>
      </c>
      <c r="AJ2" s="170" t="s">
        <v>57</v>
      </c>
    </row>
    <row r="3" s="137" customFormat="1" ht="15.75" customHeight="1" spans="1:36">
      <c r="A3" s="176"/>
      <c r="B3" s="144" t="s">
        <v>3</v>
      </c>
      <c r="C3" s="177">
        <f>'2025年'!I6</f>
        <v>55000</v>
      </c>
      <c r="D3" s="177">
        <f>'2026年'!I6</f>
        <v>120000</v>
      </c>
      <c r="E3" s="177">
        <f>'2027年'!I6</f>
        <v>120000</v>
      </c>
      <c r="F3" s="177">
        <f t="shared" ref="F3:F7" si="0">SUM(C3:E3)</f>
        <v>295000</v>
      </c>
      <c r="G3" s="163"/>
      <c r="AH3" s="143" t="s">
        <v>21</v>
      </c>
      <c r="AI3" s="144" t="s">
        <v>3</v>
      </c>
      <c r="AJ3" s="137" t="s">
        <v>58</v>
      </c>
    </row>
    <row r="4" s="137" customFormat="1" ht="15.75" customHeight="1" spans="1:36">
      <c r="A4" s="139">
        <v>1</v>
      </c>
      <c r="B4" s="144" t="s">
        <v>59</v>
      </c>
      <c r="C4" s="177">
        <f>'2025年'!I7</f>
        <v>45906800</v>
      </c>
      <c r="D4" s="177">
        <f>'2026年'!I7</f>
        <v>109999400</v>
      </c>
      <c r="E4" s="177">
        <f>'2027年'!I7</f>
        <v>109999400</v>
      </c>
      <c r="F4" s="177">
        <f t="shared" si="0"/>
        <v>265905600</v>
      </c>
      <c r="G4" s="163"/>
      <c r="AH4" s="143" t="s">
        <v>60</v>
      </c>
      <c r="AI4" s="144" t="s">
        <v>59</v>
      </c>
      <c r="AJ4" s="137" t="s">
        <v>58</v>
      </c>
    </row>
    <row r="5" s="137" customFormat="1" ht="15.75" customHeight="1" spans="1:36">
      <c r="A5" s="139">
        <v>2</v>
      </c>
      <c r="B5" s="139" t="s">
        <v>61</v>
      </c>
      <c r="C5" s="177">
        <f>'2025年'!I8</f>
        <v>0</v>
      </c>
      <c r="D5" s="177">
        <f>'2026年'!I8</f>
        <v>5499970</v>
      </c>
      <c r="E5" s="177">
        <f>'2027年'!I8</f>
        <v>10724941.5</v>
      </c>
      <c r="F5" s="177">
        <f t="shared" si="0"/>
        <v>16224911.5</v>
      </c>
      <c r="G5" s="163"/>
      <c r="AH5" s="143" t="s">
        <v>62</v>
      </c>
      <c r="AI5" s="139" t="s">
        <v>63</v>
      </c>
      <c r="AJ5" s="137" t="s">
        <v>58</v>
      </c>
    </row>
    <row r="6" s="137" customFormat="1" ht="15.75" customHeight="1" spans="1:36">
      <c r="A6" s="139">
        <v>3</v>
      </c>
      <c r="B6" s="144" t="s">
        <v>64</v>
      </c>
      <c r="C6" s="178">
        <f>C4-C5</f>
        <v>45906800</v>
      </c>
      <c r="D6" s="178">
        <f>'2026年'!I9</f>
        <v>104499430</v>
      </c>
      <c r="E6" s="177">
        <f>'2027年'!I9</f>
        <v>99274458.5</v>
      </c>
      <c r="F6" s="177">
        <f t="shared" si="0"/>
        <v>249680688.5</v>
      </c>
      <c r="G6" s="163"/>
      <c r="AH6" s="143" t="s">
        <v>65</v>
      </c>
      <c r="AI6" s="144" t="s">
        <v>64</v>
      </c>
      <c r="AJ6" s="137" t="s">
        <v>66</v>
      </c>
    </row>
    <row r="7" s="137" customFormat="1" ht="15.75" customHeight="1" spans="1:36">
      <c r="A7" s="139">
        <v>4</v>
      </c>
      <c r="B7" s="143" t="s">
        <v>67</v>
      </c>
      <c r="C7" s="177">
        <f>'2025年'!I10</f>
        <v>36288465.721936</v>
      </c>
      <c r="D7" s="178">
        <f>'2026年'!I10</f>
        <v>81922576.9509061</v>
      </c>
      <c r="E7" s="177">
        <f>'2027年'!I10</f>
        <v>77826448.1033608</v>
      </c>
      <c r="F7" s="177">
        <f t="shared" si="0"/>
        <v>196037490.776203</v>
      </c>
      <c r="G7" s="163"/>
      <c r="AH7" s="143" t="s">
        <v>68</v>
      </c>
      <c r="AI7" s="143" t="s">
        <v>69</v>
      </c>
      <c r="AJ7" s="137" t="s">
        <v>70</v>
      </c>
    </row>
    <row r="8" s="137" customFormat="1" ht="15.75" customHeight="1" spans="1:35">
      <c r="A8" s="139">
        <v>5</v>
      </c>
      <c r="B8" s="143" t="s">
        <v>71</v>
      </c>
      <c r="C8" s="177">
        <f>'2025年'!I11</f>
        <v>1978583.08</v>
      </c>
      <c r="D8" s="178">
        <f>'2026年'!I11</f>
        <v>4740974.14</v>
      </c>
      <c r="E8" s="177">
        <f>'2027年'!I11</f>
        <v>4740974.14</v>
      </c>
      <c r="F8" s="177">
        <f t="shared" ref="F8:F19" si="1">SUM(C8:E8)</f>
        <v>11460531.36</v>
      </c>
      <c r="G8" s="163"/>
      <c r="AH8" s="143" t="s">
        <v>72</v>
      </c>
      <c r="AI8" s="143" t="s">
        <v>71</v>
      </c>
    </row>
    <row r="9" s="137" customFormat="1" ht="15.75" customHeight="1" spans="1:35">
      <c r="A9" s="139">
        <v>6</v>
      </c>
      <c r="B9" s="143" t="s">
        <v>73</v>
      </c>
      <c r="C9" s="177">
        <f>'2025年'!I12</f>
        <v>996177.56</v>
      </c>
      <c r="D9" s="178">
        <f>'2026年'!I12</f>
        <v>2386986.98</v>
      </c>
      <c r="E9" s="177">
        <f>'2027年'!I12</f>
        <v>2386986.98</v>
      </c>
      <c r="F9" s="177">
        <f t="shared" si="1"/>
        <v>5770151.52</v>
      </c>
      <c r="G9" s="163"/>
      <c r="AH9" s="143" t="s">
        <v>74</v>
      </c>
      <c r="AI9" s="143" t="s">
        <v>73</v>
      </c>
    </row>
    <row r="10" s="137" customFormat="1" ht="15.75" customHeight="1" spans="1:36">
      <c r="A10" s="139">
        <v>7</v>
      </c>
      <c r="B10" s="143" t="s">
        <v>75</v>
      </c>
      <c r="C10" s="177">
        <f>'2025年'!I13</f>
        <v>2019899.2</v>
      </c>
      <c r="D10" s="178">
        <f>'2026年'!I13</f>
        <v>4839973.6</v>
      </c>
      <c r="E10" s="177">
        <f>'2027年'!I13</f>
        <v>4839973.6</v>
      </c>
      <c r="F10" s="177">
        <f t="shared" si="1"/>
        <v>11699846.4</v>
      </c>
      <c r="G10" s="163"/>
      <c r="AH10" s="143" t="s">
        <v>76</v>
      </c>
      <c r="AI10" s="143" t="s">
        <v>75</v>
      </c>
      <c r="AJ10" s="137" t="s">
        <v>58</v>
      </c>
    </row>
    <row r="11" s="137" customFormat="1" ht="15.75" customHeight="1" spans="1:35">
      <c r="A11" s="139">
        <v>8</v>
      </c>
      <c r="B11" s="179" t="s">
        <v>77</v>
      </c>
      <c r="C11" s="180">
        <f>SUM(C8:C10)</f>
        <v>4994659.84</v>
      </c>
      <c r="D11" s="180">
        <f>SUM(D8:D10)</f>
        <v>11967934.72</v>
      </c>
      <c r="E11" s="180">
        <f>SUM(E8:E10)</f>
        <v>11967934.72</v>
      </c>
      <c r="F11" s="180">
        <f>SUM(F8:F10)</f>
        <v>28930529.28</v>
      </c>
      <c r="G11" s="163"/>
      <c r="AH11" s="143" t="s">
        <v>78</v>
      </c>
      <c r="AI11" s="147" t="s">
        <v>77</v>
      </c>
    </row>
    <row r="12" s="137" customFormat="1" ht="15.75" customHeight="1" spans="1:35">
      <c r="A12" s="139">
        <v>9</v>
      </c>
      <c r="B12" s="181" t="s">
        <v>79</v>
      </c>
      <c r="C12" s="177">
        <f>'2025年'!I15</f>
        <v>4623674.43806397</v>
      </c>
      <c r="D12" s="178">
        <f>'2026年'!I15</f>
        <v>10608918.3290939</v>
      </c>
      <c r="E12" s="177">
        <f>'2027年'!I15</f>
        <v>9480075.6766392</v>
      </c>
      <c r="F12" s="177">
        <f>SUM(C12:E12)</f>
        <v>24712668.4437971</v>
      </c>
      <c r="G12" s="163"/>
      <c r="I12" s="170"/>
      <c r="J12" s="170"/>
      <c r="K12" s="170"/>
      <c r="L12" s="170"/>
      <c r="M12" s="170"/>
      <c r="N12" s="170"/>
      <c r="AH12" s="143" t="s">
        <v>80</v>
      </c>
      <c r="AI12" s="147" t="s">
        <v>79</v>
      </c>
    </row>
    <row r="13" ht="15.75" customHeight="1" spans="1:35">
      <c r="A13" s="139">
        <v>10</v>
      </c>
      <c r="B13" s="182" t="s">
        <v>81</v>
      </c>
      <c r="C13" s="183">
        <f t="shared" ref="C13:F13" si="2">+C12/C6</f>
        <v>0.100718726595275</v>
      </c>
      <c r="D13" s="183">
        <f t="shared" si="2"/>
        <v>0.101521303313271</v>
      </c>
      <c r="E13" s="183">
        <f t="shared" si="2"/>
        <v>0.0954936024822458</v>
      </c>
      <c r="F13" s="183">
        <f t="shared" si="2"/>
        <v>0.0989770918698707</v>
      </c>
      <c r="G13" s="163"/>
      <c r="AH13" s="182" t="s">
        <v>82</v>
      </c>
      <c r="AI13" s="182" t="s">
        <v>81</v>
      </c>
    </row>
    <row r="14" ht="15.75" customHeight="1" spans="1:35">
      <c r="A14" s="139">
        <v>11</v>
      </c>
      <c r="B14" s="182" t="s">
        <v>83</v>
      </c>
      <c r="C14" s="177">
        <f>'2025年'!I17</f>
        <v>2374595.46666667</v>
      </c>
      <c r="D14" s="178">
        <f>'2026年'!I17</f>
        <v>5002392.06666667</v>
      </c>
      <c r="E14" s="177">
        <f>'2027年'!I17</f>
        <v>5002392.06666667</v>
      </c>
      <c r="F14" s="177">
        <f>SUM(C14:E14)</f>
        <v>12379379.6</v>
      </c>
      <c r="G14" s="163"/>
      <c r="AH14" s="182" t="s">
        <v>84</v>
      </c>
      <c r="AI14" s="182" t="s">
        <v>83</v>
      </c>
    </row>
    <row r="15" ht="15.75" customHeight="1" spans="1:35">
      <c r="A15" s="139"/>
      <c r="B15" s="182"/>
      <c r="C15" s="177"/>
      <c r="D15" s="177"/>
      <c r="E15" s="177"/>
      <c r="F15" s="177">
        <f>SUM(C15:E15)</f>
        <v>0</v>
      </c>
      <c r="G15" s="163"/>
      <c r="AH15" s="182"/>
      <c r="AI15" s="182"/>
    </row>
    <row r="16" ht="15.75" customHeight="1" spans="1:36">
      <c r="A16" s="139">
        <v>12</v>
      </c>
      <c r="B16" s="182" t="s">
        <v>85</v>
      </c>
      <c r="C16" s="184">
        <f>'2025年'!I19</f>
        <v>321347.6</v>
      </c>
      <c r="D16" s="184">
        <f>'2026年'!I19</f>
        <v>769995.8</v>
      </c>
      <c r="E16" s="177">
        <f>'2027年'!I19</f>
        <v>769995.8</v>
      </c>
      <c r="F16" s="177">
        <f t="shared" si="1"/>
        <v>1861339.2</v>
      </c>
      <c r="G16" s="163"/>
      <c r="O16" s="163"/>
      <c r="AH16" s="182" t="s">
        <v>86</v>
      </c>
      <c r="AI16" s="182" t="s">
        <v>85</v>
      </c>
      <c r="AJ16" s="170" t="s">
        <v>58</v>
      </c>
    </row>
    <row r="17" ht="15.75" customHeight="1" spans="1:35">
      <c r="A17" s="139">
        <v>13</v>
      </c>
      <c r="B17" s="182" t="s">
        <v>87</v>
      </c>
      <c r="C17" s="184">
        <f>'2025年'!I20</f>
        <v>1560831.2</v>
      </c>
      <c r="D17" s="184">
        <f>'2026年'!I20</f>
        <v>3739979.6</v>
      </c>
      <c r="E17" s="177">
        <f>'2027年'!I20</f>
        <v>3739979.6</v>
      </c>
      <c r="F17" s="177">
        <f t="shared" si="1"/>
        <v>9040790.4</v>
      </c>
      <c r="G17" s="163"/>
      <c r="AH17" s="182" t="s">
        <v>88</v>
      </c>
      <c r="AI17" s="182" t="s">
        <v>87</v>
      </c>
    </row>
    <row r="18" s="136" customFormat="1" ht="15.75" customHeight="1" spans="1:35">
      <c r="A18" s="139">
        <v>14</v>
      </c>
      <c r="B18" s="152" t="s">
        <v>89</v>
      </c>
      <c r="C18" s="185">
        <f>'2025年'!I21</f>
        <v>10000</v>
      </c>
      <c r="D18" s="185">
        <f>'2026年'!I21</f>
        <v>10000</v>
      </c>
      <c r="E18" s="185">
        <f>'2027年'!I21</f>
        <v>10000</v>
      </c>
      <c r="F18" s="177">
        <f t="shared" si="1"/>
        <v>30000</v>
      </c>
      <c r="G18" s="163"/>
      <c r="AH18" s="152"/>
      <c r="AI18" s="152"/>
    </row>
    <row r="19" s="137" customFormat="1" ht="15.75" customHeight="1" spans="1:35">
      <c r="A19" s="139">
        <v>15</v>
      </c>
      <c r="B19" s="143" t="s">
        <v>90</v>
      </c>
      <c r="C19" s="184">
        <f>'2025年'!I22</f>
        <v>1377204</v>
      </c>
      <c r="D19" s="184">
        <f>'2026年'!I22</f>
        <v>3299982</v>
      </c>
      <c r="E19" s="177">
        <f>'2027年'!I22</f>
        <v>3299982</v>
      </c>
      <c r="F19" s="177">
        <f t="shared" si="1"/>
        <v>7977168</v>
      </c>
      <c r="G19" s="163"/>
      <c r="AH19" s="143" t="s">
        <v>91</v>
      </c>
      <c r="AI19" s="143" t="s">
        <v>90</v>
      </c>
    </row>
    <row r="20" s="168" customFormat="1" ht="15.75" customHeight="1" spans="1:35">
      <c r="A20" s="139">
        <v>16</v>
      </c>
      <c r="B20" s="186" t="s">
        <v>92</v>
      </c>
      <c r="C20" s="180">
        <f t="shared" ref="C20:F20" si="3">+C19+C18+C17+C16+C14</f>
        <v>5643978.26666667</v>
      </c>
      <c r="D20" s="180">
        <f>+D19+D18+D17+D16+D14</f>
        <v>12822349.4666667</v>
      </c>
      <c r="E20" s="180">
        <f t="shared" si="3"/>
        <v>12822349.4666667</v>
      </c>
      <c r="F20" s="180">
        <f t="shared" si="3"/>
        <v>31288677.2</v>
      </c>
      <c r="G20" s="163"/>
      <c r="AH20" s="199" t="s">
        <v>93</v>
      </c>
      <c r="AI20" s="200" t="s">
        <v>92</v>
      </c>
    </row>
    <row r="21" ht="15.75" customHeight="1" spans="1:35">
      <c r="A21" s="139">
        <v>17</v>
      </c>
      <c r="B21" s="182" t="s">
        <v>94</v>
      </c>
      <c r="C21" s="187">
        <f>'2025年'!I24</f>
        <v>-1020303.8286027</v>
      </c>
      <c r="D21" s="187">
        <f>'2026年'!I24</f>
        <v>-2213431.13757277</v>
      </c>
      <c r="E21" s="177">
        <f>'2027年'!I24</f>
        <v>-3342273.79002746</v>
      </c>
      <c r="F21" s="188">
        <f>SUM(C21:E21)</f>
        <v>-6576008.75620293</v>
      </c>
      <c r="G21" s="189" t="s">
        <v>52</v>
      </c>
      <c r="AH21" s="182" t="s">
        <v>95</v>
      </c>
      <c r="AI21" s="182" t="s">
        <v>94</v>
      </c>
    </row>
    <row r="22" ht="15.75" customHeight="1" spans="1:35">
      <c r="A22" s="139">
        <v>18</v>
      </c>
      <c r="B22" s="182" t="s">
        <v>38</v>
      </c>
      <c r="C22" s="187">
        <f>'2025年'!I25</f>
        <v>0</v>
      </c>
      <c r="D22" s="187">
        <f>'2026年'!I25</f>
        <v>0</v>
      </c>
      <c r="E22" s="177">
        <f>'2027年'!I25</f>
        <v>0</v>
      </c>
      <c r="F22" s="187"/>
      <c r="G22" s="163"/>
      <c r="AH22" s="182" t="s">
        <v>96</v>
      </c>
      <c r="AI22" s="182" t="s">
        <v>38</v>
      </c>
    </row>
    <row r="23" ht="15.75" customHeight="1" spans="1:35">
      <c r="A23" s="139">
        <v>19</v>
      </c>
      <c r="B23" s="182" t="s">
        <v>97</v>
      </c>
      <c r="C23" s="187">
        <f>'2025年'!I26</f>
        <v>-1310603.42174717</v>
      </c>
      <c r="D23" s="187">
        <f>'2026年'!I26</f>
        <v>-2398679.86047986</v>
      </c>
      <c r="E23" s="177">
        <f>'2027年'!I26</f>
        <v>-3509328.49801142</v>
      </c>
      <c r="F23" s="177">
        <f>SUM(C23:E23)</f>
        <v>-7218611.78023846</v>
      </c>
      <c r="G23" s="189" t="s">
        <v>52</v>
      </c>
      <c r="AH23" s="182" t="s">
        <v>98</v>
      </c>
      <c r="AI23" s="182" t="s">
        <v>97</v>
      </c>
    </row>
    <row r="24" ht="15.75" customHeight="1" spans="1:35">
      <c r="A24" s="139">
        <v>20</v>
      </c>
      <c r="B24" s="182" t="s">
        <v>99</v>
      </c>
      <c r="C24" s="190">
        <f t="shared" ref="C24:F24" si="4">C23/C4</f>
        <v>-0.0285492219398253</v>
      </c>
      <c r="D24" s="190">
        <f t="shared" si="4"/>
        <v>-0.0218062994932687</v>
      </c>
      <c r="E24" s="190">
        <f t="shared" si="4"/>
        <v>-0.0319031603627968</v>
      </c>
      <c r="F24" s="190">
        <f t="shared" si="4"/>
        <v>-0.0271472724915852</v>
      </c>
      <c r="G24" s="189" t="s">
        <v>52</v>
      </c>
      <c r="AH24" s="201" t="s">
        <v>100</v>
      </c>
      <c r="AI24" s="201" t="s">
        <v>101</v>
      </c>
    </row>
    <row r="25" s="169" customFormat="1" ht="15.75" customHeight="1" spans="3:7">
      <c r="C25" s="191"/>
      <c r="D25" s="191"/>
      <c r="E25" s="191"/>
      <c r="F25" s="191"/>
      <c r="G25" s="192"/>
    </row>
    <row r="26" s="169" customFormat="1" ht="15.75" customHeight="1" spans="1:34">
      <c r="A26" s="169" t="s">
        <v>102</v>
      </c>
      <c r="C26" s="193"/>
      <c r="D26" s="193"/>
      <c r="E26" s="193"/>
      <c r="F26" s="193"/>
      <c r="G26" s="192"/>
      <c r="AH26" s="169" t="s">
        <v>102</v>
      </c>
    </row>
    <row r="27" ht="15.75" customHeight="1" spans="1:36">
      <c r="A27" s="182" t="s">
        <v>21</v>
      </c>
      <c r="B27" s="194" t="s">
        <v>1</v>
      </c>
      <c r="C27" s="174" t="s">
        <v>53</v>
      </c>
      <c r="D27" s="174" t="s">
        <v>54</v>
      </c>
      <c r="E27" s="174" t="s">
        <v>55</v>
      </c>
      <c r="F27" s="175" t="s">
        <v>56</v>
      </c>
      <c r="AJ27" s="170" t="s">
        <v>57</v>
      </c>
    </row>
    <row r="28" s="137" customFormat="1" ht="15.75" customHeight="1" spans="1:35">
      <c r="A28" s="143" t="s">
        <v>103</v>
      </c>
      <c r="B28" s="147" t="s">
        <v>104</v>
      </c>
      <c r="C28" s="151"/>
      <c r="D28" s="151"/>
      <c r="E28" s="151"/>
      <c r="F28" s="151"/>
      <c r="G28" s="163"/>
      <c r="AH28" s="143" t="s">
        <v>105</v>
      </c>
      <c r="AI28" s="147" t="s">
        <v>104</v>
      </c>
    </row>
    <row r="29" s="137" customFormat="1" ht="15.75" customHeight="1" spans="1:35">
      <c r="A29" s="143" t="s">
        <v>60</v>
      </c>
      <c r="B29" s="143" t="s">
        <v>106</v>
      </c>
      <c r="C29" s="146">
        <f t="shared" ref="C29:F29" si="5">+C6/C3</f>
        <v>834.669090909091</v>
      </c>
      <c r="D29" s="146">
        <f t="shared" si="5"/>
        <v>870.828583333333</v>
      </c>
      <c r="E29" s="146">
        <f t="shared" si="5"/>
        <v>827.287154166667</v>
      </c>
      <c r="F29" s="146">
        <f t="shared" si="5"/>
        <v>846.375215254237</v>
      </c>
      <c r="G29" s="163"/>
      <c r="AH29" s="143" t="s">
        <v>60</v>
      </c>
      <c r="AI29" s="143" t="s">
        <v>106</v>
      </c>
    </row>
    <row r="30" s="137" customFormat="1" ht="15.75" customHeight="1" spans="1:35">
      <c r="A30" s="143" t="s">
        <v>62</v>
      </c>
      <c r="B30" s="143" t="s">
        <v>107</v>
      </c>
      <c r="C30" s="146">
        <f t="shared" ref="C30:F30" si="6">+C7/C3</f>
        <v>659.790285853382</v>
      </c>
      <c r="D30" s="146">
        <f t="shared" si="6"/>
        <v>682.688141257551</v>
      </c>
      <c r="E30" s="146">
        <f t="shared" si="6"/>
        <v>648.553734194673</v>
      </c>
      <c r="F30" s="146">
        <f t="shared" si="6"/>
        <v>664.533867037976</v>
      </c>
      <c r="G30" s="163"/>
      <c r="AH30" s="143" t="s">
        <v>62</v>
      </c>
      <c r="AI30" s="143" t="s">
        <v>107</v>
      </c>
    </row>
    <row r="31" s="137" customFormat="1" ht="15.75" customHeight="1" spans="1:35">
      <c r="A31" s="143" t="s">
        <v>108</v>
      </c>
      <c r="B31" s="143" t="s">
        <v>109</v>
      </c>
      <c r="C31" s="151">
        <f t="shared" ref="C31:F31" si="7">C29-C30</f>
        <v>174.878805055709</v>
      </c>
      <c r="D31" s="151">
        <f t="shared" si="7"/>
        <v>188.140442075782</v>
      </c>
      <c r="E31" s="151">
        <f t="shared" si="7"/>
        <v>178.733419971994</v>
      </c>
      <c r="F31" s="151">
        <f t="shared" si="7"/>
        <v>181.841348216261</v>
      </c>
      <c r="G31" s="163"/>
      <c r="AH31" s="143" t="s">
        <v>108</v>
      </c>
      <c r="AI31" s="143" t="s">
        <v>109</v>
      </c>
    </row>
    <row r="32" s="137" customFormat="1" ht="15.75" customHeight="1" spans="1:35">
      <c r="A32" s="143">
        <v>3.1</v>
      </c>
      <c r="B32" s="143" t="s">
        <v>110</v>
      </c>
      <c r="C32" s="148">
        <f t="shared" ref="C32:F32" si="8">C31/C29</f>
        <v>0.209518726595275</v>
      </c>
      <c r="D32" s="148">
        <f t="shared" si="8"/>
        <v>0.216047619102744</v>
      </c>
      <c r="E32" s="148">
        <f t="shared" si="8"/>
        <v>0.216047619102745</v>
      </c>
      <c r="F32" s="148">
        <f t="shared" si="8"/>
        <v>0.214847203626632</v>
      </c>
      <c r="G32" s="163"/>
      <c r="AH32" s="143"/>
      <c r="AI32" s="143"/>
    </row>
    <row r="33" s="137" customFormat="1" ht="15.75" customHeight="1" spans="1:35">
      <c r="A33" s="143" t="s">
        <v>105</v>
      </c>
      <c r="B33" s="147" t="s">
        <v>10</v>
      </c>
      <c r="C33" s="151"/>
      <c r="D33" s="151"/>
      <c r="E33" s="151"/>
      <c r="F33" s="151"/>
      <c r="G33" s="163"/>
      <c r="AH33" s="143" t="s">
        <v>111</v>
      </c>
      <c r="AI33" s="147" t="s">
        <v>10</v>
      </c>
    </row>
    <row r="34" s="137" customFormat="1" ht="15.75" customHeight="1" spans="1:35">
      <c r="A34" s="143" t="s">
        <v>60</v>
      </c>
      <c r="B34" s="152" t="s">
        <v>112</v>
      </c>
      <c r="C34" s="146">
        <f t="shared" ref="C34:F34" si="9">+C8/C3</f>
        <v>35.9742378181818</v>
      </c>
      <c r="D34" s="146">
        <f t="shared" si="9"/>
        <v>39.5081178333333</v>
      </c>
      <c r="E34" s="146">
        <f t="shared" si="9"/>
        <v>39.5081178333333</v>
      </c>
      <c r="F34" s="146">
        <f t="shared" si="9"/>
        <v>38.8492588474576</v>
      </c>
      <c r="G34" s="163"/>
      <c r="AH34" s="143" t="s">
        <v>108</v>
      </c>
      <c r="AI34" s="143" t="s">
        <v>112</v>
      </c>
    </row>
    <row r="35" s="137" customFormat="1" ht="15.75" customHeight="1" spans="1:35">
      <c r="A35" s="143" t="s">
        <v>62</v>
      </c>
      <c r="B35" s="152" t="s">
        <v>113</v>
      </c>
      <c r="C35" s="146">
        <f t="shared" ref="C35:F35" si="10">+C9/C3</f>
        <v>18.1123192727273</v>
      </c>
      <c r="D35" s="146">
        <f t="shared" si="10"/>
        <v>19.8915581666667</v>
      </c>
      <c r="E35" s="146">
        <f t="shared" si="10"/>
        <v>19.8915581666667</v>
      </c>
      <c r="F35" s="146">
        <f t="shared" si="10"/>
        <v>19.5598356610169</v>
      </c>
      <c r="G35" s="163"/>
      <c r="AH35" s="143" t="s">
        <v>65</v>
      </c>
      <c r="AI35" s="143" t="s">
        <v>113</v>
      </c>
    </row>
    <row r="36" s="137" customFormat="1" ht="15.75" customHeight="1" spans="1:35">
      <c r="A36" s="143" t="s">
        <v>108</v>
      </c>
      <c r="B36" s="152" t="s">
        <v>114</v>
      </c>
      <c r="C36" s="146">
        <f t="shared" ref="C36:F36" si="11">+C10/C3</f>
        <v>36.72544</v>
      </c>
      <c r="D36" s="146">
        <f t="shared" si="11"/>
        <v>40.3331133333333</v>
      </c>
      <c r="E36" s="146">
        <f t="shared" si="11"/>
        <v>40.3331133333333</v>
      </c>
      <c r="F36" s="146">
        <f t="shared" si="11"/>
        <v>39.6604962711864</v>
      </c>
      <c r="G36" s="163"/>
      <c r="AH36" s="143" t="s">
        <v>72</v>
      </c>
      <c r="AI36" s="143" t="s">
        <v>114</v>
      </c>
    </row>
    <row r="37" s="137" customFormat="1" ht="15.75" customHeight="1" spans="1:35">
      <c r="A37" s="143" t="s">
        <v>115</v>
      </c>
      <c r="B37" s="181" t="s">
        <v>116</v>
      </c>
      <c r="C37" s="146"/>
      <c r="D37" s="146"/>
      <c r="E37" s="146"/>
      <c r="F37" s="146"/>
      <c r="G37" s="163"/>
      <c r="AH37" s="143" t="s">
        <v>115</v>
      </c>
      <c r="AI37" s="147" t="s">
        <v>116</v>
      </c>
    </row>
    <row r="38" s="137" customFormat="1" spans="1:35">
      <c r="A38" s="143" t="s">
        <v>60</v>
      </c>
      <c r="B38" s="152" t="s">
        <v>117</v>
      </c>
      <c r="C38" s="146">
        <f t="shared" ref="C38:F38" si="12">+C12/C3</f>
        <v>84.0668079647995</v>
      </c>
      <c r="D38" s="146">
        <f t="shared" si="12"/>
        <v>88.4076527424491</v>
      </c>
      <c r="E38" s="146">
        <f t="shared" si="12"/>
        <v>79.00063063866</v>
      </c>
      <c r="F38" s="146">
        <f t="shared" si="12"/>
        <v>83.7717574366002</v>
      </c>
      <c r="G38" s="163"/>
      <c r="AH38" s="143" t="s">
        <v>60</v>
      </c>
      <c r="AI38" s="143" t="s">
        <v>118</v>
      </c>
    </row>
    <row r="39" s="137" customFormat="1" ht="15.75" customHeight="1" spans="1:35">
      <c r="A39" s="143" t="s">
        <v>62</v>
      </c>
      <c r="B39" s="152" t="s">
        <v>119</v>
      </c>
      <c r="C39" s="177">
        <f>+C20/C38</f>
        <v>67136.8213365484</v>
      </c>
      <c r="D39" s="177">
        <f t="shared" ref="D39:F39" si="13">+D20/D38</f>
        <v>145036.646363873</v>
      </c>
      <c r="E39" s="177">
        <f t="shared" si="13"/>
        <v>162306.92543854</v>
      </c>
      <c r="F39" s="177">
        <f t="shared" si="13"/>
        <v>373499.114229277</v>
      </c>
      <c r="G39" s="163"/>
      <c r="AH39" s="143" t="s">
        <v>62</v>
      </c>
      <c r="AI39" s="143" t="s">
        <v>119</v>
      </c>
    </row>
    <row r="40" s="137" customFormat="1" ht="15.75" customHeight="1" spans="1:35">
      <c r="A40" s="143" t="s">
        <v>120</v>
      </c>
      <c r="B40" s="147" t="s">
        <v>121</v>
      </c>
      <c r="C40" s="151"/>
      <c r="D40" s="151"/>
      <c r="E40" s="151"/>
      <c r="F40" s="151"/>
      <c r="G40" s="163"/>
      <c r="AH40" s="143" t="s">
        <v>120</v>
      </c>
      <c r="AI40" s="147" t="s">
        <v>121</v>
      </c>
    </row>
    <row r="41" s="137" customFormat="1" ht="15.75" customHeight="1" spans="1:35">
      <c r="A41" s="143" t="s">
        <v>60</v>
      </c>
      <c r="B41" s="143" t="s">
        <v>122</v>
      </c>
      <c r="C41" s="151">
        <f t="shared" ref="C41:F41" si="14">+C14/C3</f>
        <v>43.174463030303</v>
      </c>
      <c r="D41" s="151">
        <f t="shared" si="14"/>
        <v>41.6866005555556</v>
      </c>
      <c r="E41" s="151">
        <f t="shared" si="14"/>
        <v>41.6866005555556</v>
      </c>
      <c r="F41" s="151">
        <f t="shared" si="14"/>
        <v>41.9639986440678</v>
      </c>
      <c r="G41" s="163"/>
      <c r="AH41" s="143" t="s">
        <v>60</v>
      </c>
      <c r="AI41" s="143" t="s">
        <v>122</v>
      </c>
    </row>
    <row r="42" s="137" customFormat="1" ht="15.75" customHeight="1" spans="1:35">
      <c r="A42" s="143" t="s">
        <v>62</v>
      </c>
      <c r="B42" s="143" t="s">
        <v>123</v>
      </c>
      <c r="C42" s="151">
        <f t="shared" ref="C42:F42" si="15">+C16/C3</f>
        <v>5.84268363636364</v>
      </c>
      <c r="D42" s="151">
        <f t="shared" si="15"/>
        <v>6.41663166666667</v>
      </c>
      <c r="E42" s="151">
        <f t="shared" si="15"/>
        <v>6.41663166666667</v>
      </c>
      <c r="F42" s="151">
        <f t="shared" si="15"/>
        <v>6.30962440677966</v>
      </c>
      <c r="G42" s="163"/>
      <c r="AH42" s="143" t="s">
        <v>62</v>
      </c>
      <c r="AI42" s="143" t="s">
        <v>123</v>
      </c>
    </row>
    <row r="43" s="137" customFormat="1" ht="15.75" customHeight="1" spans="1:35">
      <c r="A43" s="143" t="s">
        <v>108</v>
      </c>
      <c r="B43" s="143" t="s">
        <v>124</v>
      </c>
      <c r="C43" s="151">
        <f>+C17/C3</f>
        <v>28.3787490909091</v>
      </c>
      <c r="D43" s="151">
        <f t="shared" ref="D43:F43" si="16">+D17/D3</f>
        <v>31.1664966666667</v>
      </c>
      <c r="E43" s="151">
        <f t="shared" si="16"/>
        <v>31.1664966666667</v>
      </c>
      <c r="F43" s="151">
        <f t="shared" si="16"/>
        <v>30.6467471186441</v>
      </c>
      <c r="G43" s="163"/>
      <c r="AH43" s="143" t="s">
        <v>108</v>
      </c>
      <c r="AI43" s="143" t="s">
        <v>124</v>
      </c>
    </row>
    <row r="44" s="137" customFormat="1" ht="15.75" customHeight="1" spans="1:35">
      <c r="A44" s="143" t="s">
        <v>65</v>
      </c>
      <c r="B44" s="143" t="s">
        <v>125</v>
      </c>
      <c r="C44" s="151">
        <f t="shared" ref="C44:F44" si="17">C18/C3</f>
        <v>0.181818181818182</v>
      </c>
      <c r="D44" s="151">
        <f t="shared" si="17"/>
        <v>0.0833333333333333</v>
      </c>
      <c r="E44" s="151">
        <f t="shared" si="17"/>
        <v>0.0833333333333333</v>
      </c>
      <c r="F44" s="151">
        <f t="shared" si="17"/>
        <v>0.101694915254237</v>
      </c>
      <c r="G44" s="163"/>
      <c r="AH44" s="143" t="s">
        <v>65</v>
      </c>
      <c r="AI44" s="143" t="s">
        <v>126</v>
      </c>
    </row>
    <row r="45" s="137" customFormat="1" ht="15.75" customHeight="1" spans="1:35">
      <c r="A45" s="143" t="s">
        <v>68</v>
      </c>
      <c r="B45" s="143" t="s">
        <v>127</v>
      </c>
      <c r="C45" s="151">
        <f>C19/C3</f>
        <v>25.0400727272727</v>
      </c>
      <c r="D45" s="151">
        <f>D19/D3</f>
        <v>27.49985</v>
      </c>
      <c r="E45" s="151">
        <f t="shared" ref="E45:F45" si="18">E19/E3</f>
        <v>27.49985</v>
      </c>
      <c r="F45" s="151">
        <f t="shared" si="18"/>
        <v>27.0412474576271</v>
      </c>
      <c r="G45" s="163"/>
      <c r="AH45" s="143" t="s">
        <v>68</v>
      </c>
      <c r="AI45" s="143" t="s">
        <v>127</v>
      </c>
    </row>
    <row r="46" s="137" customFormat="1" ht="15.75" customHeight="1" spans="1:35">
      <c r="A46" s="143" t="s">
        <v>128</v>
      </c>
      <c r="B46" s="147" t="s">
        <v>129</v>
      </c>
      <c r="C46" s="151"/>
      <c r="D46" s="151"/>
      <c r="E46" s="151"/>
      <c r="F46" s="151"/>
      <c r="G46" s="163"/>
      <c r="AH46" s="143" t="s">
        <v>128</v>
      </c>
      <c r="AI46" s="147" t="s">
        <v>129</v>
      </c>
    </row>
    <row r="47" s="137" customFormat="1" ht="15.75" customHeight="1" spans="1:35">
      <c r="A47" s="143" t="s">
        <v>60</v>
      </c>
      <c r="B47" s="143" t="s">
        <v>130</v>
      </c>
      <c r="C47" s="167">
        <f t="shared" ref="C47:F47" si="19">+(C10+C16)/C6</f>
        <v>0.051</v>
      </c>
      <c r="D47" s="167">
        <f t="shared" si="19"/>
        <v>0.0536842105263158</v>
      </c>
      <c r="E47" s="167">
        <f t="shared" si="19"/>
        <v>0.0565096952908587</v>
      </c>
      <c r="F47" s="167">
        <f t="shared" si="19"/>
        <v>0.0543141148859817</v>
      </c>
      <c r="G47" s="163"/>
      <c r="AH47" s="143" t="s">
        <v>60</v>
      </c>
      <c r="AI47" s="143" t="s">
        <v>130</v>
      </c>
    </row>
    <row r="48" s="137" customFormat="1" ht="15.75" customHeight="1" spans="1:35">
      <c r="A48" s="143" t="s">
        <v>62</v>
      </c>
      <c r="B48" s="143" t="s">
        <v>131</v>
      </c>
      <c r="C48" s="167">
        <f t="shared" ref="C48:F48" si="20">+(C8+C9+C14)/C6</f>
        <v>0.116526442850878</v>
      </c>
      <c r="D48" s="167">
        <f t="shared" si="20"/>
        <v>0.116080567967372</v>
      </c>
      <c r="E48" s="167">
        <f t="shared" si="20"/>
        <v>0.122190071544602</v>
      </c>
      <c r="F48" s="167">
        <f t="shared" si="20"/>
        <v>0.118591720720924</v>
      </c>
      <c r="G48" s="163"/>
      <c r="AH48" s="143" t="s">
        <v>62</v>
      </c>
      <c r="AI48" s="143" t="s">
        <v>131</v>
      </c>
    </row>
    <row r="49" s="137" customFormat="1" ht="15.75" customHeight="1" spans="1:35">
      <c r="A49" s="143" t="s">
        <v>108</v>
      </c>
      <c r="B49" s="143" t="s">
        <v>132</v>
      </c>
      <c r="C49" s="167">
        <f t="shared" ref="C49:F49" si="21">+C17/C6</f>
        <v>0.034</v>
      </c>
      <c r="D49" s="167">
        <f t="shared" si="21"/>
        <v>0.0357894736842105</v>
      </c>
      <c r="E49" s="167">
        <f t="shared" si="21"/>
        <v>0.0376731301939058</v>
      </c>
      <c r="F49" s="167">
        <f t="shared" si="21"/>
        <v>0.0362094099239878</v>
      </c>
      <c r="G49" s="163"/>
      <c r="AH49" s="143" t="s">
        <v>108</v>
      </c>
      <c r="AI49" s="143" t="s">
        <v>132</v>
      </c>
    </row>
    <row r="50" s="137" customFormat="1" ht="15.75" customHeight="1" spans="1:35">
      <c r="A50" s="143" t="s">
        <v>65</v>
      </c>
      <c r="B50" s="143" t="s">
        <v>133</v>
      </c>
      <c r="C50" s="167">
        <f t="shared" ref="C50:F50" si="22">+C18/C6</f>
        <v>0.000217832652243241</v>
      </c>
      <c r="D50" s="167">
        <f t="shared" si="22"/>
        <v>9.56943018732255e-5</v>
      </c>
      <c r="E50" s="167">
        <f t="shared" si="22"/>
        <v>0.00010073084407708</v>
      </c>
      <c r="F50" s="167">
        <f t="shared" si="22"/>
        <v>0.000120153465533238</v>
      </c>
      <c r="G50" s="163"/>
      <c r="AH50" s="143" t="s">
        <v>65</v>
      </c>
      <c r="AI50" s="143" t="s">
        <v>133</v>
      </c>
    </row>
    <row r="51" s="137" customFormat="1" ht="15.75" customHeight="1" spans="1:35">
      <c r="A51" s="143" t="s">
        <v>68</v>
      </c>
      <c r="B51" s="143" t="s">
        <v>134</v>
      </c>
      <c r="C51" s="167">
        <f t="shared" ref="C51:F51" si="23">+C19/C6</f>
        <v>0.03</v>
      </c>
      <c r="D51" s="167">
        <f t="shared" si="23"/>
        <v>0.031578947368421</v>
      </c>
      <c r="E51" s="167">
        <f t="shared" si="23"/>
        <v>0.0332409972299169</v>
      </c>
      <c r="F51" s="167">
        <f t="shared" si="23"/>
        <v>0.0319494793446951</v>
      </c>
      <c r="G51" s="163"/>
      <c r="AH51" s="143" t="s">
        <v>68</v>
      </c>
      <c r="AI51" s="143" t="s">
        <v>134</v>
      </c>
    </row>
    <row r="52" s="137" customFormat="1" ht="15.75" customHeight="1" spans="1:35">
      <c r="A52" s="143" t="s">
        <v>72</v>
      </c>
      <c r="B52" s="143" t="s">
        <v>135</v>
      </c>
      <c r="C52" s="167">
        <f t="shared" ref="C52:F52" si="24">+C23/C6</f>
        <v>-0.0285492219398253</v>
      </c>
      <c r="D52" s="167">
        <f t="shared" si="24"/>
        <v>-0.0229539994665986</v>
      </c>
      <c r="E52" s="167">
        <f t="shared" si="24"/>
        <v>-0.035349762174844</v>
      </c>
      <c r="F52" s="167">
        <f t="shared" si="24"/>
        <v>-0.0289113740578237</v>
      </c>
      <c r="G52" s="163"/>
      <c r="AH52" s="143" t="s">
        <v>72</v>
      </c>
      <c r="AI52" s="143" t="s">
        <v>136</v>
      </c>
    </row>
    <row r="53" s="137" customFormat="1" ht="15.75" customHeight="1" spans="1:35">
      <c r="A53" s="143" t="s">
        <v>137</v>
      </c>
      <c r="B53" s="147" t="s">
        <v>138</v>
      </c>
      <c r="C53" s="151">
        <f>+C21/C3</f>
        <v>-18.5509787018672</v>
      </c>
      <c r="D53" s="151">
        <f t="shared" ref="D53:F53" si="25">+D21/D3</f>
        <v>-18.4452594797731</v>
      </c>
      <c r="E53" s="151">
        <f t="shared" si="25"/>
        <v>-27.8522815835622</v>
      </c>
      <c r="F53" s="151">
        <f t="shared" si="25"/>
        <v>-22.2915551057727</v>
      </c>
      <c r="G53" s="163"/>
      <c r="AH53" s="143" t="s">
        <v>137</v>
      </c>
      <c r="AI53" s="147" t="s">
        <v>138</v>
      </c>
    </row>
    <row r="54" s="137" customFormat="1" ht="15.75" customHeight="1" spans="1:35">
      <c r="A54" s="143" t="s">
        <v>139</v>
      </c>
      <c r="B54" s="195" t="s">
        <v>140</v>
      </c>
      <c r="C54" s="151"/>
      <c r="D54" s="151"/>
      <c r="E54" s="151"/>
      <c r="F54" s="151"/>
      <c r="G54" s="163"/>
      <c r="AH54" s="143"/>
      <c r="AI54" s="147"/>
    </row>
    <row r="55" s="137" customFormat="1" ht="15.75" customHeight="1" spans="1:7">
      <c r="A55" s="143" t="s">
        <v>60</v>
      </c>
      <c r="B55" s="143" t="s">
        <v>141</v>
      </c>
      <c r="C55" s="151">
        <f>C56+C57</f>
        <v>1585000</v>
      </c>
      <c r="D55" s="151"/>
      <c r="E55" s="151"/>
      <c r="F55" s="151"/>
      <c r="G55" s="163"/>
    </row>
    <row r="56" s="137" customFormat="1" ht="15.75" customHeight="1" spans="1:7">
      <c r="A56" s="143">
        <v>1.1</v>
      </c>
      <c r="B56" s="196" t="s">
        <v>142</v>
      </c>
      <c r="C56" s="151">
        <f>项目投资!B27</f>
        <v>30000</v>
      </c>
      <c r="D56" s="151"/>
      <c r="E56" s="151"/>
      <c r="F56" s="151"/>
      <c r="G56" s="163"/>
    </row>
    <row r="57" s="137" customFormat="1" ht="15.75" customHeight="1" spans="1:7">
      <c r="A57" s="143">
        <v>1.2</v>
      </c>
      <c r="B57" s="143" t="s">
        <v>143</v>
      </c>
      <c r="C57" s="151">
        <f>项目投资!B26</f>
        <v>1555000</v>
      </c>
      <c r="D57" s="151"/>
      <c r="E57" s="151"/>
      <c r="F57" s="151"/>
      <c r="G57" s="163"/>
    </row>
    <row r="58" ht="15.75" customHeight="1" spans="1:7">
      <c r="A58" s="182" t="s">
        <v>62</v>
      </c>
      <c r="B58" s="182" t="s">
        <v>144</v>
      </c>
      <c r="C58" s="197">
        <f>C59+C60</f>
        <v>-1310603.42174717</v>
      </c>
      <c r="D58" s="197">
        <f t="shared" ref="D58:F58" si="26">D59+D60</f>
        <v>-2398679.86047986</v>
      </c>
      <c r="E58" s="197">
        <f t="shared" si="26"/>
        <v>-3509328.49801142</v>
      </c>
      <c r="F58" s="197">
        <f t="shared" si="26"/>
        <v>-7218611.78023846</v>
      </c>
      <c r="G58" s="163"/>
    </row>
    <row r="59" ht="15.75" customHeight="1" spans="1:7">
      <c r="A59" s="182" t="s">
        <v>108</v>
      </c>
      <c r="B59" s="182" t="s">
        <v>145</v>
      </c>
      <c r="C59" s="197">
        <f t="shared" ref="C59:F59" si="27">C23</f>
        <v>-1310603.42174717</v>
      </c>
      <c r="D59" s="197">
        <f t="shared" si="27"/>
        <v>-2398679.86047986</v>
      </c>
      <c r="E59" s="197">
        <f t="shared" si="27"/>
        <v>-3509328.49801142</v>
      </c>
      <c r="F59" s="197">
        <f t="shared" si="27"/>
        <v>-7218611.78023846</v>
      </c>
      <c r="G59" s="163"/>
    </row>
    <row r="60" ht="15.75" customHeight="1" spans="1:7">
      <c r="A60" s="182" t="s">
        <v>65</v>
      </c>
      <c r="B60" s="182" t="s">
        <v>146</v>
      </c>
      <c r="C60" s="197">
        <f>'[2]2023年'!I18</f>
        <v>0</v>
      </c>
      <c r="D60" s="197"/>
      <c r="E60" s="197"/>
      <c r="F60" s="197">
        <f>[2]项目投资!G26</f>
        <v>0</v>
      </c>
      <c r="G60" s="163"/>
    </row>
    <row r="61" ht="15.75" customHeight="1" spans="1:7">
      <c r="A61" s="182" t="s">
        <v>68</v>
      </c>
      <c r="B61" s="182" t="s">
        <v>147</v>
      </c>
      <c r="C61" s="198"/>
      <c r="D61" s="198"/>
      <c r="E61" s="198"/>
      <c r="F61" s="197"/>
      <c r="G61" s="163"/>
    </row>
    <row r="63" spans="2:2">
      <c r="B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zoomScale="85" zoomScaleNormal="85" workbookViewId="0">
      <pane xSplit="2" ySplit="7" topLeftCell="C11" activePane="bottomRight" state="frozen"/>
      <selection/>
      <selection pane="topRight"/>
      <selection pane="bottomLeft"/>
      <selection pane="bottomRight" activeCell="C24" sqref="C24"/>
    </sheetView>
  </sheetViews>
  <sheetFormatPr defaultColWidth="9" defaultRowHeight="14.5"/>
  <cols>
    <col min="1" max="1" width="5.12727272727273" style="137" customWidth="1"/>
    <col min="2" max="2" width="17.5" style="137" customWidth="1"/>
    <col min="3" max="4" width="14.3636363636364" style="138" customWidth="1"/>
    <col min="5" max="5" width="15.5454545454545" style="138" customWidth="1"/>
    <col min="6" max="6" width="15.2727272727273" style="138" customWidth="1"/>
    <col min="7" max="8" width="12.6363636363636" style="138" customWidth="1"/>
    <col min="9" max="9" width="18.7545454545455" style="138" customWidth="1"/>
    <col min="10" max="10" width="12.3727272727273" style="137" customWidth="1"/>
    <col min="11" max="11" width="10.1272727272727" style="137" customWidth="1"/>
    <col min="12" max="18" width="9" style="137" customWidth="1"/>
    <col min="19" max="35" width="9" style="137"/>
    <col min="36" max="36" width="4.37272727272727" style="137" customWidth="1"/>
    <col min="37" max="37" width="13.8727272727273" style="137" customWidth="1"/>
    <col min="38" max="16384" width="9" style="137"/>
  </cols>
  <sheetData>
    <row r="1" spans="1:9">
      <c r="A1" s="139" t="s">
        <v>148</v>
      </c>
      <c r="B1" s="139"/>
      <c r="C1" s="140" t="s">
        <v>149</v>
      </c>
      <c r="D1" s="141"/>
      <c r="E1" s="141"/>
      <c r="F1" s="141"/>
      <c r="G1" s="141"/>
      <c r="H1" s="141"/>
      <c r="I1" s="159"/>
    </row>
    <row r="2" spans="1:9">
      <c r="A2" s="139" t="s">
        <v>150</v>
      </c>
      <c r="B2" s="139"/>
      <c r="C2" s="142" t="s">
        <v>151</v>
      </c>
      <c r="D2" s="142"/>
      <c r="E2" s="142"/>
      <c r="F2" s="142"/>
      <c r="G2" s="142"/>
      <c r="H2" s="142"/>
      <c r="I2" s="142"/>
    </row>
    <row r="3" ht="33" spans="1:9">
      <c r="A3" s="139" t="s">
        <v>152</v>
      </c>
      <c r="B3" s="139"/>
      <c r="C3" s="21" t="s">
        <v>153</v>
      </c>
      <c r="D3" s="21" t="s">
        <v>154</v>
      </c>
      <c r="E3" s="21" t="s">
        <v>153</v>
      </c>
      <c r="F3" s="21" t="s">
        <v>154</v>
      </c>
      <c r="G3" s="21" t="s">
        <v>155</v>
      </c>
      <c r="H3" s="21" t="s">
        <v>155</v>
      </c>
      <c r="I3" s="160" t="s">
        <v>56</v>
      </c>
    </row>
    <row r="4" ht="33" spans="1:9">
      <c r="A4" s="139" t="s">
        <v>156</v>
      </c>
      <c r="B4" s="139"/>
      <c r="C4" s="21" t="s">
        <v>157</v>
      </c>
      <c r="D4" s="23" t="s">
        <v>158</v>
      </c>
      <c r="E4" s="23" t="s">
        <v>159</v>
      </c>
      <c r="F4" s="23" t="s">
        <v>160</v>
      </c>
      <c r="G4" s="23" t="s">
        <v>161</v>
      </c>
      <c r="H4" s="23" t="s">
        <v>162</v>
      </c>
      <c r="I4" s="161"/>
    </row>
    <row r="5" ht="16.5" spans="1:38">
      <c r="A5" s="139" t="s">
        <v>163</v>
      </c>
      <c r="B5" s="139"/>
      <c r="C5" s="76" t="s">
        <v>164</v>
      </c>
      <c r="D5" s="76" t="s">
        <v>164</v>
      </c>
      <c r="E5" s="23" t="s">
        <v>165</v>
      </c>
      <c r="F5" s="23" t="s">
        <v>165</v>
      </c>
      <c r="G5" s="76" t="s">
        <v>164</v>
      </c>
      <c r="H5" s="76" t="s">
        <v>164</v>
      </c>
      <c r="I5" s="162"/>
      <c r="AL5" s="137" t="s">
        <v>57</v>
      </c>
    </row>
    <row r="6" ht="16.5" spans="1:38">
      <c r="A6" s="143" t="s">
        <v>21</v>
      </c>
      <c r="B6" s="144" t="s">
        <v>166</v>
      </c>
      <c r="C6" s="145">
        <f>销量!C9</f>
        <v>5000</v>
      </c>
      <c r="D6" s="145">
        <f>销量!D9</f>
        <v>10000</v>
      </c>
      <c r="E6" s="145">
        <f>销量!E9</f>
        <v>10000</v>
      </c>
      <c r="F6" s="145">
        <f>销量!F9</f>
        <v>10000</v>
      </c>
      <c r="G6" s="145">
        <f>销量!G9</f>
        <v>10000</v>
      </c>
      <c r="H6" s="145">
        <f>销量!H9</f>
        <v>10000</v>
      </c>
      <c r="I6" s="146">
        <f>+SUM(C6:H6)</f>
        <v>55000</v>
      </c>
      <c r="T6" s="144" t="s">
        <v>3</v>
      </c>
      <c r="AJ6" s="143" t="s">
        <v>21</v>
      </c>
      <c r="AK6" s="144" t="s">
        <v>3</v>
      </c>
      <c r="AL6" s="137" t="s">
        <v>58</v>
      </c>
    </row>
    <row r="7" spans="1:38">
      <c r="A7" s="139">
        <v>1</v>
      </c>
      <c r="B7" s="144" t="s">
        <v>59</v>
      </c>
      <c r="C7" s="146">
        <f>C6*销量!C8</f>
        <v>9092900</v>
      </c>
      <c r="D7" s="146">
        <f>D6*销量!D8</f>
        <v>5752200</v>
      </c>
      <c r="E7" s="146">
        <f>E6*销量!E8</f>
        <v>22831800</v>
      </c>
      <c r="F7" s="146">
        <f>F6*销量!F8</f>
        <v>6991100</v>
      </c>
      <c r="G7" s="146">
        <f>G6*销量!G8</f>
        <v>619400</v>
      </c>
      <c r="H7" s="146">
        <f>H6*销量!H8</f>
        <v>619400</v>
      </c>
      <c r="I7" s="146">
        <f t="shared" ref="I7:I15" si="0">+SUM(C7:H7)</f>
        <v>45906800</v>
      </c>
      <c r="J7" s="138"/>
      <c r="T7" s="144" t="s">
        <v>59</v>
      </c>
      <c r="AJ7" s="143" t="s">
        <v>60</v>
      </c>
      <c r="AK7" s="144" t="s">
        <v>59</v>
      </c>
      <c r="AL7" s="137" t="s">
        <v>58</v>
      </c>
    </row>
    <row r="8" spans="1:38">
      <c r="A8" s="139">
        <v>2</v>
      </c>
      <c r="B8" s="139" t="s">
        <v>61</v>
      </c>
      <c r="C8" s="146"/>
      <c r="D8" s="146"/>
      <c r="E8" s="146"/>
      <c r="F8" s="146"/>
      <c r="G8" s="146"/>
      <c r="H8" s="146"/>
      <c r="I8" s="146">
        <f t="shared" si="0"/>
        <v>0</v>
      </c>
      <c r="J8" s="163"/>
      <c r="T8" s="139" t="s">
        <v>63</v>
      </c>
      <c r="AJ8" s="143" t="s">
        <v>62</v>
      </c>
      <c r="AK8" s="139" t="s">
        <v>63</v>
      </c>
      <c r="AL8" s="137" t="s">
        <v>58</v>
      </c>
    </row>
    <row r="9" spans="1:38">
      <c r="A9" s="139">
        <v>3</v>
      </c>
      <c r="B9" s="144" t="s">
        <v>64</v>
      </c>
      <c r="C9" s="146">
        <f>+C7-C8</f>
        <v>9092900</v>
      </c>
      <c r="D9" s="146">
        <f t="shared" ref="D9:H9" si="1">+D7-D8</f>
        <v>5752200</v>
      </c>
      <c r="E9" s="146">
        <f t="shared" si="1"/>
        <v>22831800</v>
      </c>
      <c r="F9" s="146">
        <f t="shared" si="1"/>
        <v>6991100</v>
      </c>
      <c r="G9" s="146">
        <f t="shared" si="1"/>
        <v>619400</v>
      </c>
      <c r="H9" s="146">
        <f t="shared" si="1"/>
        <v>619400</v>
      </c>
      <c r="I9" s="146">
        <f t="shared" si="0"/>
        <v>45906800</v>
      </c>
      <c r="T9" s="144" t="s">
        <v>64</v>
      </c>
      <c r="AJ9" s="143" t="s">
        <v>65</v>
      </c>
      <c r="AK9" s="144" t="s">
        <v>64</v>
      </c>
      <c r="AL9" s="137" t="s">
        <v>66</v>
      </c>
    </row>
    <row r="10" spans="1:38">
      <c r="A10" s="139">
        <v>4</v>
      </c>
      <c r="B10" s="143" t="s">
        <v>69</v>
      </c>
      <c r="C10" s="146">
        <f t="shared" ref="C10:M10" si="2">C6*C33</f>
        <v>6828680.04169876</v>
      </c>
      <c r="D10" s="146">
        <f t="shared" si="2"/>
        <v>5051813.08928903</v>
      </c>
      <c r="E10" s="146">
        <f t="shared" si="2"/>
        <v>17058664.8749908</v>
      </c>
      <c r="F10" s="146">
        <f t="shared" si="2"/>
        <v>6876571.50219459</v>
      </c>
      <c r="G10" s="146">
        <f>G6*G33</f>
        <v>250130.473710495</v>
      </c>
      <c r="H10" s="146">
        <f t="shared" si="2"/>
        <v>222605.740052352</v>
      </c>
      <c r="I10" s="146">
        <f t="shared" si="0"/>
        <v>36288465.721936</v>
      </c>
      <c r="T10" s="143" t="s">
        <v>69</v>
      </c>
      <c r="AJ10" s="143" t="s">
        <v>68</v>
      </c>
      <c r="AK10" s="143" t="s">
        <v>69</v>
      </c>
      <c r="AL10" s="137" t="s">
        <v>70</v>
      </c>
    </row>
    <row r="11" spans="1:37">
      <c r="A11" s="139">
        <v>5</v>
      </c>
      <c r="B11" s="143" t="s">
        <v>71</v>
      </c>
      <c r="C11" s="146">
        <f>+C6*C36</f>
        <v>391903.99</v>
      </c>
      <c r="D11" s="146">
        <f t="shared" ref="C11:M11" si="3">+D6*D36</f>
        <v>247919.82</v>
      </c>
      <c r="E11" s="146">
        <f t="shared" si="3"/>
        <v>984050.58</v>
      </c>
      <c r="F11" s="146">
        <f t="shared" si="3"/>
        <v>301316.41</v>
      </c>
      <c r="G11" s="146">
        <f t="shared" si="3"/>
        <v>26696.14</v>
      </c>
      <c r="H11" s="146">
        <f t="shared" si="3"/>
        <v>26696.14</v>
      </c>
      <c r="I11" s="146">
        <f t="shared" si="0"/>
        <v>1978583.08</v>
      </c>
      <c r="T11" s="143" t="s">
        <v>71</v>
      </c>
      <c r="AJ11" s="143" t="s">
        <v>72</v>
      </c>
      <c r="AK11" s="143" t="s">
        <v>71</v>
      </c>
    </row>
    <row r="12" spans="1:37">
      <c r="A12" s="139">
        <v>6</v>
      </c>
      <c r="B12" s="143" t="s">
        <v>73</v>
      </c>
      <c r="C12" s="146">
        <f t="shared" ref="C12:H12" si="4">+C6*C37</f>
        <v>197315.93</v>
      </c>
      <c r="D12" s="146">
        <f t="shared" si="4"/>
        <v>124822.74</v>
      </c>
      <c r="E12" s="146">
        <f t="shared" si="4"/>
        <v>495450.06</v>
      </c>
      <c r="F12" s="146">
        <f t="shared" si="4"/>
        <v>151706.87</v>
      </c>
      <c r="G12" s="146">
        <f t="shared" si="4"/>
        <v>13440.98</v>
      </c>
      <c r="H12" s="146">
        <f t="shared" si="4"/>
        <v>13440.98</v>
      </c>
      <c r="I12" s="146">
        <f t="shared" si="0"/>
        <v>996177.56</v>
      </c>
      <c r="T12" s="143" t="s">
        <v>73</v>
      </c>
      <c r="AJ12" s="143" t="s">
        <v>74</v>
      </c>
      <c r="AK12" s="143" t="s">
        <v>73</v>
      </c>
    </row>
    <row r="13" spans="1:38">
      <c r="A13" s="139">
        <v>7</v>
      </c>
      <c r="B13" s="143" t="s">
        <v>75</v>
      </c>
      <c r="C13" s="146">
        <f t="shared" ref="C13:H13" si="5">+C6*C38</f>
        <v>400087.6</v>
      </c>
      <c r="D13" s="146">
        <f t="shared" si="5"/>
        <v>253096.8</v>
      </c>
      <c r="E13" s="146">
        <f t="shared" si="5"/>
        <v>1004599.2</v>
      </c>
      <c r="F13" s="146">
        <f t="shared" si="5"/>
        <v>307608.4</v>
      </c>
      <c r="G13" s="146">
        <f t="shared" si="5"/>
        <v>27253.6</v>
      </c>
      <c r="H13" s="146">
        <f t="shared" si="5"/>
        <v>27253.6</v>
      </c>
      <c r="I13" s="146">
        <f t="shared" si="0"/>
        <v>2019899.2</v>
      </c>
      <c r="T13" s="143" t="s">
        <v>75</v>
      </c>
      <c r="AJ13" s="143" t="s">
        <v>76</v>
      </c>
      <c r="AK13" s="143" t="s">
        <v>75</v>
      </c>
      <c r="AL13" s="137" t="s">
        <v>58</v>
      </c>
    </row>
    <row r="14" spans="1:37">
      <c r="A14" s="139">
        <v>8</v>
      </c>
      <c r="B14" s="147" t="s">
        <v>77</v>
      </c>
      <c r="C14" s="146">
        <f t="shared" ref="C14:H14" si="6">SUM(C11:C13)</f>
        <v>989307.52</v>
      </c>
      <c r="D14" s="146">
        <f t="shared" si="6"/>
        <v>625839.36</v>
      </c>
      <c r="E14" s="146">
        <f t="shared" si="6"/>
        <v>2484099.84</v>
      </c>
      <c r="F14" s="146">
        <f t="shared" si="6"/>
        <v>760631.68</v>
      </c>
      <c r="G14" s="146">
        <f t="shared" si="6"/>
        <v>67390.72</v>
      </c>
      <c r="H14" s="146">
        <f t="shared" si="6"/>
        <v>67390.72</v>
      </c>
      <c r="I14" s="146">
        <f t="shared" si="0"/>
        <v>4994659.84</v>
      </c>
      <c r="T14" s="147" t="s">
        <v>77</v>
      </c>
      <c r="AJ14" s="143" t="s">
        <v>78</v>
      </c>
      <c r="AK14" s="147" t="s">
        <v>77</v>
      </c>
    </row>
    <row r="15" spans="1:37">
      <c r="A15" s="139">
        <v>9</v>
      </c>
      <c r="B15" s="147" t="s">
        <v>79</v>
      </c>
      <c r="C15" s="146">
        <f t="shared" ref="C15:H15" si="7">+C9-C10-C14</f>
        <v>1274912.43830124</v>
      </c>
      <c r="D15" s="146">
        <f t="shared" si="7"/>
        <v>74547.5507109681</v>
      </c>
      <c r="E15" s="146">
        <f t="shared" si="7"/>
        <v>3289035.2850092</v>
      </c>
      <c r="F15" s="146">
        <f t="shared" si="7"/>
        <v>-646103.182194593</v>
      </c>
      <c r="G15" s="146">
        <f>+G9-G10-G14</f>
        <v>301878.806289505</v>
      </c>
      <c r="H15" s="146">
        <f t="shared" si="7"/>
        <v>329403.539947648</v>
      </c>
      <c r="I15" s="146">
        <f t="shared" si="0"/>
        <v>4623674.43806397</v>
      </c>
      <c r="T15" s="147" t="s">
        <v>79</v>
      </c>
      <c r="AJ15" s="143" t="s">
        <v>80</v>
      </c>
      <c r="AK15" s="147" t="s">
        <v>79</v>
      </c>
    </row>
    <row r="16" spans="1:37">
      <c r="A16" s="139">
        <v>10</v>
      </c>
      <c r="B16" s="143" t="s">
        <v>81</v>
      </c>
      <c r="C16" s="148">
        <f t="shared" ref="C16:I16" si="8">+C15/C9</f>
        <v>0.140209662297093</v>
      </c>
      <c r="D16" s="148">
        <f t="shared" si="8"/>
        <v>0.0129598328832391</v>
      </c>
      <c r="E16" s="148">
        <f t="shared" si="8"/>
        <v>0.14405501471672</v>
      </c>
      <c r="F16" s="148">
        <f t="shared" si="8"/>
        <v>-0.0924179574308181</v>
      </c>
      <c r="G16" s="148">
        <f t="shared" si="8"/>
        <v>0.487372951710534</v>
      </c>
      <c r="H16" s="148">
        <f t="shared" si="8"/>
        <v>0.53181068767783</v>
      </c>
      <c r="I16" s="148">
        <f t="shared" si="8"/>
        <v>0.100718726595275</v>
      </c>
      <c r="T16" s="143" t="s">
        <v>81</v>
      </c>
      <c r="AJ16" s="143" t="s">
        <v>82</v>
      </c>
      <c r="AK16" s="143" t="s">
        <v>81</v>
      </c>
    </row>
    <row r="17" spans="1:37">
      <c r="A17" s="139">
        <v>11</v>
      </c>
      <c r="B17" s="143" t="s">
        <v>83</v>
      </c>
      <c r="C17" s="146">
        <f t="shared" ref="C17:H17" si="9">C6*C43+C18</f>
        <v>417574.051515152</v>
      </c>
      <c r="D17" s="146">
        <f t="shared" si="9"/>
        <v>325370.503030303</v>
      </c>
      <c r="E17" s="146">
        <f t="shared" si="9"/>
        <v>1025634.1030303</v>
      </c>
      <c r="F17" s="146">
        <f t="shared" si="9"/>
        <v>376165.403030303</v>
      </c>
      <c r="G17" s="146">
        <f t="shared" si="9"/>
        <v>114925.703030303</v>
      </c>
      <c r="H17" s="146">
        <f>H6*H43+H18</f>
        <v>114925.703030303</v>
      </c>
      <c r="I17" s="146">
        <f>+SUM(C17:H17)</f>
        <v>2374595.46666667</v>
      </c>
      <c r="J17" s="163"/>
      <c r="T17" s="143" t="s">
        <v>83</v>
      </c>
      <c r="AJ17" s="143" t="s">
        <v>84</v>
      </c>
      <c r="AK17" s="143" t="s">
        <v>83</v>
      </c>
    </row>
    <row r="18" s="135" customFormat="1" spans="1:12">
      <c r="A18" s="139">
        <v>12</v>
      </c>
      <c r="B18" s="149" t="s">
        <v>167</v>
      </c>
      <c r="C18" s="150">
        <f t="shared" ref="C18:H18" si="10">$I$18/$I$6*C6</f>
        <v>44765.1515151515</v>
      </c>
      <c r="D18" s="150">
        <f t="shared" si="10"/>
        <v>89530.303030303</v>
      </c>
      <c r="E18" s="150">
        <f t="shared" si="10"/>
        <v>89530.303030303</v>
      </c>
      <c r="F18" s="150">
        <f t="shared" si="10"/>
        <v>89530.303030303</v>
      </c>
      <c r="G18" s="150">
        <f t="shared" si="10"/>
        <v>89530.303030303</v>
      </c>
      <c r="H18" s="150">
        <f t="shared" si="10"/>
        <v>89530.303030303</v>
      </c>
      <c r="I18" s="146">
        <f>项目投资!D26</f>
        <v>492416.666666667</v>
      </c>
      <c r="J18" s="165" t="s">
        <v>168</v>
      </c>
      <c r="K18" s="165"/>
      <c r="L18" s="165"/>
    </row>
    <row r="19" spans="1:38">
      <c r="A19" s="139">
        <v>13</v>
      </c>
      <c r="B19" s="143" t="s">
        <v>85</v>
      </c>
      <c r="C19" s="146">
        <f t="shared" ref="C19:H19" si="11">C6*C44</f>
        <v>63650.3</v>
      </c>
      <c r="D19" s="146">
        <f t="shared" si="11"/>
        <v>40265.4</v>
      </c>
      <c r="E19" s="146">
        <f t="shared" si="11"/>
        <v>159822.6</v>
      </c>
      <c r="F19" s="146">
        <f t="shared" si="11"/>
        <v>48937.7</v>
      </c>
      <c r="G19" s="146">
        <f t="shared" si="11"/>
        <v>4335.8</v>
      </c>
      <c r="H19" s="146">
        <f t="shared" si="11"/>
        <v>4335.8</v>
      </c>
      <c r="I19" s="146">
        <f>+SUM(C19:H19)</f>
        <v>321347.6</v>
      </c>
      <c r="J19" s="135"/>
      <c r="T19" s="143" t="s">
        <v>85</v>
      </c>
      <c r="AJ19" s="143" t="s">
        <v>86</v>
      </c>
      <c r="AK19" s="143" t="s">
        <v>85</v>
      </c>
      <c r="AL19" s="137" t="s">
        <v>58</v>
      </c>
    </row>
    <row r="20" spans="1:37">
      <c r="A20" s="139">
        <v>14</v>
      </c>
      <c r="B20" s="143" t="s">
        <v>87</v>
      </c>
      <c r="C20" s="146">
        <f t="shared" ref="C20:H20" si="12">C6*C45</f>
        <v>309158.6</v>
      </c>
      <c r="D20" s="146">
        <f t="shared" si="12"/>
        <v>195574.8</v>
      </c>
      <c r="E20" s="146">
        <f t="shared" si="12"/>
        <v>776281.2</v>
      </c>
      <c r="F20" s="146">
        <f t="shared" si="12"/>
        <v>237697.4</v>
      </c>
      <c r="G20" s="146">
        <f t="shared" si="12"/>
        <v>21059.6</v>
      </c>
      <c r="H20" s="146">
        <f t="shared" si="12"/>
        <v>21059.6</v>
      </c>
      <c r="I20" s="146">
        <f>+SUM(C20:H20)</f>
        <v>1560831.2</v>
      </c>
      <c r="T20" s="143" t="s">
        <v>87</v>
      </c>
      <c r="AJ20" s="143" t="s">
        <v>88</v>
      </c>
      <c r="AK20" s="143" t="s">
        <v>87</v>
      </c>
    </row>
    <row r="21" spans="1:37">
      <c r="A21" s="139">
        <v>15</v>
      </c>
      <c r="B21" s="143" t="s">
        <v>89</v>
      </c>
      <c r="C21" s="151">
        <f t="shared" ref="C21:H21" si="13">$I$21/$I$6*C6</f>
        <v>909.090909090909</v>
      </c>
      <c r="D21" s="151">
        <f t="shared" si="13"/>
        <v>1818.18181818182</v>
      </c>
      <c r="E21" s="151">
        <f t="shared" si="13"/>
        <v>1818.18181818182</v>
      </c>
      <c r="F21" s="151">
        <f t="shared" si="13"/>
        <v>1818.18181818182</v>
      </c>
      <c r="G21" s="151">
        <f t="shared" si="13"/>
        <v>1818.18181818182</v>
      </c>
      <c r="H21" s="151">
        <f t="shared" si="13"/>
        <v>1818.18181818182</v>
      </c>
      <c r="I21" s="146">
        <f>项目投资!D27</f>
        <v>10000</v>
      </c>
      <c r="T21" s="143" t="s">
        <v>89</v>
      </c>
      <c r="AJ21" s="143"/>
      <c r="AK21" s="143"/>
    </row>
    <row r="22" spans="1:37">
      <c r="A22" s="139">
        <v>16</v>
      </c>
      <c r="B22" s="143" t="s">
        <v>90</v>
      </c>
      <c r="C22" s="146">
        <f t="shared" ref="C22:H22" si="14">C6*C47</f>
        <v>272787</v>
      </c>
      <c r="D22" s="146">
        <f t="shared" si="14"/>
        <v>172566</v>
      </c>
      <c r="E22" s="146">
        <f t="shared" si="14"/>
        <v>684954</v>
      </c>
      <c r="F22" s="146">
        <f t="shared" si="14"/>
        <v>209733</v>
      </c>
      <c r="G22" s="146">
        <f t="shared" si="14"/>
        <v>18582</v>
      </c>
      <c r="H22" s="146">
        <f t="shared" si="14"/>
        <v>18582</v>
      </c>
      <c r="I22" s="146">
        <f>+SUM(C22:H22)</f>
        <v>1377204</v>
      </c>
      <c r="T22" s="143" t="s">
        <v>90</v>
      </c>
      <c r="AJ22" s="143" t="s">
        <v>91</v>
      </c>
      <c r="AK22" s="143" t="s">
        <v>90</v>
      </c>
    </row>
    <row r="23" spans="1:37">
      <c r="A23" s="139">
        <v>17</v>
      </c>
      <c r="B23" s="147" t="s">
        <v>92</v>
      </c>
      <c r="C23" s="151">
        <f t="shared" ref="C23:N23" si="15">+C22+C21+C20+C19+C17</f>
        <v>1064079.04242424</v>
      </c>
      <c r="D23" s="151">
        <f t="shared" si="15"/>
        <v>735594.884848485</v>
      </c>
      <c r="E23" s="151">
        <f t="shared" si="15"/>
        <v>2648510.08484848</v>
      </c>
      <c r="F23" s="151">
        <f t="shared" si="15"/>
        <v>874351.684848485</v>
      </c>
      <c r="G23" s="151">
        <f t="shared" si="15"/>
        <v>160721.284848485</v>
      </c>
      <c r="H23" s="151">
        <f t="shared" si="15"/>
        <v>160721.284848485</v>
      </c>
      <c r="I23" s="151">
        <f>+I22+I21+I20+I19+I17</f>
        <v>5643978.26666667</v>
      </c>
      <c r="T23" s="147" t="s">
        <v>92</v>
      </c>
      <c r="AJ23" s="143" t="s">
        <v>93</v>
      </c>
      <c r="AK23" s="147" t="s">
        <v>92</v>
      </c>
    </row>
    <row r="24" spans="1:37">
      <c r="A24" s="139">
        <v>18</v>
      </c>
      <c r="B24" s="152" t="s">
        <v>94</v>
      </c>
      <c r="C24" s="151">
        <f>+C15-C23</f>
        <v>210833.395876996</v>
      </c>
      <c r="D24" s="151">
        <f t="shared" ref="C24:I24" si="16">+D15-D23</f>
        <v>-661047.334137517</v>
      </c>
      <c r="E24" s="151">
        <f t="shared" si="16"/>
        <v>640525.200160717</v>
      </c>
      <c r="F24" s="151">
        <f t="shared" si="16"/>
        <v>-1520454.86704308</v>
      </c>
      <c r="G24" s="151">
        <f>+G15-G23</f>
        <v>141157.52144102</v>
      </c>
      <c r="H24" s="151">
        <f>+H15-H23</f>
        <v>168682.255099163</v>
      </c>
      <c r="I24" s="151">
        <f>+I15-I23</f>
        <v>-1020303.8286027</v>
      </c>
      <c r="K24" s="166"/>
      <c r="T24" s="143" t="s">
        <v>94</v>
      </c>
      <c r="AJ24" s="143" t="s">
        <v>95</v>
      </c>
      <c r="AK24" s="143" t="s">
        <v>94</v>
      </c>
    </row>
    <row r="25" spans="1:37">
      <c r="A25" s="139">
        <v>19</v>
      </c>
      <c r="B25" s="143" t="s">
        <v>169</v>
      </c>
      <c r="C25" s="151">
        <f t="shared" ref="C25:I25" si="17">IF(C24&lt;0,0,C24*0.25)</f>
        <v>52708.3489692491</v>
      </c>
      <c r="D25" s="151">
        <f t="shared" si="17"/>
        <v>0</v>
      </c>
      <c r="E25" s="151">
        <f t="shared" si="17"/>
        <v>160131.300040179</v>
      </c>
      <c r="F25" s="151">
        <f t="shared" si="17"/>
        <v>0</v>
      </c>
      <c r="G25" s="151">
        <f t="shared" si="17"/>
        <v>35289.380360255</v>
      </c>
      <c r="H25" s="151">
        <f t="shared" si="17"/>
        <v>42170.5637747908</v>
      </c>
      <c r="I25" s="151">
        <f t="shared" si="17"/>
        <v>0</v>
      </c>
      <c r="J25" s="2"/>
      <c r="K25" s="2"/>
      <c r="L25" s="2"/>
      <c r="T25" s="143" t="s">
        <v>38</v>
      </c>
      <c r="AJ25" s="143" t="s">
        <v>96</v>
      </c>
      <c r="AK25" s="143" t="s">
        <v>38</v>
      </c>
    </row>
    <row r="26" spans="1:37">
      <c r="A26" s="139">
        <v>20</v>
      </c>
      <c r="B26" s="143" t="s">
        <v>97</v>
      </c>
      <c r="C26" s="151">
        <f t="shared" ref="C26:H26" si="18">C24-C25</f>
        <v>158125.046907747</v>
      </c>
      <c r="D26" s="151">
        <f t="shared" si="18"/>
        <v>-661047.334137517</v>
      </c>
      <c r="E26" s="151">
        <f t="shared" si="18"/>
        <v>480393.900120538</v>
      </c>
      <c r="F26" s="151">
        <f t="shared" si="18"/>
        <v>-1520454.86704308</v>
      </c>
      <c r="G26" s="151">
        <f t="shared" si="18"/>
        <v>105868.141080765</v>
      </c>
      <c r="H26" s="151">
        <f t="shared" si="18"/>
        <v>126511.691324372</v>
      </c>
      <c r="I26" s="146">
        <f>+SUM(C26:H26)</f>
        <v>-1310603.42174717</v>
      </c>
      <c r="J26" s="2"/>
      <c r="K26" s="2"/>
      <c r="L26" s="2"/>
      <c r="T26" s="143" t="s">
        <v>97</v>
      </c>
      <c r="AJ26" s="143" t="s">
        <v>98</v>
      </c>
      <c r="AK26" s="143" t="s">
        <v>97</v>
      </c>
    </row>
    <row r="27" spans="1:37">
      <c r="A27" s="139">
        <v>21</v>
      </c>
      <c r="B27" s="143" t="s">
        <v>101</v>
      </c>
      <c r="C27" s="153">
        <f>C26/C7</f>
        <v>0.0173899467615114</v>
      </c>
      <c r="D27" s="153">
        <f>D26/D7</f>
        <v>-0.114920784071749</v>
      </c>
      <c r="E27" s="153">
        <f t="shared" ref="C27:I27" si="19">E26/E7</f>
        <v>0.0210405618532283</v>
      </c>
      <c r="F27" s="153">
        <f t="shared" si="19"/>
        <v>-0.217484353970488</v>
      </c>
      <c r="G27" s="153">
        <f t="shared" si="19"/>
        <v>0.170920473168817</v>
      </c>
      <c r="H27" s="153">
        <f t="shared" si="19"/>
        <v>0.204248775144289</v>
      </c>
      <c r="I27" s="153">
        <f t="shared" si="19"/>
        <v>-0.0285492219398253</v>
      </c>
      <c r="J27" s="2"/>
      <c r="K27" s="2"/>
      <c r="L27" s="2"/>
      <c r="T27" s="143" t="s">
        <v>101</v>
      </c>
      <c r="AJ27" s="143" t="s">
        <v>100</v>
      </c>
      <c r="AK27" s="143" t="s">
        <v>101</v>
      </c>
    </row>
    <row r="28" spans="10:20">
      <c r="J28" s="2"/>
      <c r="K28" s="2"/>
      <c r="L28" s="2"/>
      <c r="T28" s="143"/>
    </row>
    <row r="29" spans="1:36">
      <c r="A29" s="137" t="s">
        <v>102</v>
      </c>
      <c r="I29" s="138" t="s">
        <v>170</v>
      </c>
      <c r="J29" s="2"/>
      <c r="K29" s="2"/>
      <c r="L29" s="2"/>
      <c r="T29" s="143"/>
      <c r="AJ29" s="137" t="s">
        <v>102</v>
      </c>
    </row>
    <row r="30" spans="1:37">
      <c r="A30" s="143" t="s">
        <v>103</v>
      </c>
      <c r="B30" s="147" t="s">
        <v>104</v>
      </c>
      <c r="C30" s="151"/>
      <c r="D30" s="151"/>
      <c r="E30" s="151"/>
      <c r="F30" s="151"/>
      <c r="G30" s="151"/>
      <c r="H30" s="151"/>
      <c r="I30" s="151"/>
      <c r="J30" s="2"/>
      <c r="K30" s="2"/>
      <c r="L30" s="2"/>
      <c r="N30" s="2"/>
      <c r="T30" s="147" t="s">
        <v>104</v>
      </c>
      <c r="AJ30" s="143" t="s">
        <v>105</v>
      </c>
      <c r="AK30" s="147" t="s">
        <v>104</v>
      </c>
    </row>
    <row r="31" spans="1:37">
      <c r="A31" s="139">
        <v>1</v>
      </c>
      <c r="B31" s="149" t="s">
        <v>106</v>
      </c>
      <c r="C31" s="154">
        <f>销量!C8</f>
        <v>1818.58</v>
      </c>
      <c r="D31" s="154">
        <f>销量!D8</f>
        <v>575.22</v>
      </c>
      <c r="E31" s="154">
        <f>销量!E8</f>
        <v>2283.18</v>
      </c>
      <c r="F31" s="154">
        <f>销量!F8</f>
        <v>699.11</v>
      </c>
      <c r="G31" s="154">
        <f>销量!G8</f>
        <v>61.94</v>
      </c>
      <c r="H31" s="154">
        <f>销量!H8</f>
        <v>61.94</v>
      </c>
      <c r="I31" s="151"/>
      <c r="J31" s="2"/>
      <c r="K31" s="2"/>
      <c r="L31" s="2"/>
      <c r="N31" s="2"/>
      <c r="T31" s="143" t="s">
        <v>106</v>
      </c>
      <c r="AJ31" s="143" t="s">
        <v>60</v>
      </c>
      <c r="AK31" s="143" t="s">
        <v>106</v>
      </c>
    </row>
    <row r="32" spans="1:37">
      <c r="A32" s="139">
        <v>2</v>
      </c>
      <c r="B32" s="143" t="s">
        <v>171</v>
      </c>
      <c r="C32" s="146">
        <f>C31*1</f>
        <v>1818.58</v>
      </c>
      <c r="D32" s="146">
        <f t="shared" ref="D32:H32" si="20">D31*1</f>
        <v>575.22</v>
      </c>
      <c r="E32" s="146">
        <f t="shared" si="20"/>
        <v>2283.18</v>
      </c>
      <c r="F32" s="146">
        <f t="shared" si="20"/>
        <v>699.11</v>
      </c>
      <c r="G32" s="146">
        <f t="shared" si="20"/>
        <v>61.94</v>
      </c>
      <c r="H32" s="146">
        <f t="shared" si="20"/>
        <v>61.94</v>
      </c>
      <c r="I32" s="151"/>
      <c r="J32" s="2"/>
      <c r="K32" s="2"/>
      <c r="L32" s="2"/>
      <c r="M32" s="2"/>
      <c r="N32" s="2"/>
      <c r="O32" s="2"/>
      <c r="P32" s="2"/>
      <c r="AJ32" s="143"/>
      <c r="AK32" s="143"/>
    </row>
    <row r="33" spans="1:37">
      <c r="A33" s="139">
        <v>3</v>
      </c>
      <c r="B33" s="149" t="s">
        <v>107</v>
      </c>
      <c r="C33" s="146">
        <f>材料成本!D24</f>
        <v>1365.73600833975</v>
      </c>
      <c r="D33" s="146">
        <f>材料成本!E24</f>
        <v>505.181308928903</v>
      </c>
      <c r="E33" s="146">
        <f>材料成本!F24</f>
        <v>1705.86648749908</v>
      </c>
      <c r="F33" s="146">
        <f>材料成本!G24</f>
        <v>687.657150219459</v>
      </c>
      <c r="G33" s="146">
        <f>材料成本!H24</f>
        <v>25.0130473710495</v>
      </c>
      <c r="H33" s="146">
        <f>材料成本!I24</f>
        <v>22.2605740052352</v>
      </c>
      <c r="I33" s="151"/>
      <c r="K33" s="2"/>
      <c r="L33" s="2"/>
      <c r="M33" s="2"/>
      <c r="N33" s="2"/>
      <c r="O33" s="2"/>
      <c r="P33" s="2"/>
      <c r="T33" s="143" t="s">
        <v>107</v>
      </c>
      <c r="AJ33" s="143" t="s">
        <v>62</v>
      </c>
      <c r="AK33" s="143" t="s">
        <v>107</v>
      </c>
    </row>
    <row r="34" ht="17.25" customHeight="1" spans="1:37">
      <c r="A34" s="139">
        <v>4</v>
      </c>
      <c r="B34" s="143" t="s">
        <v>109</v>
      </c>
      <c r="C34" s="155">
        <f>C32-C33</f>
        <v>452.843991660248</v>
      </c>
      <c r="D34" s="155">
        <f t="shared" ref="C34:H34" si="21">D32-D33</f>
        <v>70.0386910710968</v>
      </c>
      <c r="E34" s="155">
        <f t="shared" si="21"/>
        <v>577.31351250092</v>
      </c>
      <c r="F34" s="155">
        <f t="shared" si="21"/>
        <v>11.4528497805408</v>
      </c>
      <c r="G34" s="155">
        <f t="shared" si="21"/>
        <v>36.9269526289505</v>
      </c>
      <c r="H34" s="155">
        <f t="shared" si="21"/>
        <v>39.6794259947648</v>
      </c>
      <c r="I34" s="151"/>
      <c r="K34" s="2"/>
      <c r="L34" s="2"/>
      <c r="M34" s="2"/>
      <c r="N34" s="2"/>
      <c r="O34" s="2"/>
      <c r="P34" s="2"/>
      <c r="T34" s="143" t="s">
        <v>109</v>
      </c>
      <c r="AJ34" s="143" t="s">
        <v>108</v>
      </c>
      <c r="AK34" s="143" t="s">
        <v>109</v>
      </c>
    </row>
    <row r="35" spans="1:37">
      <c r="A35" s="143" t="s">
        <v>105</v>
      </c>
      <c r="B35" s="147" t="s">
        <v>10</v>
      </c>
      <c r="C35" s="151"/>
      <c r="D35" s="151"/>
      <c r="E35" s="151"/>
      <c r="F35" s="151"/>
      <c r="G35" s="151"/>
      <c r="H35" s="151"/>
      <c r="I35" s="151"/>
      <c r="J35" s="2"/>
      <c r="K35" s="2"/>
      <c r="L35" s="2"/>
      <c r="M35" s="2"/>
      <c r="N35" s="2"/>
      <c r="O35" s="2"/>
      <c r="P35" s="2"/>
      <c r="Q35" s="2"/>
      <c r="R35" s="2"/>
      <c r="S35" s="2"/>
      <c r="T35" s="147" t="s">
        <v>10</v>
      </c>
      <c r="AJ35" s="143" t="s">
        <v>111</v>
      </c>
      <c r="AK35" s="147" t="s">
        <v>10</v>
      </c>
    </row>
    <row r="36" spans="1:37">
      <c r="A36" s="139">
        <v>1</v>
      </c>
      <c r="B36" s="143" t="s">
        <v>112</v>
      </c>
      <c r="C36" s="150">
        <f>标准成本!E4</f>
        <v>78.380798</v>
      </c>
      <c r="D36" s="150">
        <f>标准成本!E16</f>
        <v>24.791982</v>
      </c>
      <c r="E36" s="150">
        <f>标准成本!E29</f>
        <v>98.405058</v>
      </c>
      <c r="F36" s="150">
        <f>标准成本!E42</f>
        <v>30.131641</v>
      </c>
      <c r="G36" s="150">
        <f>标准成本!E55</f>
        <v>2.669614</v>
      </c>
      <c r="H36" s="150">
        <f>标准成本!E68</f>
        <v>2.669614</v>
      </c>
      <c r="I36" s="154"/>
      <c r="J36" s="2"/>
      <c r="K36" s="2"/>
      <c r="L36" s="2"/>
      <c r="M36" s="2"/>
      <c r="N36" s="2"/>
      <c r="O36" s="2"/>
      <c r="P36" s="2"/>
      <c r="Q36" s="2"/>
      <c r="R36" s="2"/>
      <c r="S36" s="2"/>
      <c r="T36" s="143" t="s">
        <v>112</v>
      </c>
      <c r="AJ36" s="143" t="s">
        <v>108</v>
      </c>
      <c r="AK36" s="143" t="s">
        <v>112</v>
      </c>
    </row>
    <row r="37" spans="1:37">
      <c r="A37" s="139">
        <v>2</v>
      </c>
      <c r="B37" s="143" t="s">
        <v>113</v>
      </c>
      <c r="C37" s="150">
        <f>标准成本!E6</f>
        <v>39.463186</v>
      </c>
      <c r="D37" s="150">
        <f>标准成本!E18</f>
        <v>12.482274</v>
      </c>
      <c r="E37" s="150">
        <f>标准成本!E31</f>
        <v>49.545006</v>
      </c>
      <c r="F37" s="150">
        <f>标准成本!E44</f>
        <v>15.170687</v>
      </c>
      <c r="G37" s="150">
        <f>标准成本!E57</f>
        <v>1.344098</v>
      </c>
      <c r="H37" s="150">
        <f>标准成本!E70</f>
        <v>1.344098</v>
      </c>
      <c r="I37" s="154"/>
      <c r="J37" s="2"/>
      <c r="K37" s="2"/>
      <c r="L37" s="2"/>
      <c r="M37" s="2"/>
      <c r="N37" s="2"/>
      <c r="O37" s="2"/>
      <c r="P37" s="2"/>
      <c r="Q37" s="2"/>
      <c r="R37" s="2"/>
      <c r="S37" s="2"/>
      <c r="T37" s="143" t="s">
        <v>113</v>
      </c>
      <c r="AJ37" s="143" t="s">
        <v>65</v>
      </c>
      <c r="AK37" s="143" t="s">
        <v>113</v>
      </c>
    </row>
    <row r="38" spans="1:37">
      <c r="A38" s="139">
        <v>3</v>
      </c>
      <c r="B38" s="143" t="s">
        <v>114</v>
      </c>
      <c r="C38" s="150">
        <f>标准成本!E10</f>
        <v>80.01752</v>
      </c>
      <c r="D38" s="150">
        <f>标准成本!E22</f>
        <v>25.30968</v>
      </c>
      <c r="E38" s="150">
        <f>标准成本!E35</f>
        <v>100.45992</v>
      </c>
      <c r="F38" s="150">
        <f>标准成本!E48</f>
        <v>30.76084</v>
      </c>
      <c r="G38" s="150">
        <f>标准成本!E61</f>
        <v>2.72536</v>
      </c>
      <c r="H38" s="150">
        <f>标准成本!E74</f>
        <v>2.72536</v>
      </c>
      <c r="I38" s="154"/>
      <c r="J38" s="2"/>
      <c r="K38" s="2"/>
      <c r="L38" s="2"/>
      <c r="M38" s="2"/>
      <c r="N38" s="2"/>
      <c r="O38" s="2"/>
      <c r="P38" s="2"/>
      <c r="Q38" s="2"/>
      <c r="R38" s="2"/>
      <c r="S38" s="2"/>
      <c r="T38" s="143" t="s">
        <v>114</v>
      </c>
      <c r="AJ38" s="143" t="s">
        <v>72</v>
      </c>
      <c r="AK38" s="143" t="s">
        <v>114</v>
      </c>
    </row>
    <row r="39" spans="1:37">
      <c r="A39" s="143" t="s">
        <v>111</v>
      </c>
      <c r="B39" s="147" t="s">
        <v>116</v>
      </c>
      <c r="C39" s="151"/>
      <c r="D39" s="151"/>
      <c r="E39" s="151"/>
      <c r="F39" s="151"/>
      <c r="G39" s="151"/>
      <c r="H39" s="151"/>
      <c r="I39" s="151"/>
      <c r="T39" s="147" t="s">
        <v>116</v>
      </c>
      <c r="AJ39" s="143" t="s">
        <v>115</v>
      </c>
      <c r="AK39" s="147" t="s">
        <v>116</v>
      </c>
    </row>
    <row r="40" spans="1:37">
      <c r="A40" s="139">
        <v>1</v>
      </c>
      <c r="B40" s="143" t="s">
        <v>118</v>
      </c>
      <c r="C40" s="151">
        <f>C34-C36-C37-C38</f>
        <v>254.982487660248</v>
      </c>
      <c r="D40" s="151">
        <f t="shared" ref="D40:H40" si="22">D34-D36-D37-D38</f>
        <v>7.45475507109681</v>
      </c>
      <c r="E40" s="151">
        <f t="shared" si="22"/>
        <v>328.90352850092</v>
      </c>
      <c r="F40" s="151">
        <f t="shared" si="22"/>
        <v>-64.6103182194592</v>
      </c>
      <c r="G40" s="151">
        <f t="shared" si="22"/>
        <v>30.1878806289505</v>
      </c>
      <c r="H40" s="151">
        <f t="shared" si="22"/>
        <v>32.9403539947648</v>
      </c>
      <c r="I40" s="151"/>
      <c r="T40" s="143" t="s">
        <v>118</v>
      </c>
      <c r="AJ40" s="143" t="s">
        <v>60</v>
      </c>
      <c r="AK40" s="143" t="s">
        <v>118</v>
      </c>
    </row>
    <row r="41" spans="1:37">
      <c r="A41" s="139">
        <v>2</v>
      </c>
      <c r="B41" s="143" t="s">
        <v>119</v>
      </c>
      <c r="C41" s="151"/>
      <c r="D41" s="151"/>
      <c r="E41" s="151"/>
      <c r="F41" s="151"/>
      <c r="G41" s="151"/>
      <c r="H41" s="151"/>
      <c r="I41" s="151"/>
      <c r="T41" s="143" t="s">
        <v>119</v>
      </c>
      <c r="AJ41" s="143" t="s">
        <v>62</v>
      </c>
      <c r="AK41" s="143" t="s">
        <v>119</v>
      </c>
    </row>
    <row r="42" spans="1:37">
      <c r="A42" s="143" t="s">
        <v>115</v>
      </c>
      <c r="B42" s="147" t="s">
        <v>121</v>
      </c>
      <c r="C42" s="151"/>
      <c r="D42" s="151"/>
      <c r="E42" s="151"/>
      <c r="F42" s="151"/>
      <c r="G42" s="151"/>
      <c r="H42" s="151"/>
      <c r="I42" s="151"/>
      <c r="T42" s="147" t="s">
        <v>121</v>
      </c>
      <c r="AJ42" s="143" t="s">
        <v>120</v>
      </c>
      <c r="AK42" s="147" t="s">
        <v>121</v>
      </c>
    </row>
    <row r="43" spans="1:37">
      <c r="A43" s="139">
        <v>1</v>
      </c>
      <c r="B43" s="152" t="s">
        <v>122</v>
      </c>
      <c r="C43" s="150">
        <f>标准成本!E5</f>
        <v>74.56178</v>
      </c>
      <c r="D43" s="150">
        <f>标准成本!E17</f>
        <v>23.58402</v>
      </c>
      <c r="E43" s="150">
        <f>标准成本!E30</f>
        <v>93.61038</v>
      </c>
      <c r="F43" s="150">
        <f>标准成本!E43</f>
        <v>28.66351</v>
      </c>
      <c r="G43" s="150">
        <f>标准成本!E56</f>
        <v>2.53954</v>
      </c>
      <c r="H43" s="150">
        <f>标准成本!E69</f>
        <v>2.53954</v>
      </c>
      <c r="I43" s="151"/>
      <c r="T43" s="143" t="s">
        <v>122</v>
      </c>
      <c r="AJ43" s="143" t="s">
        <v>60</v>
      </c>
      <c r="AK43" s="143" t="s">
        <v>122</v>
      </c>
    </row>
    <row r="44" spans="1:37">
      <c r="A44" s="139">
        <v>2</v>
      </c>
      <c r="B44" s="152" t="s">
        <v>123</v>
      </c>
      <c r="C44" s="150">
        <f>标准成本!E9</f>
        <v>12.73006</v>
      </c>
      <c r="D44" s="150">
        <f>标准成本!E21</f>
        <v>4.02654</v>
      </c>
      <c r="E44" s="150">
        <f>标准成本!E34</f>
        <v>15.98226</v>
      </c>
      <c r="F44" s="150">
        <f>标准成本!E47</f>
        <v>4.89377</v>
      </c>
      <c r="G44" s="150">
        <f>标准成本!E60</f>
        <v>0.43358</v>
      </c>
      <c r="H44" s="150">
        <f>标准成本!E73</f>
        <v>0.43358</v>
      </c>
      <c r="I44" s="151"/>
      <c r="T44" s="143" t="s">
        <v>123</v>
      </c>
      <c r="AJ44" s="143" t="s">
        <v>62</v>
      </c>
      <c r="AK44" s="143" t="s">
        <v>123</v>
      </c>
    </row>
    <row r="45" spans="1:37">
      <c r="A45" s="139">
        <v>3</v>
      </c>
      <c r="B45" s="152" t="s">
        <v>124</v>
      </c>
      <c r="C45" s="150">
        <f>标准成本!E8</f>
        <v>61.83172</v>
      </c>
      <c r="D45" s="150">
        <f>标准成本!E20</f>
        <v>19.55748</v>
      </c>
      <c r="E45" s="150">
        <f>标准成本!E33</f>
        <v>77.62812</v>
      </c>
      <c r="F45" s="150">
        <f>标准成本!E46</f>
        <v>23.76974</v>
      </c>
      <c r="G45" s="150">
        <f>标准成本!E59</f>
        <v>2.10596</v>
      </c>
      <c r="H45" s="150">
        <f>标准成本!E72</f>
        <v>2.10596</v>
      </c>
      <c r="I45" s="151"/>
      <c r="T45" s="143" t="s">
        <v>124</v>
      </c>
      <c r="AJ45" s="143" t="s">
        <v>108</v>
      </c>
      <c r="AK45" s="143" t="s">
        <v>124</v>
      </c>
    </row>
    <row r="46" s="136" customFormat="1" spans="1:37">
      <c r="A46" s="139">
        <v>4</v>
      </c>
      <c r="B46" s="152" t="s">
        <v>125</v>
      </c>
      <c r="C46" s="156">
        <f t="shared" ref="C46:H46" si="23">C21/C6</f>
        <v>0.181818181818182</v>
      </c>
      <c r="D46" s="156">
        <f t="shared" si="23"/>
        <v>0.181818181818182</v>
      </c>
      <c r="E46" s="156">
        <f t="shared" si="23"/>
        <v>0.181818181818182</v>
      </c>
      <c r="F46" s="156">
        <f t="shared" si="23"/>
        <v>0.181818181818182</v>
      </c>
      <c r="G46" s="156">
        <f t="shared" si="23"/>
        <v>0.181818181818182</v>
      </c>
      <c r="H46" s="156">
        <f t="shared" si="23"/>
        <v>0.181818181818182</v>
      </c>
      <c r="I46" s="156"/>
      <c r="T46" s="152" t="s">
        <v>127</v>
      </c>
      <c r="AJ46" s="152" t="s">
        <v>68</v>
      </c>
      <c r="AK46" s="152" t="s">
        <v>127</v>
      </c>
    </row>
    <row r="47" s="136" customFormat="1" spans="1:37">
      <c r="A47" s="139">
        <v>5</v>
      </c>
      <c r="B47" s="152" t="s">
        <v>127</v>
      </c>
      <c r="C47" s="156">
        <f>标准成本!E11</f>
        <v>54.5574</v>
      </c>
      <c r="D47" s="156">
        <f>标准成本!E23</f>
        <v>17.2566</v>
      </c>
      <c r="E47" s="156">
        <f>标准成本!E36</f>
        <v>68.4954</v>
      </c>
      <c r="F47" s="156">
        <f>标准成本!E49</f>
        <v>20.9733</v>
      </c>
      <c r="G47" s="156">
        <f>标准成本!E62</f>
        <v>1.8582</v>
      </c>
      <c r="H47" s="156">
        <f>标准成本!E75</f>
        <v>1.8582</v>
      </c>
      <c r="I47" s="156"/>
      <c r="T47" s="152" t="s">
        <v>127</v>
      </c>
      <c r="AJ47" s="152" t="s">
        <v>68</v>
      </c>
      <c r="AK47" s="152" t="s">
        <v>127</v>
      </c>
    </row>
    <row r="48" spans="1:37">
      <c r="A48" s="143" t="s">
        <v>120</v>
      </c>
      <c r="B48" s="147" t="s">
        <v>138</v>
      </c>
      <c r="C48" s="151">
        <f>C40-C43-C44-C45-C47-C46</f>
        <v>51.1197094784294</v>
      </c>
      <c r="D48" s="151">
        <f t="shared" ref="C48:H48" si="24">D40-D43-D44-D45-D47-D46</f>
        <v>-57.1517031107214</v>
      </c>
      <c r="E48" s="151">
        <f>E40-E43-E44-E45-E47-E46</f>
        <v>73.0055503191017</v>
      </c>
      <c r="F48" s="151">
        <f>F40-F43-F44-F45-F47-F46</f>
        <v>-143.092456401277</v>
      </c>
      <c r="G48" s="151">
        <f t="shared" si="24"/>
        <v>23.0687824471323</v>
      </c>
      <c r="H48" s="151">
        <f t="shared" si="24"/>
        <v>25.8212558129466</v>
      </c>
      <c r="I48" s="151"/>
      <c r="T48" s="147" t="s">
        <v>138</v>
      </c>
      <c r="AJ48" s="143" t="s">
        <v>137</v>
      </c>
      <c r="AK48" s="147" t="s">
        <v>138</v>
      </c>
    </row>
    <row r="51" spans="3:8">
      <c r="C51" s="157"/>
      <c r="D51" s="157"/>
      <c r="E51" s="157"/>
      <c r="F51" s="157"/>
      <c r="G51" s="157"/>
      <c r="H51" s="157"/>
    </row>
    <row r="54" spans="2:14">
      <c r="B54" s="2"/>
      <c r="C54" s="158"/>
      <c r="D54" s="158"/>
      <c r="E54" s="158"/>
      <c r="F54" s="158"/>
      <c r="G54" s="158"/>
      <c r="H54" s="158"/>
      <c r="I54" s="158"/>
      <c r="J54" s="2"/>
      <c r="K54" s="2"/>
      <c r="L54" s="2"/>
      <c r="M54" s="2"/>
      <c r="N54" s="2"/>
    </row>
    <row r="55" spans="2:14">
      <c r="B55" s="2"/>
      <c r="C55" s="158"/>
      <c r="D55" s="158"/>
      <c r="E55" s="158"/>
      <c r="F55" s="158"/>
      <c r="G55" s="158"/>
      <c r="H55" s="158"/>
      <c r="I55" s="158"/>
      <c r="J55" s="2"/>
      <c r="K55" s="2"/>
      <c r="L55" s="2"/>
      <c r="M55" s="2"/>
      <c r="N55" s="2"/>
    </row>
    <row r="56" spans="2:14">
      <c r="B56" s="2"/>
      <c r="C56" s="158"/>
      <c r="D56" s="158"/>
      <c r="E56" s="158"/>
      <c r="F56" s="158"/>
      <c r="G56" s="158"/>
      <c r="H56" s="158"/>
      <c r="I56" s="158"/>
      <c r="J56" s="2"/>
      <c r="K56" s="2"/>
      <c r="L56" s="2"/>
      <c r="M56" s="2"/>
      <c r="N56" s="2"/>
    </row>
    <row r="57" spans="2:14">
      <c r="B57" s="2"/>
      <c r="C57" s="158"/>
      <c r="D57" s="158"/>
      <c r="E57" s="158"/>
      <c r="F57" s="158"/>
      <c r="G57" s="158"/>
      <c r="H57" s="158"/>
      <c r="I57" s="158"/>
      <c r="J57" s="2"/>
      <c r="K57" s="2"/>
      <c r="L57" s="2"/>
      <c r="M57" s="2"/>
      <c r="N57" s="2"/>
    </row>
    <row r="58" spans="2:14">
      <c r="B58" s="2"/>
      <c r="C58" s="158"/>
      <c r="D58" s="158"/>
      <c r="E58" s="158"/>
      <c r="F58" s="158"/>
      <c r="G58" s="158"/>
      <c r="H58" s="158"/>
      <c r="I58" s="158"/>
      <c r="J58" s="2"/>
      <c r="K58" s="2"/>
      <c r="L58" s="2"/>
      <c r="M58" s="2"/>
      <c r="N58" s="2"/>
    </row>
    <row r="59" spans="2:14">
      <c r="B59" s="2"/>
      <c r="C59" s="158"/>
      <c r="D59" s="158"/>
      <c r="E59" s="158"/>
      <c r="F59" s="158"/>
      <c r="G59" s="158"/>
      <c r="H59" s="158"/>
      <c r="I59" s="158"/>
      <c r="J59" s="2"/>
      <c r="K59" s="2"/>
      <c r="L59" s="2"/>
      <c r="M59" s="2"/>
      <c r="N59" s="2"/>
    </row>
    <row r="60" spans="2:14">
      <c r="B60" s="2"/>
      <c r="C60" s="158"/>
      <c r="D60" s="158"/>
      <c r="E60" s="158"/>
      <c r="F60" s="158"/>
      <c r="G60" s="158"/>
      <c r="H60" s="158"/>
      <c r="I60" s="158"/>
      <c r="J60" s="2"/>
      <c r="K60" s="2"/>
      <c r="L60" s="2"/>
      <c r="M60" s="2"/>
      <c r="N60" s="2"/>
    </row>
    <row r="61" spans="2:14">
      <c r="B61" s="2"/>
      <c r="C61" s="158"/>
      <c r="D61" s="158"/>
      <c r="E61" s="158"/>
      <c r="F61" s="158"/>
      <c r="G61" s="158"/>
      <c r="H61" s="158"/>
      <c r="I61" s="158"/>
      <c r="J61" s="2"/>
      <c r="K61" s="2"/>
      <c r="L61" s="2"/>
      <c r="M61" s="2"/>
      <c r="N61" s="2"/>
    </row>
    <row r="62" spans="2:14">
      <c r="B62" s="2"/>
      <c r="C62" s="158"/>
      <c r="D62" s="158"/>
      <c r="E62" s="158"/>
      <c r="F62" s="158"/>
      <c r="G62" s="158"/>
      <c r="H62" s="158"/>
      <c r="I62" s="158"/>
      <c r="J62" s="2"/>
      <c r="K62" s="2"/>
      <c r="L62" s="2"/>
      <c r="M62" s="2"/>
      <c r="N62" s="2"/>
    </row>
    <row r="63" spans="2:14">
      <c r="B63" s="2"/>
      <c r="C63" s="158"/>
      <c r="D63" s="158"/>
      <c r="E63" s="158"/>
      <c r="F63" s="158"/>
      <c r="G63" s="158"/>
      <c r="H63" s="158"/>
      <c r="I63" s="158"/>
      <c r="J63" s="2"/>
      <c r="K63" s="2"/>
      <c r="L63" s="2"/>
      <c r="M63" s="2"/>
      <c r="N63" s="2"/>
    </row>
    <row r="64" spans="2:14">
      <c r="B64" s="2"/>
      <c r="C64" s="158"/>
      <c r="D64" s="158"/>
      <c r="E64" s="158"/>
      <c r="F64" s="158"/>
      <c r="G64" s="158"/>
      <c r="H64" s="158"/>
      <c r="I64" s="158"/>
      <c r="J64" s="2"/>
      <c r="K64" s="2"/>
      <c r="L64" s="2"/>
      <c r="M64" s="2"/>
      <c r="N64" s="2"/>
    </row>
    <row r="65" spans="2:14">
      <c r="B65" s="2"/>
      <c r="C65" s="158"/>
      <c r="D65" s="158"/>
      <c r="E65" s="158"/>
      <c r="F65" s="158"/>
      <c r="G65" s="158"/>
      <c r="H65" s="158"/>
      <c r="I65" s="158"/>
      <c r="J65" s="2"/>
      <c r="K65" s="2"/>
      <c r="L65" s="2"/>
      <c r="M65" s="2"/>
      <c r="N65" s="2"/>
    </row>
    <row r="66" spans="2:14">
      <c r="B66" s="2"/>
      <c r="C66" s="158"/>
      <c r="D66" s="158"/>
      <c r="E66" s="158"/>
      <c r="F66" s="158"/>
      <c r="G66" s="158"/>
      <c r="H66" s="158"/>
      <c r="I66" s="158"/>
      <c r="J66" s="2"/>
      <c r="K66" s="2"/>
      <c r="L66" s="2"/>
      <c r="M66" s="2"/>
      <c r="N66" s="2"/>
    </row>
    <row r="67" spans="2:10">
      <c r="B67" s="2"/>
      <c r="C67" s="158"/>
      <c r="D67" s="158"/>
      <c r="E67" s="158"/>
      <c r="F67" s="158"/>
      <c r="G67" s="158"/>
      <c r="H67" s="158"/>
      <c r="I67" s="158"/>
      <c r="J67" s="2"/>
    </row>
    <row r="68" spans="2:10">
      <c r="B68" s="2"/>
      <c r="C68" s="158"/>
      <c r="D68" s="158"/>
      <c r="E68" s="158"/>
      <c r="F68" s="158"/>
      <c r="G68" s="158"/>
      <c r="H68" s="158"/>
      <c r="I68" s="158"/>
      <c r="J68" s="2"/>
    </row>
    <row r="69" spans="2:10">
      <c r="B69" s="2"/>
      <c r="C69" s="158"/>
      <c r="D69" s="158"/>
      <c r="E69" s="158"/>
      <c r="F69" s="158"/>
      <c r="G69" s="158"/>
      <c r="H69" s="158"/>
      <c r="I69" s="158"/>
      <c r="J69" s="2"/>
    </row>
    <row r="70" spans="2:10">
      <c r="B70" s="2"/>
      <c r="C70" s="158"/>
      <c r="D70" s="158"/>
      <c r="E70" s="158"/>
      <c r="F70" s="158"/>
      <c r="G70" s="158"/>
      <c r="H70" s="158"/>
      <c r="I70" s="158"/>
      <c r="J70" s="2"/>
    </row>
    <row r="71" spans="2:10">
      <c r="B71" s="2"/>
      <c r="C71" s="158"/>
      <c r="D71" s="158"/>
      <c r="E71" s="158"/>
      <c r="F71" s="158"/>
      <c r="G71" s="158"/>
      <c r="H71" s="158"/>
      <c r="I71" s="158"/>
      <c r="J71" s="2"/>
    </row>
    <row r="72" spans="2:10">
      <c r="B72" s="2"/>
      <c r="C72" s="158"/>
      <c r="D72" s="158"/>
      <c r="E72" s="158"/>
      <c r="F72" s="158"/>
      <c r="G72" s="158"/>
      <c r="H72" s="158"/>
      <c r="I72" s="158"/>
      <c r="J72" s="2"/>
    </row>
    <row r="73" spans="2:10">
      <c r="B73" s="2"/>
      <c r="C73" s="158"/>
      <c r="D73" s="158"/>
      <c r="E73" s="158"/>
      <c r="F73" s="158"/>
      <c r="G73" s="158"/>
      <c r="H73" s="158"/>
      <c r="I73" s="158"/>
      <c r="J73" s="2"/>
    </row>
    <row r="74" spans="2:10">
      <c r="B74" s="2"/>
      <c r="C74" s="158"/>
      <c r="D74" s="158"/>
      <c r="E74" s="158"/>
      <c r="F74" s="158"/>
      <c r="G74" s="158"/>
      <c r="H74" s="158"/>
      <c r="I74" s="158"/>
      <c r="J74" s="2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I24" sqref="I24"/>
    </sheetView>
  </sheetViews>
  <sheetFormatPr defaultColWidth="9" defaultRowHeight="14.5"/>
  <cols>
    <col min="1" max="1" width="5.12727272727273" style="137" customWidth="1"/>
    <col min="2" max="2" width="17.5" style="137" customWidth="1"/>
    <col min="3" max="6" width="15.5454545454545" style="138" customWidth="1"/>
    <col min="7" max="8" width="14.3636363636364" style="138" customWidth="1"/>
    <col min="9" max="9" width="18.7545454545455" style="138" customWidth="1"/>
    <col min="10" max="10" width="12.3727272727273" style="137" customWidth="1"/>
    <col min="11" max="11" width="10.1272727272727" style="137" customWidth="1"/>
    <col min="12" max="18" width="9" style="137" customWidth="1"/>
    <col min="19" max="35" width="9" style="137"/>
    <col min="36" max="36" width="4.37272727272727" style="137" customWidth="1"/>
    <col min="37" max="37" width="13.8727272727273" style="137" customWidth="1"/>
    <col min="38" max="16384" width="9" style="137"/>
  </cols>
  <sheetData>
    <row r="1" spans="1:9">
      <c r="A1" s="139" t="s">
        <v>148</v>
      </c>
      <c r="B1" s="139"/>
      <c r="C1" s="140" t="s">
        <v>172</v>
      </c>
      <c r="D1" s="141"/>
      <c r="E1" s="141"/>
      <c r="F1" s="141"/>
      <c r="G1" s="141"/>
      <c r="H1" s="141"/>
      <c r="I1" s="159"/>
    </row>
    <row r="2" spans="1:9">
      <c r="A2" s="139" t="s">
        <v>150</v>
      </c>
      <c r="B2" s="139"/>
      <c r="C2" s="142" t="s">
        <v>151</v>
      </c>
      <c r="D2" s="142"/>
      <c r="E2" s="142"/>
      <c r="F2" s="142"/>
      <c r="G2" s="142"/>
      <c r="H2" s="142"/>
      <c r="I2" s="142"/>
    </row>
    <row r="3" ht="33" spans="1:9">
      <c r="A3" s="139" t="s">
        <v>152</v>
      </c>
      <c r="B3" s="139"/>
      <c r="C3" s="21" t="s">
        <v>153</v>
      </c>
      <c r="D3" s="21" t="s">
        <v>154</v>
      </c>
      <c r="E3" s="21" t="s">
        <v>153</v>
      </c>
      <c r="F3" s="21" t="s">
        <v>154</v>
      </c>
      <c r="G3" s="21" t="s">
        <v>155</v>
      </c>
      <c r="H3" s="21" t="s">
        <v>155</v>
      </c>
      <c r="I3" s="160" t="s">
        <v>56</v>
      </c>
    </row>
    <row r="4" ht="33" spans="1:9">
      <c r="A4" s="139" t="s">
        <v>156</v>
      </c>
      <c r="B4" s="139"/>
      <c r="C4" s="21" t="s">
        <v>157</v>
      </c>
      <c r="D4" s="23" t="s">
        <v>158</v>
      </c>
      <c r="E4" s="23" t="s">
        <v>159</v>
      </c>
      <c r="F4" s="23" t="s">
        <v>160</v>
      </c>
      <c r="G4" s="23" t="s">
        <v>161</v>
      </c>
      <c r="H4" s="23" t="s">
        <v>162</v>
      </c>
      <c r="I4" s="161"/>
    </row>
    <row r="5" ht="16.5" spans="1:38">
      <c r="A5" s="139" t="s">
        <v>163</v>
      </c>
      <c r="B5" s="139"/>
      <c r="C5" s="76" t="s">
        <v>164</v>
      </c>
      <c r="D5" s="76" t="s">
        <v>164</v>
      </c>
      <c r="E5" s="23" t="s">
        <v>165</v>
      </c>
      <c r="F5" s="23" t="s">
        <v>165</v>
      </c>
      <c r="G5" s="76" t="s">
        <v>164</v>
      </c>
      <c r="H5" s="76" t="s">
        <v>164</v>
      </c>
      <c r="I5" s="162"/>
      <c r="AL5" s="137" t="s">
        <v>57</v>
      </c>
    </row>
    <row r="6" ht="16.5" spans="1:38">
      <c r="A6" s="143" t="s">
        <v>21</v>
      </c>
      <c r="B6" s="144" t="s">
        <v>166</v>
      </c>
      <c r="C6" s="145">
        <f>销量!C10</f>
        <v>20000</v>
      </c>
      <c r="D6" s="145">
        <f>销量!D10</f>
        <v>20000</v>
      </c>
      <c r="E6" s="145">
        <f>销量!E10</f>
        <v>20000</v>
      </c>
      <c r="F6" s="145">
        <f>销量!F10</f>
        <v>20000</v>
      </c>
      <c r="G6" s="145">
        <f>销量!G10</f>
        <v>20000</v>
      </c>
      <c r="H6" s="145">
        <f>销量!H10</f>
        <v>20000</v>
      </c>
      <c r="I6" s="146">
        <f t="shared" ref="I6:I15" si="0">+SUM(C6:H6)</f>
        <v>120000</v>
      </c>
      <c r="T6" s="144" t="s">
        <v>3</v>
      </c>
      <c r="AJ6" s="143" t="s">
        <v>21</v>
      </c>
      <c r="AK6" s="144" t="s">
        <v>3</v>
      </c>
      <c r="AL6" s="137" t="s">
        <v>58</v>
      </c>
    </row>
    <row r="7" spans="1:38">
      <c r="A7" s="139">
        <v>1</v>
      </c>
      <c r="B7" s="144" t="s">
        <v>59</v>
      </c>
      <c r="C7" s="146">
        <f>C6*销量!C8</f>
        <v>36371600</v>
      </c>
      <c r="D7" s="146">
        <f>D6*销量!D8</f>
        <v>11504400</v>
      </c>
      <c r="E7" s="146">
        <f>E6*销量!E8</f>
        <v>45663600</v>
      </c>
      <c r="F7" s="146">
        <f>F6*销量!F8</f>
        <v>13982200</v>
      </c>
      <c r="G7" s="146">
        <f>G6*销量!G8</f>
        <v>1238800</v>
      </c>
      <c r="H7" s="146">
        <f>H6*销量!H8</f>
        <v>1238800</v>
      </c>
      <c r="I7" s="146">
        <f t="shared" si="0"/>
        <v>109999400</v>
      </c>
      <c r="J7" s="138"/>
      <c r="T7" s="144" t="s">
        <v>59</v>
      </c>
      <c r="AJ7" s="143" t="s">
        <v>60</v>
      </c>
      <c r="AK7" s="144" t="s">
        <v>59</v>
      </c>
      <c r="AL7" s="137" t="s">
        <v>58</v>
      </c>
    </row>
    <row r="8" spans="1:38">
      <c r="A8" s="139">
        <v>2</v>
      </c>
      <c r="B8" s="139" t="s">
        <v>61</v>
      </c>
      <c r="C8" s="146">
        <f>C7*(1-销量!$L$7)</f>
        <v>1818580</v>
      </c>
      <c r="D8" s="146">
        <f>D7*(1-销量!$L$7)</f>
        <v>575220</v>
      </c>
      <c r="E8" s="146">
        <f>E7*(1-销量!$L$7)</f>
        <v>2283180</v>
      </c>
      <c r="F8" s="146">
        <f>F7*(1-销量!$L$7)</f>
        <v>699110.000000001</v>
      </c>
      <c r="G8" s="146">
        <f>G7*(1-销量!$L$7)</f>
        <v>61940.0000000001</v>
      </c>
      <c r="H8" s="146">
        <f>H7*(1-销量!$L$7)</f>
        <v>61940.0000000001</v>
      </c>
      <c r="I8" s="146">
        <f t="shared" si="0"/>
        <v>5499970</v>
      </c>
      <c r="J8" s="163"/>
      <c r="T8" s="139" t="s">
        <v>63</v>
      </c>
      <c r="AJ8" s="143" t="s">
        <v>62</v>
      </c>
      <c r="AK8" s="139" t="s">
        <v>63</v>
      </c>
      <c r="AL8" s="137" t="s">
        <v>58</v>
      </c>
    </row>
    <row r="9" spans="1:38">
      <c r="A9" s="139">
        <v>3</v>
      </c>
      <c r="B9" s="144" t="s">
        <v>64</v>
      </c>
      <c r="C9" s="146">
        <f t="shared" ref="C9:M9" si="1">+C7-C8</f>
        <v>34553020</v>
      </c>
      <c r="D9" s="146">
        <f t="shared" si="1"/>
        <v>10929180</v>
      </c>
      <c r="E9" s="146">
        <f t="shared" si="1"/>
        <v>43380420</v>
      </c>
      <c r="F9" s="146">
        <f t="shared" si="1"/>
        <v>13283090</v>
      </c>
      <c r="G9" s="146">
        <f t="shared" si="1"/>
        <v>1176860</v>
      </c>
      <c r="H9" s="146">
        <f t="shared" si="1"/>
        <v>1176860</v>
      </c>
      <c r="I9" s="146">
        <f t="shared" si="0"/>
        <v>104499430</v>
      </c>
      <c r="T9" s="144" t="s">
        <v>64</v>
      </c>
      <c r="AJ9" s="143" t="s">
        <v>65</v>
      </c>
      <c r="AK9" s="144" t="s">
        <v>64</v>
      </c>
      <c r="AL9" s="137" t="s">
        <v>66</v>
      </c>
    </row>
    <row r="10" spans="1:38">
      <c r="A10" s="139">
        <v>4</v>
      </c>
      <c r="B10" s="143" t="s">
        <v>69</v>
      </c>
      <c r="C10" s="146">
        <f t="shared" ref="C10:M10" si="2">C6*C33</f>
        <v>25948984.1584553</v>
      </c>
      <c r="D10" s="146">
        <f t="shared" si="2"/>
        <v>9598444.86964916</v>
      </c>
      <c r="E10" s="146">
        <f t="shared" si="2"/>
        <v>32411463.2624825</v>
      </c>
      <c r="F10" s="146">
        <f t="shared" si="2"/>
        <v>13065485.8541697</v>
      </c>
      <c r="G10" s="146">
        <f t="shared" si="2"/>
        <v>475247.900049941</v>
      </c>
      <c r="H10" s="146">
        <f t="shared" si="2"/>
        <v>422950.906099469</v>
      </c>
      <c r="I10" s="146">
        <f t="shared" si="0"/>
        <v>81922576.9509061</v>
      </c>
      <c r="T10" s="143" t="s">
        <v>69</v>
      </c>
      <c r="AJ10" s="143" t="s">
        <v>68</v>
      </c>
      <c r="AK10" s="143" t="s">
        <v>69</v>
      </c>
      <c r="AL10" s="137" t="s">
        <v>70</v>
      </c>
    </row>
    <row r="11" spans="1:37">
      <c r="A11" s="139">
        <v>5</v>
      </c>
      <c r="B11" s="143" t="s">
        <v>71</v>
      </c>
      <c r="C11" s="146">
        <f t="shared" ref="C11:M11" si="3">+C6*C36</f>
        <v>1567615.96</v>
      </c>
      <c r="D11" s="146">
        <f t="shared" si="3"/>
        <v>495839.64</v>
      </c>
      <c r="E11" s="146">
        <f t="shared" si="3"/>
        <v>1968101.16</v>
      </c>
      <c r="F11" s="146">
        <f t="shared" si="3"/>
        <v>602632.82</v>
      </c>
      <c r="G11" s="146">
        <f t="shared" si="3"/>
        <v>53392.28</v>
      </c>
      <c r="H11" s="146">
        <f t="shared" si="3"/>
        <v>53392.28</v>
      </c>
      <c r="I11" s="146">
        <f t="shared" si="0"/>
        <v>4740974.14</v>
      </c>
      <c r="T11" s="143" t="s">
        <v>71</v>
      </c>
      <c r="AJ11" s="143" t="s">
        <v>72</v>
      </c>
      <c r="AK11" s="143" t="s">
        <v>71</v>
      </c>
    </row>
    <row r="12" spans="1:37">
      <c r="A12" s="139">
        <v>6</v>
      </c>
      <c r="B12" s="143" t="s">
        <v>73</v>
      </c>
      <c r="C12" s="146">
        <f t="shared" ref="C12:M12" si="4">+C6*C37</f>
        <v>789263.72</v>
      </c>
      <c r="D12" s="146">
        <f t="shared" si="4"/>
        <v>249645.48</v>
      </c>
      <c r="E12" s="146">
        <f t="shared" si="4"/>
        <v>990900.12</v>
      </c>
      <c r="F12" s="146">
        <f t="shared" si="4"/>
        <v>303413.74</v>
      </c>
      <c r="G12" s="146">
        <f t="shared" si="4"/>
        <v>26881.96</v>
      </c>
      <c r="H12" s="146">
        <f t="shared" si="4"/>
        <v>26881.96</v>
      </c>
      <c r="I12" s="146">
        <f t="shared" si="0"/>
        <v>2386986.98</v>
      </c>
      <c r="T12" s="143" t="s">
        <v>73</v>
      </c>
      <c r="AJ12" s="143" t="s">
        <v>74</v>
      </c>
      <c r="AK12" s="143" t="s">
        <v>73</v>
      </c>
    </row>
    <row r="13" spans="1:38">
      <c r="A13" s="139">
        <v>7</v>
      </c>
      <c r="B13" s="143" t="s">
        <v>75</v>
      </c>
      <c r="C13" s="146">
        <f t="shared" ref="C13:M13" si="5">+C6*C38</f>
        <v>1600350.4</v>
      </c>
      <c r="D13" s="146">
        <f t="shared" si="5"/>
        <v>506193.6</v>
      </c>
      <c r="E13" s="146">
        <f t="shared" si="5"/>
        <v>2009198.4</v>
      </c>
      <c r="F13" s="146">
        <f t="shared" si="5"/>
        <v>615216.8</v>
      </c>
      <c r="G13" s="146">
        <f t="shared" si="5"/>
        <v>54507.2</v>
      </c>
      <c r="H13" s="146">
        <f t="shared" si="5"/>
        <v>54507.2</v>
      </c>
      <c r="I13" s="146">
        <f t="shared" si="0"/>
        <v>4839973.6</v>
      </c>
      <c r="T13" s="143" t="s">
        <v>75</v>
      </c>
      <c r="AJ13" s="143" t="s">
        <v>76</v>
      </c>
      <c r="AK13" s="143" t="s">
        <v>75</v>
      </c>
      <c r="AL13" s="137" t="s">
        <v>58</v>
      </c>
    </row>
    <row r="14" spans="1:37">
      <c r="A14" s="139">
        <v>8</v>
      </c>
      <c r="B14" s="147" t="s">
        <v>77</v>
      </c>
      <c r="C14" s="146">
        <f t="shared" ref="C14:M14" si="6">SUM(C11:C13)</f>
        <v>3957230.08</v>
      </c>
      <c r="D14" s="146">
        <f t="shared" si="6"/>
        <v>1251678.72</v>
      </c>
      <c r="E14" s="146">
        <f t="shared" si="6"/>
        <v>4968199.68</v>
      </c>
      <c r="F14" s="146">
        <f t="shared" si="6"/>
        <v>1521263.36</v>
      </c>
      <c r="G14" s="146">
        <f t="shared" si="6"/>
        <v>134781.44</v>
      </c>
      <c r="H14" s="146">
        <f t="shared" si="6"/>
        <v>134781.44</v>
      </c>
      <c r="I14" s="146">
        <f t="shared" si="0"/>
        <v>11967934.72</v>
      </c>
      <c r="T14" s="147" t="s">
        <v>77</v>
      </c>
      <c r="AJ14" s="143" t="s">
        <v>78</v>
      </c>
      <c r="AK14" s="147" t="s">
        <v>77</v>
      </c>
    </row>
    <row r="15" spans="1:37">
      <c r="A15" s="139">
        <v>9</v>
      </c>
      <c r="B15" s="147" t="s">
        <v>79</v>
      </c>
      <c r="C15" s="146">
        <f t="shared" ref="C15:H15" si="7">+C9-C10-C14</f>
        <v>4646805.76154471</v>
      </c>
      <c r="D15" s="146">
        <f t="shared" si="7"/>
        <v>79056.4103508394</v>
      </c>
      <c r="E15" s="146">
        <f t="shared" si="7"/>
        <v>6000757.05751748</v>
      </c>
      <c r="F15" s="146">
        <f t="shared" si="7"/>
        <v>-1303659.21416973</v>
      </c>
      <c r="G15" s="146">
        <f t="shared" si="7"/>
        <v>566830.65995006</v>
      </c>
      <c r="H15" s="146">
        <f t="shared" si="7"/>
        <v>619127.653900531</v>
      </c>
      <c r="I15" s="146">
        <f t="shared" si="0"/>
        <v>10608918.3290939</v>
      </c>
      <c r="T15" s="147" t="s">
        <v>79</v>
      </c>
      <c r="AJ15" s="143" t="s">
        <v>80</v>
      </c>
      <c r="AK15" s="147" t="s">
        <v>79</v>
      </c>
    </row>
    <row r="16" spans="1:37">
      <c r="A16" s="139">
        <v>10</v>
      </c>
      <c r="B16" s="143" t="s">
        <v>81</v>
      </c>
      <c r="C16" s="148">
        <f t="shared" ref="C16:I16" si="8">+C15/C9</f>
        <v>0.13448334650762</v>
      </c>
      <c r="D16" s="148">
        <f t="shared" si="8"/>
        <v>0.00723351709376544</v>
      </c>
      <c r="E16" s="148">
        <f t="shared" si="8"/>
        <v>0.138328698927246</v>
      </c>
      <c r="F16" s="148">
        <f t="shared" si="8"/>
        <v>-0.098144273220292</v>
      </c>
      <c r="G16" s="148">
        <f t="shared" si="8"/>
        <v>0.481646635921061</v>
      </c>
      <c r="H16" s="148">
        <f t="shared" si="8"/>
        <v>0.526084371888357</v>
      </c>
      <c r="I16" s="148">
        <f t="shared" si="8"/>
        <v>0.101521303313271</v>
      </c>
      <c r="T16" s="143" t="s">
        <v>81</v>
      </c>
      <c r="AJ16" s="143" t="s">
        <v>82</v>
      </c>
      <c r="AK16" s="143" t="s">
        <v>81</v>
      </c>
    </row>
    <row r="17" spans="1:37">
      <c r="A17" s="139">
        <v>11</v>
      </c>
      <c r="B17" s="143" t="s">
        <v>83</v>
      </c>
      <c r="C17" s="146">
        <f t="shared" ref="C17:M17" si="9">C6*C43+C18</f>
        <v>1573305.04444444</v>
      </c>
      <c r="D17" s="146">
        <f t="shared" si="9"/>
        <v>553749.844444444</v>
      </c>
      <c r="E17" s="146">
        <f t="shared" si="9"/>
        <v>1954277.04444444</v>
      </c>
      <c r="F17" s="146">
        <f t="shared" si="9"/>
        <v>655339.644444444</v>
      </c>
      <c r="G17" s="146">
        <f t="shared" si="9"/>
        <v>132860.244444444</v>
      </c>
      <c r="H17" s="146">
        <f>H6*H43+H18</f>
        <v>132860.244444444</v>
      </c>
      <c r="I17" s="146">
        <f>+SUM(C17:H17)</f>
        <v>5002392.06666667</v>
      </c>
      <c r="J17" s="163"/>
      <c r="T17" s="143" t="s">
        <v>83</v>
      </c>
      <c r="AJ17" s="143" t="s">
        <v>84</v>
      </c>
      <c r="AK17" s="143" t="s">
        <v>83</v>
      </c>
    </row>
    <row r="18" s="135" customFormat="1" spans="1:12">
      <c r="A18" s="139">
        <v>12</v>
      </c>
      <c r="B18" s="149" t="s">
        <v>167</v>
      </c>
      <c r="C18" s="150">
        <f t="shared" ref="C18:M18" si="10">$I$18/$I$6*C6</f>
        <v>82069.4444444444</v>
      </c>
      <c r="D18" s="150">
        <f t="shared" si="10"/>
        <v>82069.4444444444</v>
      </c>
      <c r="E18" s="150">
        <f t="shared" si="10"/>
        <v>82069.4444444444</v>
      </c>
      <c r="F18" s="150">
        <f t="shared" si="10"/>
        <v>82069.4444444444</v>
      </c>
      <c r="G18" s="150">
        <f t="shared" si="10"/>
        <v>82069.4444444444</v>
      </c>
      <c r="H18" s="150">
        <f t="shared" si="10"/>
        <v>82069.4444444444</v>
      </c>
      <c r="I18" s="146">
        <f>项目投资!E26</f>
        <v>492416.666666667</v>
      </c>
      <c r="J18" s="165" t="s">
        <v>168</v>
      </c>
      <c r="K18" s="165"/>
      <c r="L18" s="165"/>
    </row>
    <row r="19" spans="1:38">
      <c r="A19" s="139">
        <v>13</v>
      </c>
      <c r="B19" s="143" t="s">
        <v>85</v>
      </c>
      <c r="C19" s="146">
        <f t="shared" ref="C19:M19" si="11">C6*C44</f>
        <v>254601.2</v>
      </c>
      <c r="D19" s="146">
        <f t="shared" si="11"/>
        <v>80530.8</v>
      </c>
      <c r="E19" s="146">
        <f t="shared" si="11"/>
        <v>319645.2</v>
      </c>
      <c r="F19" s="146">
        <f t="shared" si="11"/>
        <v>97875.4</v>
      </c>
      <c r="G19" s="146">
        <f t="shared" si="11"/>
        <v>8671.6</v>
      </c>
      <c r="H19" s="146">
        <f t="shared" si="11"/>
        <v>8671.6</v>
      </c>
      <c r="I19" s="146">
        <f>+SUM(C19:H19)</f>
        <v>769995.8</v>
      </c>
      <c r="J19" s="135"/>
      <c r="T19" s="143" t="s">
        <v>85</v>
      </c>
      <c r="AJ19" s="143" t="s">
        <v>86</v>
      </c>
      <c r="AK19" s="143" t="s">
        <v>85</v>
      </c>
      <c r="AL19" s="137" t="s">
        <v>58</v>
      </c>
    </row>
    <row r="20" spans="1:37">
      <c r="A20" s="139">
        <v>14</v>
      </c>
      <c r="B20" s="143" t="s">
        <v>87</v>
      </c>
      <c r="C20" s="146">
        <f t="shared" ref="C20:M20" si="12">C6*C45</f>
        <v>1236634.4</v>
      </c>
      <c r="D20" s="146">
        <f t="shared" si="12"/>
        <v>391149.6</v>
      </c>
      <c r="E20" s="146">
        <f t="shared" si="12"/>
        <v>1552562.4</v>
      </c>
      <c r="F20" s="146">
        <f t="shared" si="12"/>
        <v>475394.8</v>
      </c>
      <c r="G20" s="146">
        <f t="shared" si="12"/>
        <v>42119.2</v>
      </c>
      <c r="H20" s="146">
        <f t="shared" si="12"/>
        <v>42119.2</v>
      </c>
      <c r="I20" s="146">
        <f>+SUM(C20:H20)</f>
        <v>3739979.6</v>
      </c>
      <c r="T20" s="143" t="s">
        <v>87</v>
      </c>
      <c r="AJ20" s="143" t="s">
        <v>88</v>
      </c>
      <c r="AK20" s="143" t="s">
        <v>87</v>
      </c>
    </row>
    <row r="21" spans="1:37">
      <c r="A21" s="139">
        <v>15</v>
      </c>
      <c r="B21" s="143" t="s">
        <v>89</v>
      </c>
      <c r="C21" s="151">
        <f t="shared" ref="C21:H21" si="13">$I$21/$I$6*C6</f>
        <v>1666.66666666667</v>
      </c>
      <c r="D21" s="151">
        <f t="shared" si="13"/>
        <v>1666.66666666667</v>
      </c>
      <c r="E21" s="151">
        <f t="shared" si="13"/>
        <v>1666.66666666667</v>
      </c>
      <c r="F21" s="151">
        <f t="shared" si="13"/>
        <v>1666.66666666667</v>
      </c>
      <c r="G21" s="151">
        <f t="shared" si="13"/>
        <v>1666.66666666667</v>
      </c>
      <c r="H21" s="151">
        <f t="shared" si="13"/>
        <v>1666.66666666667</v>
      </c>
      <c r="I21" s="146">
        <f>项目投资!E27</f>
        <v>10000</v>
      </c>
      <c r="T21" s="143" t="s">
        <v>89</v>
      </c>
      <c r="AJ21" s="143"/>
      <c r="AK21" s="143"/>
    </row>
    <row r="22" spans="1:37">
      <c r="A22" s="139">
        <v>16</v>
      </c>
      <c r="B22" s="143" t="s">
        <v>90</v>
      </c>
      <c r="C22" s="146">
        <f t="shared" ref="C22:M22" si="14">C6*C47</f>
        <v>1091148</v>
      </c>
      <c r="D22" s="146">
        <f t="shared" si="14"/>
        <v>345132</v>
      </c>
      <c r="E22" s="146">
        <f t="shared" si="14"/>
        <v>1369908</v>
      </c>
      <c r="F22" s="146">
        <f t="shared" si="14"/>
        <v>419466</v>
      </c>
      <c r="G22" s="146">
        <f t="shared" si="14"/>
        <v>37164</v>
      </c>
      <c r="H22" s="146">
        <f t="shared" si="14"/>
        <v>37164</v>
      </c>
      <c r="I22" s="146">
        <f>+SUM(C22:H22)</f>
        <v>3299982</v>
      </c>
      <c r="T22" s="143" t="s">
        <v>90</v>
      </c>
      <c r="AJ22" s="143" t="s">
        <v>91</v>
      </c>
      <c r="AK22" s="143" t="s">
        <v>90</v>
      </c>
    </row>
    <row r="23" spans="1:37">
      <c r="A23" s="139">
        <v>17</v>
      </c>
      <c r="B23" s="147" t="s">
        <v>92</v>
      </c>
      <c r="C23" s="151">
        <f t="shared" ref="C23:N23" si="15">+C22+C21+C20+C19+C17</f>
        <v>4157355.31111111</v>
      </c>
      <c r="D23" s="151">
        <f t="shared" si="15"/>
        <v>1372228.91111111</v>
      </c>
      <c r="E23" s="151">
        <f t="shared" si="15"/>
        <v>5198059.31111111</v>
      </c>
      <c r="F23" s="151">
        <f t="shared" si="15"/>
        <v>1649742.51111111</v>
      </c>
      <c r="G23" s="151">
        <f t="shared" si="15"/>
        <v>222481.711111111</v>
      </c>
      <c r="H23" s="151">
        <f t="shared" si="15"/>
        <v>222481.711111111</v>
      </c>
      <c r="I23" s="151">
        <f>+I22+I21+I20+I19+I17</f>
        <v>12822349.4666667</v>
      </c>
      <c r="T23" s="147" t="s">
        <v>92</v>
      </c>
      <c r="AJ23" s="143" t="s">
        <v>93</v>
      </c>
      <c r="AK23" s="147" t="s">
        <v>92</v>
      </c>
    </row>
    <row r="24" spans="1:37">
      <c r="A24" s="139">
        <v>18</v>
      </c>
      <c r="B24" s="152" t="s">
        <v>94</v>
      </c>
      <c r="C24" s="151">
        <f t="shared" ref="C24:N24" si="16">+C15-C23</f>
        <v>489450.450433599</v>
      </c>
      <c r="D24" s="151">
        <f t="shared" si="16"/>
        <v>-1293172.50076027</v>
      </c>
      <c r="E24" s="151">
        <f t="shared" si="16"/>
        <v>802697.746406373</v>
      </c>
      <c r="F24" s="151">
        <f t="shared" si="16"/>
        <v>-2953401.72528084</v>
      </c>
      <c r="G24" s="151">
        <f t="shared" si="16"/>
        <v>344348.948838949</v>
      </c>
      <c r="H24" s="151">
        <f t="shared" si="16"/>
        <v>396645.94278942</v>
      </c>
      <c r="I24" s="151">
        <f>+I15-I23</f>
        <v>-2213431.13757277</v>
      </c>
      <c r="K24" s="166"/>
      <c r="T24" s="143" t="s">
        <v>94</v>
      </c>
      <c r="AJ24" s="143" t="s">
        <v>95</v>
      </c>
      <c r="AK24" s="143" t="s">
        <v>94</v>
      </c>
    </row>
    <row r="25" spans="1:37">
      <c r="A25" s="139">
        <v>19</v>
      </c>
      <c r="B25" s="143" t="s">
        <v>169</v>
      </c>
      <c r="C25" s="151"/>
      <c r="D25" s="151"/>
      <c r="E25" s="151"/>
      <c r="F25" s="151"/>
      <c r="G25" s="151">
        <f>IF(G24&lt;0,0,G24*0.25)</f>
        <v>86087.2372097371</v>
      </c>
      <c r="H25" s="151">
        <f>IF(H24&lt;0,0,H24*0.25)</f>
        <v>99161.4856973551</v>
      </c>
      <c r="I25" s="151">
        <f>IF(I24&lt;0,0,I24*0.25)</f>
        <v>0</v>
      </c>
      <c r="J25" s="2"/>
      <c r="K25" s="2"/>
      <c r="L25" s="2"/>
      <c r="T25" s="143" t="s">
        <v>38</v>
      </c>
      <c r="AJ25" s="143" t="s">
        <v>96</v>
      </c>
      <c r="AK25" s="143" t="s">
        <v>38</v>
      </c>
    </row>
    <row r="26" spans="1:37">
      <c r="A26" s="139">
        <v>20</v>
      </c>
      <c r="B26" s="143" t="s">
        <v>97</v>
      </c>
      <c r="C26" s="151">
        <f t="shared" ref="C26:M26" si="17">C24-C25</f>
        <v>489450.450433599</v>
      </c>
      <c r="D26" s="151">
        <f t="shared" si="17"/>
        <v>-1293172.50076027</v>
      </c>
      <c r="E26" s="151">
        <f t="shared" si="17"/>
        <v>802697.746406373</v>
      </c>
      <c r="F26" s="151">
        <f t="shared" si="17"/>
        <v>-2953401.72528084</v>
      </c>
      <c r="G26" s="151">
        <f t="shared" si="17"/>
        <v>258261.711629211</v>
      </c>
      <c r="H26" s="151">
        <f t="shared" si="17"/>
        <v>297484.457092065</v>
      </c>
      <c r="I26" s="146">
        <f>+SUM(C26:H26)</f>
        <v>-2398679.86047986</v>
      </c>
      <c r="J26" s="2"/>
      <c r="K26" s="2"/>
      <c r="L26" s="2"/>
      <c r="T26" s="143" t="s">
        <v>97</v>
      </c>
      <c r="AJ26" s="143" t="s">
        <v>98</v>
      </c>
      <c r="AK26" s="143" t="s">
        <v>97</v>
      </c>
    </row>
    <row r="27" spans="1:37">
      <c r="A27" s="139">
        <v>21</v>
      </c>
      <c r="B27" s="143" t="s">
        <v>101</v>
      </c>
      <c r="C27" s="153">
        <f t="shared" ref="C27:N27" si="18">C26/C7</f>
        <v>0.0134569403169945</v>
      </c>
      <c r="D27" s="153">
        <f t="shared" si="18"/>
        <v>-0.112406774865293</v>
      </c>
      <c r="E27" s="153">
        <f t="shared" si="18"/>
        <v>0.0175785033682489</v>
      </c>
      <c r="F27" s="153">
        <f t="shared" si="18"/>
        <v>-0.211225824639959</v>
      </c>
      <c r="G27" s="153">
        <f t="shared" si="18"/>
        <v>0.208477326145634</v>
      </c>
      <c r="H27" s="153">
        <f t="shared" si="18"/>
        <v>0.240139213022332</v>
      </c>
      <c r="I27" s="167">
        <f t="shared" si="18"/>
        <v>-0.0218062994932687</v>
      </c>
      <c r="J27" s="2"/>
      <c r="K27" s="2"/>
      <c r="L27" s="2"/>
      <c r="T27" s="143" t="s">
        <v>101</v>
      </c>
      <c r="AJ27" s="143" t="s">
        <v>100</v>
      </c>
      <c r="AK27" s="143" t="s">
        <v>101</v>
      </c>
    </row>
    <row r="28" spans="10:20">
      <c r="J28" s="2"/>
      <c r="K28" s="2"/>
      <c r="L28" s="2"/>
      <c r="T28" s="143"/>
    </row>
    <row r="29" spans="1:36">
      <c r="A29" s="137" t="s">
        <v>102</v>
      </c>
      <c r="I29" s="138" t="s">
        <v>170</v>
      </c>
      <c r="J29" s="2"/>
      <c r="K29" s="2"/>
      <c r="L29" s="2"/>
      <c r="T29" s="143"/>
      <c r="AJ29" s="137" t="s">
        <v>102</v>
      </c>
    </row>
    <row r="30" spans="1:37">
      <c r="A30" s="143" t="s">
        <v>103</v>
      </c>
      <c r="B30" s="147" t="s">
        <v>104</v>
      </c>
      <c r="C30" s="151"/>
      <c r="D30" s="151"/>
      <c r="E30" s="151"/>
      <c r="F30" s="151"/>
      <c r="G30" s="151"/>
      <c r="H30" s="151"/>
      <c r="I30" s="151"/>
      <c r="J30" s="2"/>
      <c r="K30" s="2"/>
      <c r="L30" s="2"/>
      <c r="N30" s="2"/>
      <c r="T30" s="147" t="s">
        <v>104</v>
      </c>
      <c r="AJ30" s="143" t="s">
        <v>105</v>
      </c>
      <c r="AK30" s="147" t="s">
        <v>104</v>
      </c>
    </row>
    <row r="31" spans="1:37">
      <c r="A31" s="139">
        <v>1</v>
      </c>
      <c r="B31" s="149" t="s">
        <v>106</v>
      </c>
      <c r="C31" s="154">
        <f>销量!C8</f>
        <v>1818.58</v>
      </c>
      <c r="D31" s="154">
        <f>销量!D8</f>
        <v>575.22</v>
      </c>
      <c r="E31" s="154">
        <f>销量!E8</f>
        <v>2283.18</v>
      </c>
      <c r="F31" s="154">
        <f>销量!F8</f>
        <v>699.11</v>
      </c>
      <c r="G31" s="154">
        <f>销量!G8</f>
        <v>61.94</v>
      </c>
      <c r="H31" s="154">
        <f>销量!H8</f>
        <v>61.94</v>
      </c>
      <c r="I31" s="151"/>
      <c r="J31" s="2"/>
      <c r="K31" s="2"/>
      <c r="L31" s="2"/>
      <c r="N31" s="2"/>
      <c r="T31" s="143" t="s">
        <v>106</v>
      </c>
      <c r="AJ31" s="143" t="s">
        <v>60</v>
      </c>
      <c r="AK31" s="143" t="s">
        <v>106</v>
      </c>
    </row>
    <row r="32" spans="1:37">
      <c r="A32" s="139">
        <v>2</v>
      </c>
      <c r="B32" s="143" t="s">
        <v>171</v>
      </c>
      <c r="C32" s="146">
        <f t="shared" ref="C32:M32" si="19">C31*1</f>
        <v>1818.58</v>
      </c>
      <c r="D32" s="146">
        <f t="shared" si="19"/>
        <v>575.22</v>
      </c>
      <c r="E32" s="146">
        <f t="shared" si="19"/>
        <v>2283.18</v>
      </c>
      <c r="F32" s="146">
        <f t="shared" si="19"/>
        <v>699.11</v>
      </c>
      <c r="G32" s="146">
        <f t="shared" si="19"/>
        <v>61.94</v>
      </c>
      <c r="H32" s="146">
        <f t="shared" si="19"/>
        <v>61.94</v>
      </c>
      <c r="I32" s="151"/>
      <c r="J32" s="2"/>
      <c r="K32" s="2"/>
      <c r="L32" s="2"/>
      <c r="M32" s="2"/>
      <c r="N32" s="2"/>
      <c r="O32" s="2"/>
      <c r="P32" s="2"/>
      <c r="AJ32" s="143"/>
      <c r="AK32" s="143"/>
    </row>
    <row r="33" spans="1:37">
      <c r="A33" s="139">
        <v>3</v>
      </c>
      <c r="B33" s="149" t="s">
        <v>107</v>
      </c>
      <c r="C33" s="146">
        <f>材料成本!D27</f>
        <v>1297.44920792276</v>
      </c>
      <c r="D33" s="146">
        <f>材料成本!E27</f>
        <v>479.922243482458</v>
      </c>
      <c r="E33" s="146">
        <f>材料成本!F27</f>
        <v>1620.57316312413</v>
      </c>
      <c r="F33" s="146">
        <f>材料成本!G27</f>
        <v>653.274292708486</v>
      </c>
      <c r="G33" s="146">
        <f>材料成本!H27</f>
        <v>23.762395002497</v>
      </c>
      <c r="H33" s="146">
        <f>材料成本!I27</f>
        <v>21.1475453049734</v>
      </c>
      <c r="I33" s="151"/>
      <c r="K33" s="2"/>
      <c r="L33" s="2"/>
      <c r="M33" s="2"/>
      <c r="N33" s="2"/>
      <c r="O33" s="2"/>
      <c r="P33" s="2"/>
      <c r="T33" s="143" t="s">
        <v>107</v>
      </c>
      <c r="AJ33" s="143" t="s">
        <v>62</v>
      </c>
      <c r="AK33" s="143" t="s">
        <v>107</v>
      </c>
    </row>
    <row r="34" ht="17.25" customHeight="1" spans="1:37">
      <c r="A34" s="139">
        <v>4</v>
      </c>
      <c r="B34" s="143" t="s">
        <v>109</v>
      </c>
      <c r="C34" s="155">
        <f>C32-C33</f>
        <v>521.130792077235</v>
      </c>
      <c r="D34" s="155">
        <f t="shared" ref="C34:M34" si="20">D32-D33</f>
        <v>95.297756517542</v>
      </c>
      <c r="E34" s="155">
        <f t="shared" si="20"/>
        <v>662.606836875874</v>
      </c>
      <c r="F34" s="155">
        <f t="shared" si="20"/>
        <v>45.8357072915137</v>
      </c>
      <c r="G34" s="155">
        <f t="shared" si="20"/>
        <v>38.177604997503</v>
      </c>
      <c r="H34" s="155">
        <f t="shared" si="20"/>
        <v>40.7924546950266</v>
      </c>
      <c r="I34" s="151"/>
      <c r="K34" s="2"/>
      <c r="L34" s="2"/>
      <c r="M34" s="2"/>
      <c r="N34" s="2"/>
      <c r="O34" s="2"/>
      <c r="P34" s="2"/>
      <c r="T34" s="143" t="s">
        <v>109</v>
      </c>
      <c r="AJ34" s="143" t="s">
        <v>108</v>
      </c>
      <c r="AK34" s="143" t="s">
        <v>109</v>
      </c>
    </row>
    <row r="35" spans="1:37">
      <c r="A35" s="143" t="s">
        <v>105</v>
      </c>
      <c r="B35" s="147" t="s">
        <v>10</v>
      </c>
      <c r="C35" s="151"/>
      <c r="D35" s="151"/>
      <c r="E35" s="151"/>
      <c r="F35" s="151"/>
      <c r="G35" s="151"/>
      <c r="H35" s="151"/>
      <c r="I35" s="151"/>
      <c r="J35" s="2"/>
      <c r="K35" s="2"/>
      <c r="L35" s="2"/>
      <c r="M35" s="2"/>
      <c r="N35" s="2"/>
      <c r="O35" s="2"/>
      <c r="P35" s="2"/>
      <c r="Q35" s="2"/>
      <c r="R35" s="2"/>
      <c r="S35" s="2"/>
      <c r="T35" s="147" t="s">
        <v>10</v>
      </c>
      <c r="AJ35" s="143" t="s">
        <v>111</v>
      </c>
      <c r="AK35" s="147" t="s">
        <v>10</v>
      </c>
    </row>
    <row r="36" spans="1:37">
      <c r="A36" s="139">
        <v>1</v>
      </c>
      <c r="B36" s="143" t="s">
        <v>112</v>
      </c>
      <c r="C36" s="150">
        <f>标准成本!E4</f>
        <v>78.380798</v>
      </c>
      <c r="D36" s="150">
        <f>标准成本!E16</f>
        <v>24.791982</v>
      </c>
      <c r="E36" s="150">
        <f>标准成本!E29</f>
        <v>98.405058</v>
      </c>
      <c r="F36" s="150">
        <f>标准成本!E42</f>
        <v>30.131641</v>
      </c>
      <c r="G36" s="150">
        <f>标准成本!E55</f>
        <v>2.669614</v>
      </c>
      <c r="H36" s="150">
        <f>标准成本!E68</f>
        <v>2.669614</v>
      </c>
      <c r="I36" s="154"/>
      <c r="J36" s="2"/>
      <c r="K36" s="2"/>
      <c r="L36" s="2"/>
      <c r="M36" s="2"/>
      <c r="N36" s="2"/>
      <c r="O36" s="2"/>
      <c r="P36" s="2"/>
      <c r="Q36" s="2"/>
      <c r="R36" s="2"/>
      <c r="S36" s="2"/>
      <c r="T36" s="143" t="s">
        <v>112</v>
      </c>
      <c r="AJ36" s="143" t="s">
        <v>108</v>
      </c>
      <c r="AK36" s="143" t="s">
        <v>112</v>
      </c>
    </row>
    <row r="37" spans="1:37">
      <c r="A37" s="139">
        <v>2</v>
      </c>
      <c r="B37" s="143" t="s">
        <v>113</v>
      </c>
      <c r="C37" s="150">
        <f>标准成本!E6</f>
        <v>39.463186</v>
      </c>
      <c r="D37" s="150">
        <f>标准成本!E18</f>
        <v>12.482274</v>
      </c>
      <c r="E37" s="150">
        <f>标准成本!E31</f>
        <v>49.545006</v>
      </c>
      <c r="F37" s="150">
        <f>标准成本!E44</f>
        <v>15.170687</v>
      </c>
      <c r="G37" s="150">
        <f>标准成本!E57</f>
        <v>1.344098</v>
      </c>
      <c r="H37" s="150">
        <f>标准成本!E70</f>
        <v>1.344098</v>
      </c>
      <c r="I37" s="154"/>
      <c r="J37" s="2"/>
      <c r="K37" s="2"/>
      <c r="L37" s="2"/>
      <c r="M37" s="2"/>
      <c r="N37" s="2"/>
      <c r="O37" s="2"/>
      <c r="P37" s="2"/>
      <c r="Q37" s="2"/>
      <c r="R37" s="2"/>
      <c r="S37" s="2"/>
      <c r="T37" s="143" t="s">
        <v>113</v>
      </c>
      <c r="AJ37" s="143" t="s">
        <v>65</v>
      </c>
      <c r="AK37" s="143" t="s">
        <v>113</v>
      </c>
    </row>
    <row r="38" spans="1:37">
      <c r="A38" s="139">
        <v>3</v>
      </c>
      <c r="B38" s="143" t="s">
        <v>114</v>
      </c>
      <c r="C38" s="150">
        <f>标准成本!E10</f>
        <v>80.01752</v>
      </c>
      <c r="D38" s="150">
        <f>标准成本!E22</f>
        <v>25.30968</v>
      </c>
      <c r="E38" s="150">
        <f>标准成本!E35</f>
        <v>100.45992</v>
      </c>
      <c r="F38" s="150">
        <f>标准成本!E48</f>
        <v>30.76084</v>
      </c>
      <c r="G38" s="150">
        <f>标准成本!E61</f>
        <v>2.72536</v>
      </c>
      <c r="H38" s="150">
        <f>标准成本!E74</f>
        <v>2.72536</v>
      </c>
      <c r="I38" s="154"/>
      <c r="J38" s="2"/>
      <c r="K38" s="2"/>
      <c r="L38" s="2"/>
      <c r="M38" s="2"/>
      <c r="N38" s="2"/>
      <c r="O38" s="2"/>
      <c r="P38" s="2"/>
      <c r="Q38" s="2"/>
      <c r="R38" s="2"/>
      <c r="S38" s="2"/>
      <c r="T38" s="143" t="s">
        <v>114</v>
      </c>
      <c r="AJ38" s="143" t="s">
        <v>72</v>
      </c>
      <c r="AK38" s="143" t="s">
        <v>114</v>
      </c>
    </row>
    <row r="39" spans="1:37">
      <c r="A39" s="143" t="s">
        <v>111</v>
      </c>
      <c r="B39" s="147" t="s">
        <v>116</v>
      </c>
      <c r="C39" s="151"/>
      <c r="D39" s="151"/>
      <c r="E39" s="151"/>
      <c r="F39" s="151"/>
      <c r="G39" s="151"/>
      <c r="H39" s="151"/>
      <c r="I39" s="151"/>
      <c r="T39" s="147" t="s">
        <v>116</v>
      </c>
      <c r="AJ39" s="143" t="s">
        <v>115</v>
      </c>
      <c r="AK39" s="147" t="s">
        <v>116</v>
      </c>
    </row>
    <row r="40" spans="1:37">
      <c r="A40" s="139">
        <v>1</v>
      </c>
      <c r="B40" s="143" t="s">
        <v>118</v>
      </c>
      <c r="C40" s="151">
        <f t="shared" ref="C40:M40" si="21">C34-C36-C37-C38</f>
        <v>323.269288077235</v>
      </c>
      <c r="D40" s="151">
        <f t="shared" si="21"/>
        <v>32.713820517542</v>
      </c>
      <c r="E40" s="151">
        <f t="shared" si="21"/>
        <v>414.196852875874</v>
      </c>
      <c r="F40" s="151">
        <f t="shared" si="21"/>
        <v>-30.2274607084863</v>
      </c>
      <c r="G40" s="151">
        <f t="shared" si="21"/>
        <v>31.438532997503</v>
      </c>
      <c r="H40" s="151">
        <f t="shared" si="21"/>
        <v>34.0533826950266</v>
      </c>
      <c r="I40" s="151"/>
      <c r="T40" s="143" t="s">
        <v>118</v>
      </c>
      <c r="AJ40" s="143" t="s">
        <v>60</v>
      </c>
      <c r="AK40" s="143" t="s">
        <v>118</v>
      </c>
    </row>
    <row r="41" spans="1:37">
      <c r="A41" s="139">
        <v>2</v>
      </c>
      <c r="B41" s="143" t="s">
        <v>119</v>
      </c>
      <c r="C41" s="151"/>
      <c r="D41" s="151"/>
      <c r="E41" s="151"/>
      <c r="F41" s="151"/>
      <c r="G41" s="151"/>
      <c r="H41" s="151"/>
      <c r="I41" s="151"/>
      <c r="T41" s="143" t="s">
        <v>119</v>
      </c>
      <c r="AJ41" s="143" t="s">
        <v>62</v>
      </c>
      <c r="AK41" s="143" t="s">
        <v>119</v>
      </c>
    </row>
    <row r="42" spans="1:37">
      <c r="A42" s="143" t="s">
        <v>115</v>
      </c>
      <c r="B42" s="147" t="s">
        <v>121</v>
      </c>
      <c r="C42" s="151"/>
      <c r="D42" s="151"/>
      <c r="E42" s="151"/>
      <c r="F42" s="151"/>
      <c r="G42" s="151"/>
      <c r="H42" s="151"/>
      <c r="I42" s="151"/>
      <c r="T42" s="147" t="s">
        <v>121</v>
      </c>
      <c r="AJ42" s="143" t="s">
        <v>120</v>
      </c>
      <c r="AK42" s="147" t="s">
        <v>121</v>
      </c>
    </row>
    <row r="43" spans="1:37">
      <c r="A43" s="139">
        <v>1</v>
      </c>
      <c r="B43" s="152" t="s">
        <v>122</v>
      </c>
      <c r="C43" s="150">
        <f>标准成本!E5</f>
        <v>74.56178</v>
      </c>
      <c r="D43" s="150">
        <f>标准成本!E17</f>
        <v>23.58402</v>
      </c>
      <c r="E43" s="150">
        <f>标准成本!E30</f>
        <v>93.61038</v>
      </c>
      <c r="F43" s="150">
        <f>标准成本!E43</f>
        <v>28.66351</v>
      </c>
      <c r="G43" s="150">
        <f>标准成本!E56</f>
        <v>2.53954</v>
      </c>
      <c r="H43" s="150">
        <f>标准成本!E69</f>
        <v>2.53954</v>
      </c>
      <c r="I43" s="151"/>
      <c r="T43" s="143" t="s">
        <v>122</v>
      </c>
      <c r="AJ43" s="143" t="s">
        <v>60</v>
      </c>
      <c r="AK43" s="143" t="s">
        <v>122</v>
      </c>
    </row>
    <row r="44" spans="1:37">
      <c r="A44" s="139">
        <v>2</v>
      </c>
      <c r="B44" s="152" t="s">
        <v>123</v>
      </c>
      <c r="C44" s="150">
        <f>标准成本!E9</f>
        <v>12.73006</v>
      </c>
      <c r="D44" s="150">
        <f>标准成本!E21</f>
        <v>4.02654</v>
      </c>
      <c r="E44" s="150">
        <f>标准成本!E34</f>
        <v>15.98226</v>
      </c>
      <c r="F44" s="150">
        <f>标准成本!E47</f>
        <v>4.89377</v>
      </c>
      <c r="G44" s="150">
        <f>标准成本!E60</f>
        <v>0.43358</v>
      </c>
      <c r="H44" s="150">
        <f>标准成本!E73</f>
        <v>0.43358</v>
      </c>
      <c r="I44" s="151"/>
      <c r="T44" s="143" t="s">
        <v>123</v>
      </c>
      <c r="AJ44" s="143" t="s">
        <v>62</v>
      </c>
      <c r="AK44" s="143" t="s">
        <v>123</v>
      </c>
    </row>
    <row r="45" spans="1:37">
      <c r="A45" s="139">
        <v>3</v>
      </c>
      <c r="B45" s="152" t="s">
        <v>124</v>
      </c>
      <c r="C45" s="150">
        <f>标准成本!E8</f>
        <v>61.83172</v>
      </c>
      <c r="D45" s="150">
        <f>标准成本!E20</f>
        <v>19.55748</v>
      </c>
      <c r="E45" s="150">
        <f>标准成本!E33</f>
        <v>77.62812</v>
      </c>
      <c r="F45" s="150">
        <f>标准成本!E46</f>
        <v>23.76974</v>
      </c>
      <c r="G45" s="150">
        <f>标准成本!E59</f>
        <v>2.10596</v>
      </c>
      <c r="H45" s="150">
        <f>标准成本!E72</f>
        <v>2.10596</v>
      </c>
      <c r="I45" s="151"/>
      <c r="T45" s="143" t="s">
        <v>124</v>
      </c>
      <c r="AJ45" s="143" t="s">
        <v>108</v>
      </c>
      <c r="AK45" s="143" t="s">
        <v>124</v>
      </c>
    </row>
    <row r="46" s="136" customFormat="1" spans="1:37">
      <c r="A46" s="139">
        <v>4</v>
      </c>
      <c r="B46" s="152" t="s">
        <v>125</v>
      </c>
      <c r="C46" s="156">
        <f t="shared" ref="C46:H46" si="22">C21/C6</f>
        <v>0.0833333333333333</v>
      </c>
      <c r="D46" s="156">
        <f t="shared" si="22"/>
        <v>0.0833333333333333</v>
      </c>
      <c r="E46" s="156">
        <f t="shared" si="22"/>
        <v>0.0833333333333333</v>
      </c>
      <c r="F46" s="156">
        <f t="shared" si="22"/>
        <v>0.0833333333333333</v>
      </c>
      <c r="G46" s="156">
        <f t="shared" si="22"/>
        <v>0.0833333333333333</v>
      </c>
      <c r="H46" s="156">
        <f t="shared" si="22"/>
        <v>0.0833333333333333</v>
      </c>
      <c r="I46" s="156"/>
      <c r="T46" s="152" t="s">
        <v>127</v>
      </c>
      <c r="AJ46" s="152" t="s">
        <v>68</v>
      </c>
      <c r="AK46" s="152" t="s">
        <v>127</v>
      </c>
    </row>
    <row r="47" s="136" customFormat="1" spans="1:37">
      <c r="A47" s="139">
        <v>5</v>
      </c>
      <c r="B47" s="152" t="s">
        <v>127</v>
      </c>
      <c r="C47" s="156">
        <f>标准成本!E11</f>
        <v>54.5574</v>
      </c>
      <c r="D47" s="156">
        <f>标准成本!E23</f>
        <v>17.2566</v>
      </c>
      <c r="E47" s="156">
        <f>标准成本!E36</f>
        <v>68.4954</v>
      </c>
      <c r="F47" s="156">
        <f>标准成本!E49</f>
        <v>20.9733</v>
      </c>
      <c r="G47" s="156">
        <f>标准成本!E62</f>
        <v>1.8582</v>
      </c>
      <c r="H47" s="156">
        <f>标准成本!E75</f>
        <v>1.8582</v>
      </c>
      <c r="I47" s="156"/>
      <c r="T47" s="152" t="s">
        <v>127</v>
      </c>
      <c r="AJ47" s="152" t="s">
        <v>68</v>
      </c>
      <c r="AK47" s="152" t="s">
        <v>127</v>
      </c>
    </row>
    <row r="48" spans="1:37">
      <c r="A48" s="143" t="s">
        <v>120</v>
      </c>
      <c r="B48" s="147" t="s">
        <v>138</v>
      </c>
      <c r="C48" s="151">
        <f t="shared" ref="C48:H48" si="23">C40-C43-C44-C45-C47-C46</f>
        <v>119.504994743902</v>
      </c>
      <c r="D48" s="151">
        <f t="shared" si="23"/>
        <v>-31.7941528157914</v>
      </c>
      <c r="E48" s="151">
        <f t="shared" si="23"/>
        <v>158.397359542541</v>
      </c>
      <c r="F48" s="151">
        <f t="shared" si="23"/>
        <v>-108.61111404182</v>
      </c>
      <c r="G48" s="151">
        <f t="shared" si="23"/>
        <v>24.4179196641696</v>
      </c>
      <c r="H48" s="151">
        <f t="shared" si="23"/>
        <v>27.0327693616932</v>
      </c>
      <c r="I48" s="151"/>
      <c r="T48" s="147" t="s">
        <v>138</v>
      </c>
      <c r="AJ48" s="143" t="s">
        <v>137</v>
      </c>
      <c r="AK48" s="147" t="s">
        <v>138</v>
      </c>
    </row>
    <row r="51" spans="3:8">
      <c r="C51" s="157"/>
      <c r="D51" s="157"/>
      <c r="E51" s="157"/>
      <c r="F51" s="157"/>
      <c r="G51" s="157"/>
      <c r="H51" s="157"/>
    </row>
    <row r="54" spans="2:14">
      <c r="B54" s="2"/>
      <c r="C54" s="158"/>
      <c r="D54" s="158"/>
      <c r="E54" s="158"/>
      <c r="F54" s="158"/>
      <c r="G54" s="158"/>
      <c r="H54" s="158"/>
      <c r="I54" s="158"/>
      <c r="J54" s="2"/>
      <c r="K54" s="2"/>
      <c r="L54" s="2"/>
      <c r="M54" s="2"/>
      <c r="N54" s="2"/>
    </row>
    <row r="55" spans="2:14">
      <c r="B55" s="2"/>
      <c r="C55" s="158"/>
      <c r="D55" s="158"/>
      <c r="E55" s="158"/>
      <c r="F55" s="158"/>
      <c r="G55" s="158"/>
      <c r="H55" s="158"/>
      <c r="I55" s="158"/>
      <c r="J55" s="2"/>
      <c r="K55" s="2"/>
      <c r="L55" s="2"/>
      <c r="M55" s="2"/>
      <c r="N55" s="2"/>
    </row>
    <row r="56" spans="2:14">
      <c r="B56" s="2"/>
      <c r="C56" s="158"/>
      <c r="D56" s="158"/>
      <c r="E56" s="158"/>
      <c r="F56" s="158"/>
      <c r="G56" s="158"/>
      <c r="H56" s="158"/>
      <c r="I56" s="158"/>
      <c r="J56" s="2"/>
      <c r="K56" s="2"/>
      <c r="L56" s="2"/>
      <c r="M56" s="2"/>
      <c r="N56" s="2"/>
    </row>
    <row r="57" spans="2:14">
      <c r="B57" s="2"/>
      <c r="C57" s="158"/>
      <c r="D57" s="158"/>
      <c r="E57" s="158"/>
      <c r="F57" s="158"/>
      <c r="G57" s="158"/>
      <c r="H57" s="158"/>
      <c r="I57" s="158"/>
      <c r="J57" s="2"/>
      <c r="K57" s="2"/>
      <c r="L57" s="2"/>
      <c r="M57" s="2"/>
      <c r="N57" s="2"/>
    </row>
    <row r="58" spans="2:14">
      <c r="B58" s="2"/>
      <c r="C58" s="158"/>
      <c r="D58" s="158"/>
      <c r="E58" s="158"/>
      <c r="F58" s="158"/>
      <c r="G58" s="158"/>
      <c r="H58" s="158"/>
      <c r="I58" s="158"/>
      <c r="J58" s="2"/>
      <c r="K58" s="2"/>
      <c r="L58" s="2"/>
      <c r="M58" s="2"/>
      <c r="N58" s="2"/>
    </row>
    <row r="59" spans="2:14">
      <c r="B59" s="2"/>
      <c r="C59" s="158"/>
      <c r="D59" s="158"/>
      <c r="E59" s="158"/>
      <c r="F59" s="158"/>
      <c r="G59" s="158"/>
      <c r="H59" s="158"/>
      <c r="I59" s="158"/>
      <c r="J59" s="2"/>
      <c r="K59" s="2"/>
      <c r="L59" s="2"/>
      <c r="M59" s="2"/>
      <c r="N59" s="2"/>
    </row>
    <row r="60" spans="2:14">
      <c r="B60" s="2"/>
      <c r="C60" s="158"/>
      <c r="D60" s="158"/>
      <c r="E60" s="158"/>
      <c r="F60" s="158"/>
      <c r="G60" s="158"/>
      <c r="H60" s="158"/>
      <c r="I60" s="158"/>
      <c r="J60" s="2"/>
      <c r="K60" s="2"/>
      <c r="L60" s="2"/>
      <c r="M60" s="2"/>
      <c r="N60" s="2"/>
    </row>
    <row r="61" spans="2:14">
      <c r="B61" s="2"/>
      <c r="C61" s="158"/>
      <c r="D61" s="158"/>
      <c r="E61" s="158"/>
      <c r="F61" s="158"/>
      <c r="G61" s="158"/>
      <c r="H61" s="158"/>
      <c r="I61" s="158"/>
      <c r="J61" s="2"/>
      <c r="K61" s="2"/>
      <c r="L61" s="2"/>
      <c r="M61" s="2"/>
      <c r="N61" s="2"/>
    </row>
    <row r="62" spans="2:14">
      <c r="B62" s="2"/>
      <c r="C62" s="158"/>
      <c r="D62" s="158"/>
      <c r="E62" s="158"/>
      <c r="F62" s="158"/>
      <c r="G62" s="158"/>
      <c r="H62" s="158"/>
      <c r="I62" s="158"/>
      <c r="J62" s="2"/>
      <c r="K62" s="2"/>
      <c r="L62" s="2"/>
      <c r="M62" s="2"/>
      <c r="N62" s="2"/>
    </row>
    <row r="63" spans="2:14">
      <c r="B63" s="2"/>
      <c r="C63" s="158"/>
      <c r="D63" s="158"/>
      <c r="E63" s="158"/>
      <c r="F63" s="158"/>
      <c r="G63" s="158"/>
      <c r="H63" s="158"/>
      <c r="I63" s="158"/>
      <c r="J63" s="2"/>
      <c r="K63" s="2"/>
      <c r="L63" s="2"/>
      <c r="M63" s="2"/>
      <c r="N63" s="2"/>
    </row>
    <row r="64" spans="2:14">
      <c r="B64" s="2"/>
      <c r="C64" s="158"/>
      <c r="D64" s="158"/>
      <c r="E64" s="158"/>
      <c r="F64" s="158"/>
      <c r="G64" s="158"/>
      <c r="H64" s="158"/>
      <c r="I64" s="158"/>
      <c r="J64" s="2"/>
      <c r="K64" s="2"/>
      <c r="L64" s="2"/>
      <c r="M64" s="2"/>
      <c r="N64" s="2"/>
    </row>
    <row r="65" spans="2:14">
      <c r="B65" s="2"/>
      <c r="C65" s="158"/>
      <c r="D65" s="158"/>
      <c r="E65" s="158"/>
      <c r="F65" s="158"/>
      <c r="G65" s="158"/>
      <c r="H65" s="158"/>
      <c r="I65" s="158"/>
      <c r="J65" s="2"/>
      <c r="K65" s="2"/>
      <c r="L65" s="2"/>
      <c r="M65" s="2"/>
      <c r="N65" s="2"/>
    </row>
    <row r="66" spans="2:14">
      <c r="B66" s="2"/>
      <c r="C66" s="158"/>
      <c r="D66" s="158"/>
      <c r="E66" s="158"/>
      <c r="F66" s="158"/>
      <c r="G66" s="158"/>
      <c r="H66" s="158"/>
      <c r="I66" s="158"/>
      <c r="J66" s="2"/>
      <c r="K66" s="2"/>
      <c r="L66" s="2"/>
      <c r="M66" s="2"/>
      <c r="N66" s="2"/>
    </row>
    <row r="67" spans="2:10">
      <c r="B67" s="2"/>
      <c r="C67" s="158"/>
      <c r="D67" s="158"/>
      <c r="E67" s="158"/>
      <c r="F67" s="158"/>
      <c r="G67" s="158"/>
      <c r="H67" s="158"/>
      <c r="I67" s="158"/>
      <c r="J67" s="2"/>
    </row>
    <row r="68" spans="2:10">
      <c r="B68" s="2"/>
      <c r="C68" s="158"/>
      <c r="D68" s="158"/>
      <c r="E68" s="158"/>
      <c r="F68" s="158"/>
      <c r="G68" s="158"/>
      <c r="H68" s="158"/>
      <c r="I68" s="158"/>
      <c r="J68" s="2"/>
    </row>
    <row r="69" spans="2:10">
      <c r="B69" s="2"/>
      <c r="C69" s="158"/>
      <c r="D69" s="158"/>
      <c r="E69" s="158"/>
      <c r="F69" s="158"/>
      <c r="G69" s="158"/>
      <c r="H69" s="158"/>
      <c r="I69" s="158"/>
      <c r="J69" s="2"/>
    </row>
    <row r="70" spans="2:10">
      <c r="B70" s="2"/>
      <c r="C70" s="158"/>
      <c r="D70" s="158"/>
      <c r="E70" s="158"/>
      <c r="F70" s="158"/>
      <c r="G70" s="158"/>
      <c r="H70" s="158"/>
      <c r="I70" s="158"/>
      <c r="J70" s="2"/>
    </row>
    <row r="71" spans="2:10">
      <c r="B71" s="2"/>
      <c r="C71" s="158"/>
      <c r="D71" s="158"/>
      <c r="E71" s="158"/>
      <c r="F71" s="158"/>
      <c r="G71" s="158"/>
      <c r="H71" s="158"/>
      <c r="I71" s="158"/>
      <c r="J71" s="2"/>
    </row>
    <row r="72" spans="2:10">
      <c r="B72" s="2"/>
      <c r="C72" s="158"/>
      <c r="D72" s="158"/>
      <c r="E72" s="158"/>
      <c r="F72" s="158"/>
      <c r="G72" s="158"/>
      <c r="H72" s="158"/>
      <c r="I72" s="158"/>
      <c r="J72" s="2"/>
    </row>
    <row r="73" spans="2:10">
      <c r="B73" s="2"/>
      <c r="C73" s="158"/>
      <c r="D73" s="158"/>
      <c r="E73" s="158"/>
      <c r="F73" s="158"/>
      <c r="G73" s="158"/>
      <c r="H73" s="158"/>
      <c r="I73" s="158"/>
      <c r="J73" s="2"/>
    </row>
    <row r="74" spans="2:10">
      <c r="B74" s="2"/>
      <c r="C74" s="158"/>
      <c r="D74" s="158"/>
      <c r="E74" s="158"/>
      <c r="F74" s="158"/>
      <c r="G74" s="158"/>
      <c r="H74" s="158"/>
      <c r="I74" s="158"/>
      <c r="J74" s="2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4.5"/>
  <cols>
    <col min="1" max="1" width="5.12727272727273" style="137" customWidth="1"/>
    <col min="2" max="2" width="17.5" style="137" customWidth="1"/>
    <col min="3" max="6" width="15.5454545454545" style="138" customWidth="1"/>
    <col min="7" max="8" width="14.3636363636364" style="138" customWidth="1"/>
    <col min="9" max="9" width="18.7545454545455" style="138" customWidth="1"/>
    <col min="10" max="10" width="12.3727272727273" style="137" customWidth="1"/>
    <col min="11" max="11" width="10.1272727272727" style="137" customWidth="1"/>
    <col min="12" max="18" width="9" style="137" customWidth="1"/>
    <col min="19" max="35" width="9" style="137"/>
    <col min="36" max="36" width="4.37272727272727" style="137" customWidth="1"/>
    <col min="37" max="37" width="13.8727272727273" style="137" customWidth="1"/>
    <col min="38" max="16384" width="9" style="137"/>
  </cols>
  <sheetData>
    <row r="1" spans="1:9">
      <c r="A1" s="139" t="s">
        <v>148</v>
      </c>
      <c r="B1" s="139"/>
      <c r="C1" s="140" t="s">
        <v>173</v>
      </c>
      <c r="D1" s="141"/>
      <c r="E1" s="141"/>
      <c r="F1" s="141"/>
      <c r="G1" s="141"/>
      <c r="H1" s="141"/>
      <c r="I1" s="159"/>
    </row>
    <row r="2" spans="1:9">
      <c r="A2" s="139" t="s">
        <v>150</v>
      </c>
      <c r="B2" s="139"/>
      <c r="C2" s="142" t="s">
        <v>151</v>
      </c>
      <c r="D2" s="142"/>
      <c r="E2" s="142"/>
      <c r="F2" s="142"/>
      <c r="G2" s="142"/>
      <c r="H2" s="142"/>
      <c r="I2" s="142"/>
    </row>
    <row r="3" ht="33" spans="1:9">
      <c r="A3" s="139" t="s">
        <v>152</v>
      </c>
      <c r="B3" s="139"/>
      <c r="C3" s="21" t="s">
        <v>153</v>
      </c>
      <c r="D3" s="21" t="s">
        <v>154</v>
      </c>
      <c r="E3" s="21" t="s">
        <v>153</v>
      </c>
      <c r="F3" s="21" t="s">
        <v>154</v>
      </c>
      <c r="G3" s="21" t="s">
        <v>155</v>
      </c>
      <c r="H3" s="21" t="s">
        <v>155</v>
      </c>
      <c r="I3" s="160" t="s">
        <v>56</v>
      </c>
    </row>
    <row r="4" ht="33" spans="1:9">
      <c r="A4" s="139" t="s">
        <v>156</v>
      </c>
      <c r="B4" s="139"/>
      <c r="C4" s="21" t="s">
        <v>157</v>
      </c>
      <c r="D4" s="23" t="s">
        <v>158</v>
      </c>
      <c r="E4" s="23" t="s">
        <v>159</v>
      </c>
      <c r="F4" s="23" t="s">
        <v>160</v>
      </c>
      <c r="G4" s="23" t="s">
        <v>161</v>
      </c>
      <c r="H4" s="23" t="s">
        <v>162</v>
      </c>
      <c r="I4" s="161"/>
    </row>
    <row r="5" ht="16.5" spans="1:38">
      <c r="A5" s="139" t="s">
        <v>163</v>
      </c>
      <c r="B5" s="139"/>
      <c r="C5" s="76" t="s">
        <v>164</v>
      </c>
      <c r="D5" s="76" t="s">
        <v>164</v>
      </c>
      <c r="E5" s="23" t="s">
        <v>165</v>
      </c>
      <c r="F5" s="23" t="s">
        <v>165</v>
      </c>
      <c r="G5" s="76" t="s">
        <v>164</v>
      </c>
      <c r="H5" s="76" t="s">
        <v>164</v>
      </c>
      <c r="I5" s="162"/>
      <c r="AL5" s="137" t="s">
        <v>57</v>
      </c>
    </row>
    <row r="6" ht="16.5" spans="1:38">
      <c r="A6" s="143" t="s">
        <v>21</v>
      </c>
      <c r="B6" s="144" t="s">
        <v>166</v>
      </c>
      <c r="C6" s="145">
        <f>销量!C11</f>
        <v>20000</v>
      </c>
      <c r="D6" s="145">
        <f>销量!D11</f>
        <v>20000</v>
      </c>
      <c r="E6" s="145">
        <f>销量!E11</f>
        <v>20000</v>
      </c>
      <c r="F6" s="145">
        <f>销量!F11</f>
        <v>20000</v>
      </c>
      <c r="G6" s="145">
        <f>销量!G11</f>
        <v>20000</v>
      </c>
      <c r="H6" s="145">
        <f>销量!H11</f>
        <v>20000</v>
      </c>
      <c r="I6" s="146">
        <f>+SUM(C6:H6)</f>
        <v>120000</v>
      </c>
      <c r="T6" s="144" t="s">
        <v>3</v>
      </c>
      <c r="AJ6" s="143" t="s">
        <v>21</v>
      </c>
      <c r="AK6" s="144" t="s">
        <v>3</v>
      </c>
      <c r="AL6" s="137" t="s">
        <v>58</v>
      </c>
    </row>
    <row r="7" spans="1:38">
      <c r="A7" s="139">
        <v>1</v>
      </c>
      <c r="B7" s="144" t="s">
        <v>59</v>
      </c>
      <c r="C7" s="146">
        <f>C6*销量!C8</f>
        <v>36371600</v>
      </c>
      <c r="D7" s="146">
        <f>D6*销量!D8</f>
        <v>11504400</v>
      </c>
      <c r="E7" s="146">
        <f>E6*销量!E8</f>
        <v>45663600</v>
      </c>
      <c r="F7" s="146">
        <f>F6*销量!F8</f>
        <v>13982200</v>
      </c>
      <c r="G7" s="146">
        <f>G6*销量!G8</f>
        <v>1238800</v>
      </c>
      <c r="H7" s="146">
        <f>H6*销量!H8</f>
        <v>1238800</v>
      </c>
      <c r="I7" s="146">
        <f t="shared" ref="I6:I15" si="0">+SUM(C7:H7)</f>
        <v>109999400</v>
      </c>
      <c r="J7" s="138"/>
      <c r="T7" s="144" t="s">
        <v>59</v>
      </c>
      <c r="AJ7" s="143" t="s">
        <v>60</v>
      </c>
      <c r="AK7" s="144" t="s">
        <v>59</v>
      </c>
      <c r="AL7" s="137" t="s">
        <v>58</v>
      </c>
    </row>
    <row r="8" spans="1:38">
      <c r="A8" s="139">
        <v>2</v>
      </c>
      <c r="B8" s="139" t="s">
        <v>61</v>
      </c>
      <c r="C8" s="146">
        <f>C7*(1-销量!$L$8)</f>
        <v>3546231</v>
      </c>
      <c r="D8" s="146">
        <f>D7*(1-销量!$L$8)</f>
        <v>1121679</v>
      </c>
      <c r="E8" s="146">
        <f>E7*(1-销量!$L$8)</f>
        <v>4452201</v>
      </c>
      <c r="F8" s="146">
        <f>F7*(1-销量!$L$8)</f>
        <v>1363264.5</v>
      </c>
      <c r="G8" s="146">
        <f>G7*(1-销量!$L$8)</f>
        <v>120783</v>
      </c>
      <c r="H8" s="146">
        <f>H7*(1-销量!$L$8)</f>
        <v>120783</v>
      </c>
      <c r="I8" s="146">
        <f t="shared" si="0"/>
        <v>10724941.5</v>
      </c>
      <c r="J8" s="163"/>
      <c r="T8" s="139" t="s">
        <v>63</v>
      </c>
      <c r="AJ8" s="143" t="s">
        <v>62</v>
      </c>
      <c r="AK8" s="139" t="s">
        <v>63</v>
      </c>
      <c r="AL8" s="137" t="s">
        <v>58</v>
      </c>
    </row>
    <row r="9" spans="1:38">
      <c r="A9" s="139">
        <v>3</v>
      </c>
      <c r="B9" s="144" t="s">
        <v>64</v>
      </c>
      <c r="C9" s="146">
        <f t="shared" ref="C9:M9" si="1">+C7-C8</f>
        <v>32825369</v>
      </c>
      <c r="D9" s="146">
        <f t="shared" si="1"/>
        <v>10382721</v>
      </c>
      <c r="E9" s="146">
        <f t="shared" si="1"/>
        <v>41211399</v>
      </c>
      <c r="F9" s="146">
        <f t="shared" si="1"/>
        <v>12618935.5</v>
      </c>
      <c r="G9" s="146">
        <f t="shared" si="1"/>
        <v>1118017</v>
      </c>
      <c r="H9" s="146">
        <f t="shared" si="1"/>
        <v>1118017</v>
      </c>
      <c r="I9" s="146">
        <f t="shared" si="0"/>
        <v>99274458.5</v>
      </c>
      <c r="T9" s="144" t="s">
        <v>64</v>
      </c>
      <c r="AJ9" s="143" t="s">
        <v>65</v>
      </c>
      <c r="AK9" s="144" t="s">
        <v>64</v>
      </c>
      <c r="AL9" s="137" t="s">
        <v>66</v>
      </c>
    </row>
    <row r="10" spans="1:38">
      <c r="A10" s="139">
        <v>4</v>
      </c>
      <c r="B10" s="143" t="s">
        <v>69</v>
      </c>
      <c r="C10" s="146">
        <f t="shared" ref="C10:M10" si="2">C6*C33</f>
        <v>24651534.9505325</v>
      </c>
      <c r="D10" s="146">
        <f t="shared" si="2"/>
        <v>9118522.6261667</v>
      </c>
      <c r="E10" s="146">
        <f t="shared" si="2"/>
        <v>30790890.0993584</v>
      </c>
      <c r="F10" s="146">
        <f t="shared" si="2"/>
        <v>12412211.5614612</v>
      </c>
      <c r="G10" s="146">
        <f t="shared" si="2"/>
        <v>451485.505047443</v>
      </c>
      <c r="H10" s="146">
        <f t="shared" si="2"/>
        <v>401803.360794495</v>
      </c>
      <c r="I10" s="146">
        <f t="shared" si="0"/>
        <v>77826448.1033608</v>
      </c>
      <c r="T10" s="143" t="s">
        <v>69</v>
      </c>
      <c r="AJ10" s="143" t="s">
        <v>68</v>
      </c>
      <c r="AK10" s="143" t="s">
        <v>69</v>
      </c>
      <c r="AL10" s="137" t="s">
        <v>70</v>
      </c>
    </row>
    <row r="11" spans="1:37">
      <c r="A11" s="139">
        <v>5</v>
      </c>
      <c r="B11" s="143" t="s">
        <v>71</v>
      </c>
      <c r="C11" s="146">
        <f t="shared" ref="C11:M11" si="3">+C6*C36</f>
        <v>1567615.96</v>
      </c>
      <c r="D11" s="146">
        <f t="shared" si="3"/>
        <v>495839.64</v>
      </c>
      <c r="E11" s="146">
        <f t="shared" si="3"/>
        <v>1968101.16</v>
      </c>
      <c r="F11" s="146">
        <f t="shared" si="3"/>
        <v>602632.82</v>
      </c>
      <c r="G11" s="146">
        <f t="shared" si="3"/>
        <v>53392.28</v>
      </c>
      <c r="H11" s="146">
        <f t="shared" si="3"/>
        <v>53392.28</v>
      </c>
      <c r="I11" s="146">
        <f t="shared" si="0"/>
        <v>4740974.14</v>
      </c>
      <c r="T11" s="143" t="s">
        <v>71</v>
      </c>
      <c r="AJ11" s="143" t="s">
        <v>72</v>
      </c>
      <c r="AK11" s="143" t="s">
        <v>71</v>
      </c>
    </row>
    <row r="12" spans="1:37">
      <c r="A12" s="139">
        <v>6</v>
      </c>
      <c r="B12" s="143" t="s">
        <v>73</v>
      </c>
      <c r="C12" s="146">
        <f t="shared" ref="C12:M12" si="4">+C6*C37</f>
        <v>789263.72</v>
      </c>
      <c r="D12" s="146">
        <f t="shared" si="4"/>
        <v>249645.48</v>
      </c>
      <c r="E12" s="146">
        <f t="shared" si="4"/>
        <v>990900.12</v>
      </c>
      <c r="F12" s="146">
        <f t="shared" si="4"/>
        <v>303413.74</v>
      </c>
      <c r="G12" s="146">
        <f t="shared" si="4"/>
        <v>26881.96</v>
      </c>
      <c r="H12" s="146">
        <f t="shared" si="4"/>
        <v>26881.96</v>
      </c>
      <c r="I12" s="146">
        <f t="shared" si="0"/>
        <v>2386986.98</v>
      </c>
      <c r="T12" s="143" t="s">
        <v>73</v>
      </c>
      <c r="AJ12" s="143" t="s">
        <v>74</v>
      </c>
      <c r="AK12" s="143" t="s">
        <v>73</v>
      </c>
    </row>
    <row r="13" spans="1:38">
      <c r="A13" s="139">
        <v>7</v>
      </c>
      <c r="B13" s="143" t="s">
        <v>75</v>
      </c>
      <c r="C13" s="146">
        <f t="shared" ref="C13:M13" si="5">+C6*C38</f>
        <v>1600350.4</v>
      </c>
      <c r="D13" s="146">
        <f t="shared" si="5"/>
        <v>506193.6</v>
      </c>
      <c r="E13" s="146">
        <f t="shared" si="5"/>
        <v>2009198.4</v>
      </c>
      <c r="F13" s="146">
        <f t="shared" si="5"/>
        <v>615216.8</v>
      </c>
      <c r="G13" s="146">
        <f t="shared" si="5"/>
        <v>54507.2</v>
      </c>
      <c r="H13" s="146">
        <f t="shared" si="5"/>
        <v>54507.2</v>
      </c>
      <c r="I13" s="146">
        <f t="shared" si="0"/>
        <v>4839973.6</v>
      </c>
      <c r="T13" s="143" t="s">
        <v>75</v>
      </c>
      <c r="AJ13" s="143" t="s">
        <v>76</v>
      </c>
      <c r="AK13" s="143" t="s">
        <v>75</v>
      </c>
      <c r="AL13" s="137" t="s">
        <v>58</v>
      </c>
    </row>
    <row r="14" spans="1:37">
      <c r="A14" s="139">
        <v>8</v>
      </c>
      <c r="B14" s="147" t="s">
        <v>77</v>
      </c>
      <c r="C14" s="146">
        <f t="shared" ref="C14:M14" si="6">SUM(C11:C13)</f>
        <v>3957230.08</v>
      </c>
      <c r="D14" s="146">
        <f t="shared" si="6"/>
        <v>1251678.72</v>
      </c>
      <c r="E14" s="146">
        <f t="shared" si="6"/>
        <v>4968199.68</v>
      </c>
      <c r="F14" s="146">
        <f t="shared" si="6"/>
        <v>1521263.36</v>
      </c>
      <c r="G14" s="146">
        <f t="shared" si="6"/>
        <v>134781.44</v>
      </c>
      <c r="H14" s="146">
        <f t="shared" si="6"/>
        <v>134781.44</v>
      </c>
      <c r="I14" s="146">
        <f t="shared" si="0"/>
        <v>11967934.72</v>
      </c>
      <c r="T14" s="147" t="s">
        <v>77</v>
      </c>
      <c r="AJ14" s="143" t="s">
        <v>78</v>
      </c>
      <c r="AK14" s="147" t="s">
        <v>77</v>
      </c>
    </row>
    <row r="15" spans="1:37">
      <c r="A15" s="139">
        <v>9</v>
      </c>
      <c r="B15" s="147" t="s">
        <v>79</v>
      </c>
      <c r="C15" s="146">
        <f t="shared" ref="C15:M15" si="7">+C9-C10-C14</f>
        <v>4216603.96946747</v>
      </c>
      <c r="D15" s="146">
        <f t="shared" si="7"/>
        <v>12519.6538332968</v>
      </c>
      <c r="E15" s="146">
        <f t="shared" si="7"/>
        <v>5452309.22064161</v>
      </c>
      <c r="F15" s="146">
        <f t="shared" si="7"/>
        <v>-1314539.42146124</v>
      </c>
      <c r="G15" s="146">
        <f t="shared" si="7"/>
        <v>531750.054952556</v>
      </c>
      <c r="H15" s="146">
        <f t="shared" si="7"/>
        <v>581432.199205505</v>
      </c>
      <c r="I15" s="146">
        <f t="shared" si="0"/>
        <v>9480075.6766392</v>
      </c>
      <c r="T15" s="147" t="s">
        <v>79</v>
      </c>
      <c r="AJ15" s="143" t="s">
        <v>80</v>
      </c>
      <c r="AK15" s="147" t="s">
        <v>79</v>
      </c>
    </row>
    <row r="16" spans="1:37">
      <c r="A16" s="139">
        <v>10</v>
      </c>
      <c r="B16" s="143" t="s">
        <v>81</v>
      </c>
      <c r="C16" s="148">
        <f t="shared" ref="C16:N16" si="8">+C15/C9</f>
        <v>0.128455645676595</v>
      </c>
      <c r="D16" s="148">
        <f t="shared" si="8"/>
        <v>0.00120581626274046</v>
      </c>
      <c r="E16" s="148">
        <f t="shared" si="8"/>
        <v>0.132300998096221</v>
      </c>
      <c r="F16" s="148">
        <f t="shared" si="8"/>
        <v>-0.104171974051317</v>
      </c>
      <c r="G16" s="148">
        <f t="shared" si="8"/>
        <v>0.475618935090036</v>
      </c>
      <c r="H16" s="148">
        <f t="shared" si="8"/>
        <v>0.520056671057332</v>
      </c>
      <c r="I16" s="148">
        <f t="shared" si="8"/>
        <v>0.0954936024822458</v>
      </c>
      <c r="J16" s="164"/>
      <c r="K16" s="164"/>
      <c r="L16" s="164"/>
      <c r="T16" s="143" t="s">
        <v>81</v>
      </c>
      <c r="AJ16" s="143" t="s">
        <v>82</v>
      </c>
      <c r="AK16" s="143" t="s">
        <v>81</v>
      </c>
    </row>
    <row r="17" spans="1:37">
      <c r="A17" s="139">
        <v>11</v>
      </c>
      <c r="B17" s="143" t="s">
        <v>83</v>
      </c>
      <c r="C17" s="146">
        <f t="shared" ref="C17:M17" si="9">C6*C43+C18</f>
        <v>1573305.04444444</v>
      </c>
      <c r="D17" s="146">
        <f t="shared" si="9"/>
        <v>553749.844444444</v>
      </c>
      <c r="E17" s="146">
        <f t="shared" si="9"/>
        <v>1954277.04444444</v>
      </c>
      <c r="F17" s="146">
        <f t="shared" si="9"/>
        <v>655339.644444444</v>
      </c>
      <c r="G17" s="146">
        <f t="shared" si="9"/>
        <v>132860.244444444</v>
      </c>
      <c r="H17" s="146">
        <f t="shared" si="9"/>
        <v>132860.244444444</v>
      </c>
      <c r="I17" s="146">
        <f>+SUM(C17:H17)</f>
        <v>5002392.06666667</v>
      </c>
      <c r="J17" s="163"/>
      <c r="T17" s="143" t="s">
        <v>83</v>
      </c>
      <c r="AJ17" s="143" t="s">
        <v>84</v>
      </c>
      <c r="AK17" s="143" t="s">
        <v>83</v>
      </c>
    </row>
    <row r="18" s="135" customFormat="1" spans="1:12">
      <c r="A18" s="139">
        <v>12</v>
      </c>
      <c r="B18" s="149" t="s">
        <v>167</v>
      </c>
      <c r="C18" s="150">
        <f t="shared" ref="C18:M18" si="10">$I$18/$I$6*C6</f>
        <v>82069.4444444444</v>
      </c>
      <c r="D18" s="150">
        <f t="shared" si="10"/>
        <v>82069.4444444444</v>
      </c>
      <c r="E18" s="150">
        <f t="shared" si="10"/>
        <v>82069.4444444444</v>
      </c>
      <c r="F18" s="150">
        <f t="shared" si="10"/>
        <v>82069.4444444444</v>
      </c>
      <c r="G18" s="150">
        <f t="shared" si="10"/>
        <v>82069.4444444444</v>
      </c>
      <c r="H18" s="150">
        <f t="shared" si="10"/>
        <v>82069.4444444444</v>
      </c>
      <c r="I18" s="146">
        <f>项目投资!F26</f>
        <v>492416.666666667</v>
      </c>
      <c r="J18" s="165" t="s">
        <v>168</v>
      </c>
      <c r="K18" s="165"/>
      <c r="L18" s="165"/>
    </row>
    <row r="19" spans="1:38">
      <c r="A19" s="139">
        <v>13</v>
      </c>
      <c r="B19" s="143" t="s">
        <v>85</v>
      </c>
      <c r="C19" s="146">
        <f t="shared" ref="C19:M19" si="11">C6*C44</f>
        <v>254601.2</v>
      </c>
      <c r="D19" s="146">
        <f t="shared" si="11"/>
        <v>80530.8</v>
      </c>
      <c r="E19" s="146">
        <f t="shared" si="11"/>
        <v>319645.2</v>
      </c>
      <c r="F19" s="146">
        <f t="shared" si="11"/>
        <v>97875.4</v>
      </c>
      <c r="G19" s="146">
        <f t="shared" si="11"/>
        <v>8671.6</v>
      </c>
      <c r="H19" s="146">
        <f t="shared" si="11"/>
        <v>8671.6</v>
      </c>
      <c r="I19" s="146">
        <f>+SUM(C19:H19)</f>
        <v>769995.8</v>
      </c>
      <c r="J19" s="135"/>
      <c r="T19" s="143" t="s">
        <v>85</v>
      </c>
      <c r="AJ19" s="143" t="s">
        <v>86</v>
      </c>
      <c r="AK19" s="143" t="s">
        <v>85</v>
      </c>
      <c r="AL19" s="137" t="s">
        <v>58</v>
      </c>
    </row>
    <row r="20" spans="1:37">
      <c r="A20" s="139">
        <v>14</v>
      </c>
      <c r="B20" s="143" t="s">
        <v>87</v>
      </c>
      <c r="C20" s="146">
        <f t="shared" ref="C20:M20" si="12">C6*C45</f>
        <v>1236634.4</v>
      </c>
      <c r="D20" s="146">
        <f t="shared" si="12"/>
        <v>391149.6</v>
      </c>
      <c r="E20" s="146">
        <f t="shared" si="12"/>
        <v>1552562.4</v>
      </c>
      <c r="F20" s="146">
        <f t="shared" si="12"/>
        <v>475394.8</v>
      </c>
      <c r="G20" s="146">
        <f t="shared" si="12"/>
        <v>42119.2</v>
      </c>
      <c r="H20" s="146">
        <f t="shared" si="12"/>
        <v>42119.2</v>
      </c>
      <c r="I20" s="146">
        <f>+SUM(C20:H20)</f>
        <v>3739979.6</v>
      </c>
      <c r="T20" s="143" t="s">
        <v>87</v>
      </c>
      <c r="AJ20" s="143" t="s">
        <v>88</v>
      </c>
      <c r="AK20" s="143" t="s">
        <v>87</v>
      </c>
    </row>
    <row r="21" spans="1:37">
      <c r="A21" s="139">
        <v>15</v>
      </c>
      <c r="B21" s="143" t="s">
        <v>89</v>
      </c>
      <c r="C21" s="151">
        <f t="shared" ref="C21:M21" si="13">$I$21/$I$6*C6</f>
        <v>1666.66666666667</v>
      </c>
      <c r="D21" s="151">
        <f t="shared" si="13"/>
        <v>1666.66666666667</v>
      </c>
      <c r="E21" s="151">
        <f t="shared" si="13"/>
        <v>1666.66666666667</v>
      </c>
      <c r="F21" s="151">
        <f t="shared" si="13"/>
        <v>1666.66666666667</v>
      </c>
      <c r="G21" s="151">
        <f t="shared" si="13"/>
        <v>1666.66666666667</v>
      </c>
      <c r="H21" s="151">
        <f t="shared" si="13"/>
        <v>1666.66666666667</v>
      </c>
      <c r="I21" s="146">
        <f>项目投资!F27</f>
        <v>10000</v>
      </c>
      <c r="T21" s="143" t="s">
        <v>89</v>
      </c>
      <c r="AJ21" s="143"/>
      <c r="AK21" s="143"/>
    </row>
    <row r="22" spans="1:37">
      <c r="A22" s="139">
        <v>16</v>
      </c>
      <c r="B22" s="143" t="s">
        <v>90</v>
      </c>
      <c r="C22" s="146">
        <f t="shared" ref="C22:M22" si="14">C6*C47</f>
        <v>1091148</v>
      </c>
      <c r="D22" s="146">
        <f t="shared" si="14"/>
        <v>345132</v>
      </c>
      <c r="E22" s="146">
        <f t="shared" si="14"/>
        <v>1369908</v>
      </c>
      <c r="F22" s="146">
        <f t="shared" si="14"/>
        <v>419466</v>
      </c>
      <c r="G22" s="146">
        <f t="shared" si="14"/>
        <v>37164</v>
      </c>
      <c r="H22" s="146">
        <f t="shared" si="14"/>
        <v>37164</v>
      </c>
      <c r="I22" s="146">
        <f>+SUM(C22:H22)</f>
        <v>3299982</v>
      </c>
      <c r="T22" s="143" t="s">
        <v>90</v>
      </c>
      <c r="AJ22" s="143" t="s">
        <v>91</v>
      </c>
      <c r="AK22" s="143" t="s">
        <v>90</v>
      </c>
    </row>
    <row r="23" spans="1:37">
      <c r="A23" s="139">
        <v>17</v>
      </c>
      <c r="B23" s="147" t="s">
        <v>92</v>
      </c>
      <c r="C23" s="151">
        <f t="shared" ref="C23:N23" si="15">+C22+C21+C20+C19+C17</f>
        <v>4157355.31111111</v>
      </c>
      <c r="D23" s="151">
        <f t="shared" si="15"/>
        <v>1372228.91111111</v>
      </c>
      <c r="E23" s="151">
        <f t="shared" si="15"/>
        <v>5198059.31111111</v>
      </c>
      <c r="F23" s="151">
        <f t="shared" si="15"/>
        <v>1649742.51111111</v>
      </c>
      <c r="G23" s="151">
        <f t="shared" si="15"/>
        <v>222481.711111111</v>
      </c>
      <c r="H23" s="151">
        <f t="shared" si="15"/>
        <v>222481.711111111</v>
      </c>
      <c r="I23" s="151">
        <f t="shared" si="15"/>
        <v>12822349.4666667</v>
      </c>
      <c r="T23" s="147" t="s">
        <v>92</v>
      </c>
      <c r="AJ23" s="143" t="s">
        <v>93</v>
      </c>
      <c r="AK23" s="147" t="s">
        <v>92</v>
      </c>
    </row>
    <row r="24" spans="1:37">
      <c r="A24" s="139">
        <v>18</v>
      </c>
      <c r="B24" s="152" t="s">
        <v>94</v>
      </c>
      <c r="C24" s="151">
        <f t="shared" ref="C24:N24" si="16">+C15-C23</f>
        <v>59248.658356363</v>
      </c>
      <c r="D24" s="151">
        <f t="shared" si="16"/>
        <v>-1359709.25727781</v>
      </c>
      <c r="E24" s="151">
        <f t="shared" si="16"/>
        <v>254249.909530498</v>
      </c>
      <c r="F24" s="151">
        <f t="shared" si="16"/>
        <v>-2964281.93257235</v>
      </c>
      <c r="G24" s="151">
        <f t="shared" si="16"/>
        <v>309268.343841445</v>
      </c>
      <c r="H24" s="151">
        <f t="shared" si="16"/>
        <v>358950.488094394</v>
      </c>
      <c r="I24" s="151">
        <f t="shared" si="16"/>
        <v>-3342273.79002746</v>
      </c>
      <c r="K24" s="166"/>
      <c r="T24" s="143" t="s">
        <v>94</v>
      </c>
      <c r="AJ24" s="143" t="s">
        <v>95</v>
      </c>
      <c r="AK24" s="143" t="s">
        <v>94</v>
      </c>
    </row>
    <row r="25" spans="1:37">
      <c r="A25" s="139">
        <v>19</v>
      </c>
      <c r="B25" s="143" t="s">
        <v>169</v>
      </c>
      <c r="C25" s="151"/>
      <c r="D25" s="151"/>
      <c r="E25" s="151"/>
      <c r="F25" s="151"/>
      <c r="G25" s="151">
        <f>IF(G24&lt;0,0,G24*0.25)</f>
        <v>77317.0859603613</v>
      </c>
      <c r="H25" s="151">
        <f>IF(H24&lt;0,0,H24*0.25)</f>
        <v>89737.6220235984</v>
      </c>
      <c r="I25" s="151">
        <f>IF(I24&lt;0,0,I24*0.25)</f>
        <v>0</v>
      </c>
      <c r="J25" s="2"/>
      <c r="K25" s="2"/>
      <c r="L25" s="2"/>
      <c r="T25" s="143" t="s">
        <v>38</v>
      </c>
      <c r="AJ25" s="143" t="s">
        <v>96</v>
      </c>
      <c r="AK25" s="143" t="s">
        <v>38</v>
      </c>
    </row>
    <row r="26" spans="1:37">
      <c r="A26" s="139">
        <v>20</v>
      </c>
      <c r="B26" s="143" t="s">
        <v>97</v>
      </c>
      <c r="C26" s="151">
        <f t="shared" ref="C26:M26" si="17">C24-C25</f>
        <v>59248.658356363</v>
      </c>
      <c r="D26" s="151">
        <f t="shared" si="17"/>
        <v>-1359709.25727781</v>
      </c>
      <c r="E26" s="151">
        <f t="shared" si="17"/>
        <v>254249.909530498</v>
      </c>
      <c r="F26" s="151">
        <f t="shared" si="17"/>
        <v>-2964281.93257235</v>
      </c>
      <c r="G26" s="151">
        <f t="shared" si="17"/>
        <v>231951.257881084</v>
      </c>
      <c r="H26" s="151">
        <f t="shared" si="17"/>
        <v>269212.866070795</v>
      </c>
      <c r="I26" s="146">
        <f>+SUM(C26:H26)</f>
        <v>-3509328.49801142</v>
      </c>
      <c r="J26" s="2"/>
      <c r="K26" s="2"/>
      <c r="L26" s="2"/>
      <c r="T26" s="143" t="s">
        <v>97</v>
      </c>
      <c r="AJ26" s="143" t="s">
        <v>98</v>
      </c>
      <c r="AK26" s="143" t="s">
        <v>97</v>
      </c>
    </row>
    <row r="27" spans="1:37">
      <c r="A27" s="139">
        <v>21</v>
      </c>
      <c r="B27" s="143" t="s">
        <v>101</v>
      </c>
      <c r="C27" s="153">
        <f t="shared" ref="C27:N27" si="18">C26/C7</f>
        <v>0.0016289813578826</v>
      </c>
      <c r="D27" s="153">
        <f t="shared" si="18"/>
        <v>-0.118190366927246</v>
      </c>
      <c r="E27" s="153">
        <f t="shared" si="18"/>
        <v>0.00556789016920475</v>
      </c>
      <c r="F27" s="153">
        <f t="shared" si="18"/>
        <v>-0.212003971661995</v>
      </c>
      <c r="G27" s="153">
        <f t="shared" si="18"/>
        <v>0.187238664740946</v>
      </c>
      <c r="H27" s="153">
        <f t="shared" si="18"/>
        <v>0.21731745727381</v>
      </c>
      <c r="I27" s="167">
        <f t="shared" si="18"/>
        <v>-0.0319031603627968</v>
      </c>
      <c r="J27" s="2"/>
      <c r="K27" s="2"/>
      <c r="L27" s="2"/>
      <c r="T27" s="143" t="s">
        <v>101</v>
      </c>
      <c r="AJ27" s="143" t="s">
        <v>100</v>
      </c>
      <c r="AK27" s="143" t="s">
        <v>101</v>
      </c>
    </row>
    <row r="28" spans="10:20">
      <c r="J28" s="2"/>
      <c r="K28" s="2"/>
      <c r="L28" s="2"/>
      <c r="T28" s="143"/>
    </row>
    <row r="29" spans="1:36">
      <c r="A29" s="137" t="s">
        <v>102</v>
      </c>
      <c r="I29" s="138" t="s">
        <v>170</v>
      </c>
      <c r="J29" s="2"/>
      <c r="K29" s="2"/>
      <c r="L29" s="2"/>
      <c r="T29" s="143"/>
      <c r="AJ29" s="137" t="s">
        <v>102</v>
      </c>
    </row>
    <row r="30" spans="1:37">
      <c r="A30" s="143" t="s">
        <v>103</v>
      </c>
      <c r="B30" s="147" t="s">
        <v>104</v>
      </c>
      <c r="C30" s="151"/>
      <c r="D30" s="151"/>
      <c r="E30" s="151"/>
      <c r="F30" s="151"/>
      <c r="G30" s="151"/>
      <c r="H30" s="151"/>
      <c r="I30" s="151"/>
      <c r="J30" s="2"/>
      <c r="K30" s="2"/>
      <c r="L30" s="2"/>
      <c r="N30" s="2"/>
      <c r="T30" s="147" t="s">
        <v>104</v>
      </c>
      <c r="AJ30" s="143" t="s">
        <v>105</v>
      </c>
      <c r="AK30" s="147" t="s">
        <v>104</v>
      </c>
    </row>
    <row r="31" spans="1:37">
      <c r="A31" s="139">
        <v>1</v>
      </c>
      <c r="B31" s="149" t="s">
        <v>106</v>
      </c>
      <c r="C31" s="154">
        <f>销量!C8</f>
        <v>1818.58</v>
      </c>
      <c r="D31" s="154">
        <f>销量!D8</f>
        <v>575.22</v>
      </c>
      <c r="E31" s="154">
        <f>销量!E8</f>
        <v>2283.18</v>
      </c>
      <c r="F31" s="154">
        <f>销量!F8</f>
        <v>699.11</v>
      </c>
      <c r="G31" s="154">
        <f>销量!G8</f>
        <v>61.94</v>
      </c>
      <c r="H31" s="154">
        <f>销量!H8</f>
        <v>61.94</v>
      </c>
      <c r="I31" s="151"/>
      <c r="J31" s="2"/>
      <c r="K31" s="2"/>
      <c r="L31" s="2"/>
      <c r="N31" s="2"/>
      <c r="T31" s="143" t="s">
        <v>106</v>
      </c>
      <c r="AJ31" s="143" t="s">
        <v>60</v>
      </c>
      <c r="AK31" s="143" t="s">
        <v>106</v>
      </c>
    </row>
    <row r="32" spans="1:37">
      <c r="A32" s="139">
        <v>2</v>
      </c>
      <c r="B32" s="143" t="s">
        <v>171</v>
      </c>
      <c r="C32" s="146">
        <f t="shared" ref="C32:M32" si="19">C31*1</f>
        <v>1818.58</v>
      </c>
      <c r="D32" s="146">
        <f t="shared" si="19"/>
        <v>575.22</v>
      </c>
      <c r="E32" s="146">
        <f t="shared" si="19"/>
        <v>2283.18</v>
      </c>
      <c r="F32" s="146">
        <f t="shared" si="19"/>
        <v>699.11</v>
      </c>
      <c r="G32" s="146">
        <f t="shared" si="19"/>
        <v>61.94</v>
      </c>
      <c r="H32" s="146">
        <f t="shared" si="19"/>
        <v>61.94</v>
      </c>
      <c r="I32" s="151"/>
      <c r="J32" s="2"/>
      <c r="K32" s="2"/>
      <c r="L32" s="2"/>
      <c r="M32" s="2"/>
      <c r="N32" s="2"/>
      <c r="O32" s="2"/>
      <c r="P32" s="2"/>
      <c r="AJ32" s="143"/>
      <c r="AK32" s="143"/>
    </row>
    <row r="33" spans="1:37">
      <c r="A33" s="139">
        <v>3</v>
      </c>
      <c r="B33" s="149" t="s">
        <v>107</v>
      </c>
      <c r="C33" s="146">
        <f>材料成本!D28</f>
        <v>1232.57674752663</v>
      </c>
      <c r="D33" s="146">
        <f>材料成本!E28</f>
        <v>455.926131308335</v>
      </c>
      <c r="E33" s="146">
        <f>材料成本!F28</f>
        <v>1539.54450496792</v>
      </c>
      <c r="F33" s="146">
        <f>材料成本!G28</f>
        <v>620.610578073062</v>
      </c>
      <c r="G33" s="146">
        <f>材料成本!H28</f>
        <v>22.5742752523722</v>
      </c>
      <c r="H33" s="146">
        <f>材料成本!I28</f>
        <v>20.0901680397248</v>
      </c>
      <c r="I33" s="151"/>
      <c r="K33" s="2"/>
      <c r="L33" s="2"/>
      <c r="M33" s="2"/>
      <c r="N33" s="2"/>
      <c r="O33" s="2"/>
      <c r="P33" s="2"/>
      <c r="T33" s="143" t="s">
        <v>107</v>
      </c>
      <c r="AJ33" s="143" t="s">
        <v>62</v>
      </c>
      <c r="AK33" s="143" t="s">
        <v>107</v>
      </c>
    </row>
    <row r="34" ht="17.25" customHeight="1" spans="1:37">
      <c r="A34" s="139">
        <v>4</v>
      </c>
      <c r="B34" s="143" t="s">
        <v>109</v>
      </c>
      <c r="C34" s="155">
        <f t="shared" ref="C34:M34" si="20">C32-C33</f>
        <v>586.003252473374</v>
      </c>
      <c r="D34" s="155">
        <f t="shared" si="20"/>
        <v>119.293868691665</v>
      </c>
      <c r="E34" s="155">
        <f t="shared" si="20"/>
        <v>743.63549503208</v>
      </c>
      <c r="F34" s="155">
        <f t="shared" si="20"/>
        <v>78.499421926938</v>
      </c>
      <c r="G34" s="155">
        <f t="shared" si="20"/>
        <v>39.3657247476278</v>
      </c>
      <c r="H34" s="155">
        <f t="shared" si="20"/>
        <v>41.8498319602752</v>
      </c>
      <c r="I34" s="151"/>
      <c r="K34" s="2"/>
      <c r="L34" s="2"/>
      <c r="M34" s="2"/>
      <c r="N34" s="2"/>
      <c r="O34" s="2"/>
      <c r="P34" s="2"/>
      <c r="T34" s="143" t="s">
        <v>109</v>
      </c>
      <c r="AJ34" s="143" t="s">
        <v>108</v>
      </c>
      <c r="AK34" s="143" t="s">
        <v>109</v>
      </c>
    </row>
    <row r="35" spans="1:37">
      <c r="A35" s="143" t="s">
        <v>105</v>
      </c>
      <c r="B35" s="147" t="s">
        <v>10</v>
      </c>
      <c r="C35" s="151"/>
      <c r="D35" s="151"/>
      <c r="E35" s="151"/>
      <c r="F35" s="151"/>
      <c r="G35" s="151"/>
      <c r="H35" s="151"/>
      <c r="I35" s="151"/>
      <c r="J35" s="2"/>
      <c r="K35" s="2"/>
      <c r="L35" s="2"/>
      <c r="M35" s="2"/>
      <c r="N35" s="2"/>
      <c r="O35" s="2"/>
      <c r="P35" s="2"/>
      <c r="Q35" s="2"/>
      <c r="R35" s="2"/>
      <c r="S35" s="2"/>
      <c r="T35" s="147" t="s">
        <v>10</v>
      </c>
      <c r="AJ35" s="143" t="s">
        <v>111</v>
      </c>
      <c r="AK35" s="147" t="s">
        <v>10</v>
      </c>
    </row>
    <row r="36" spans="1:37">
      <c r="A36" s="139">
        <v>1</v>
      </c>
      <c r="B36" s="143" t="s">
        <v>112</v>
      </c>
      <c r="C36" s="150">
        <f>标准成本!E4</f>
        <v>78.380798</v>
      </c>
      <c r="D36" s="150">
        <f>标准成本!E16</f>
        <v>24.791982</v>
      </c>
      <c r="E36" s="150">
        <f>标准成本!E29</f>
        <v>98.405058</v>
      </c>
      <c r="F36" s="150">
        <f>标准成本!E42</f>
        <v>30.131641</v>
      </c>
      <c r="G36" s="150">
        <f>标准成本!E55</f>
        <v>2.669614</v>
      </c>
      <c r="H36" s="150">
        <f>标准成本!E68</f>
        <v>2.669614</v>
      </c>
      <c r="I36" s="154"/>
      <c r="J36" s="2"/>
      <c r="K36" s="2"/>
      <c r="L36" s="2"/>
      <c r="M36" s="2"/>
      <c r="N36" s="2"/>
      <c r="O36" s="2"/>
      <c r="P36" s="2"/>
      <c r="Q36" s="2"/>
      <c r="R36" s="2"/>
      <c r="S36" s="2"/>
      <c r="T36" s="143" t="s">
        <v>112</v>
      </c>
      <c r="AJ36" s="143" t="s">
        <v>108</v>
      </c>
      <c r="AK36" s="143" t="s">
        <v>112</v>
      </c>
    </row>
    <row r="37" spans="1:37">
      <c r="A37" s="139">
        <v>2</v>
      </c>
      <c r="B37" s="143" t="s">
        <v>113</v>
      </c>
      <c r="C37" s="150">
        <f>标准成本!E6</f>
        <v>39.463186</v>
      </c>
      <c r="D37" s="150">
        <f>标准成本!E18</f>
        <v>12.482274</v>
      </c>
      <c r="E37" s="150">
        <f>标准成本!E31</f>
        <v>49.545006</v>
      </c>
      <c r="F37" s="150">
        <f>标准成本!E44</f>
        <v>15.170687</v>
      </c>
      <c r="G37" s="150">
        <f>标准成本!E57</f>
        <v>1.344098</v>
      </c>
      <c r="H37" s="150">
        <f>标准成本!E70</f>
        <v>1.344098</v>
      </c>
      <c r="I37" s="154"/>
      <c r="J37" s="2"/>
      <c r="K37" s="2"/>
      <c r="L37" s="2"/>
      <c r="M37" s="2"/>
      <c r="N37" s="2"/>
      <c r="O37" s="2"/>
      <c r="P37" s="2"/>
      <c r="Q37" s="2"/>
      <c r="R37" s="2"/>
      <c r="S37" s="2"/>
      <c r="T37" s="143" t="s">
        <v>113</v>
      </c>
      <c r="AJ37" s="143" t="s">
        <v>65</v>
      </c>
      <c r="AK37" s="143" t="s">
        <v>113</v>
      </c>
    </row>
    <row r="38" spans="1:37">
      <c r="A38" s="139">
        <v>3</v>
      </c>
      <c r="B38" s="143" t="s">
        <v>114</v>
      </c>
      <c r="C38" s="150">
        <f>标准成本!E10</f>
        <v>80.01752</v>
      </c>
      <c r="D38" s="150">
        <f>标准成本!E22</f>
        <v>25.30968</v>
      </c>
      <c r="E38" s="150">
        <f>标准成本!E35</f>
        <v>100.45992</v>
      </c>
      <c r="F38" s="150">
        <f>标准成本!E48</f>
        <v>30.76084</v>
      </c>
      <c r="G38" s="150">
        <f>标准成本!E61</f>
        <v>2.72536</v>
      </c>
      <c r="H38" s="150">
        <f>标准成本!E74</f>
        <v>2.72536</v>
      </c>
      <c r="I38" s="154"/>
      <c r="J38" s="2"/>
      <c r="K38" s="2"/>
      <c r="L38" s="2"/>
      <c r="M38" s="2"/>
      <c r="N38" s="2"/>
      <c r="O38" s="2"/>
      <c r="P38" s="2"/>
      <c r="Q38" s="2"/>
      <c r="R38" s="2"/>
      <c r="S38" s="2"/>
      <c r="T38" s="143" t="s">
        <v>114</v>
      </c>
      <c r="AJ38" s="143" t="s">
        <v>72</v>
      </c>
      <c r="AK38" s="143" t="s">
        <v>114</v>
      </c>
    </row>
    <row r="39" spans="1:37">
      <c r="A39" s="143" t="s">
        <v>111</v>
      </c>
      <c r="B39" s="147" t="s">
        <v>116</v>
      </c>
      <c r="C39" s="151"/>
      <c r="D39" s="151"/>
      <c r="E39" s="151"/>
      <c r="F39" s="151"/>
      <c r="G39" s="151"/>
      <c r="H39" s="151"/>
      <c r="I39" s="151"/>
      <c r="T39" s="147" t="s">
        <v>116</v>
      </c>
      <c r="AJ39" s="143" t="s">
        <v>115</v>
      </c>
      <c r="AK39" s="147" t="s">
        <v>116</v>
      </c>
    </row>
    <row r="40" spans="1:37">
      <c r="A40" s="139">
        <v>1</v>
      </c>
      <c r="B40" s="143" t="s">
        <v>118</v>
      </c>
      <c r="C40" s="151">
        <f t="shared" ref="C40:M40" si="21">C34-C36-C37-C38</f>
        <v>388.141748473374</v>
      </c>
      <c r="D40" s="151">
        <f t="shared" si="21"/>
        <v>56.7099326916649</v>
      </c>
      <c r="E40" s="151">
        <f t="shared" si="21"/>
        <v>495.22551103208</v>
      </c>
      <c r="F40" s="151">
        <f t="shared" si="21"/>
        <v>2.436253926938</v>
      </c>
      <c r="G40" s="151">
        <f t="shared" si="21"/>
        <v>32.6266527476278</v>
      </c>
      <c r="H40" s="151">
        <f t="shared" si="21"/>
        <v>35.1107599602752</v>
      </c>
      <c r="I40" s="151"/>
      <c r="T40" s="143" t="s">
        <v>118</v>
      </c>
      <c r="AJ40" s="143" t="s">
        <v>60</v>
      </c>
      <c r="AK40" s="143" t="s">
        <v>118</v>
      </c>
    </row>
    <row r="41" spans="1:37">
      <c r="A41" s="139">
        <v>2</v>
      </c>
      <c r="B41" s="143" t="s">
        <v>119</v>
      </c>
      <c r="C41" s="151"/>
      <c r="D41" s="151"/>
      <c r="E41" s="151"/>
      <c r="F41" s="151"/>
      <c r="G41" s="151"/>
      <c r="H41" s="151"/>
      <c r="I41" s="151"/>
      <c r="T41" s="143" t="s">
        <v>119</v>
      </c>
      <c r="AJ41" s="143" t="s">
        <v>62</v>
      </c>
      <c r="AK41" s="143" t="s">
        <v>119</v>
      </c>
    </row>
    <row r="42" spans="1:37">
      <c r="A42" s="143" t="s">
        <v>115</v>
      </c>
      <c r="B42" s="147" t="s">
        <v>121</v>
      </c>
      <c r="C42" s="151"/>
      <c r="D42" s="151"/>
      <c r="E42" s="151"/>
      <c r="F42" s="151"/>
      <c r="G42" s="151"/>
      <c r="H42" s="151"/>
      <c r="I42" s="151"/>
      <c r="T42" s="147" t="s">
        <v>121</v>
      </c>
      <c r="AJ42" s="143" t="s">
        <v>120</v>
      </c>
      <c r="AK42" s="147" t="s">
        <v>121</v>
      </c>
    </row>
    <row r="43" spans="1:37">
      <c r="A43" s="139">
        <v>1</v>
      </c>
      <c r="B43" s="152" t="s">
        <v>122</v>
      </c>
      <c r="C43" s="150">
        <f>标准成本!E5</f>
        <v>74.56178</v>
      </c>
      <c r="D43" s="150">
        <f>标准成本!E17</f>
        <v>23.58402</v>
      </c>
      <c r="E43" s="150">
        <f>标准成本!E30</f>
        <v>93.61038</v>
      </c>
      <c r="F43" s="150">
        <f>标准成本!E43</f>
        <v>28.66351</v>
      </c>
      <c r="G43" s="150">
        <f>标准成本!E56</f>
        <v>2.53954</v>
      </c>
      <c r="H43" s="150">
        <f>标准成本!E69</f>
        <v>2.53954</v>
      </c>
      <c r="I43" s="151"/>
      <c r="T43" s="143" t="s">
        <v>122</v>
      </c>
      <c r="AJ43" s="143" t="s">
        <v>60</v>
      </c>
      <c r="AK43" s="143" t="s">
        <v>122</v>
      </c>
    </row>
    <row r="44" spans="1:37">
      <c r="A44" s="139">
        <v>2</v>
      </c>
      <c r="B44" s="152" t="s">
        <v>123</v>
      </c>
      <c r="C44" s="150">
        <f>标准成本!E9</f>
        <v>12.73006</v>
      </c>
      <c r="D44" s="150">
        <f>标准成本!E21</f>
        <v>4.02654</v>
      </c>
      <c r="E44" s="150">
        <f>标准成本!E34</f>
        <v>15.98226</v>
      </c>
      <c r="F44" s="150">
        <f>标准成本!E47</f>
        <v>4.89377</v>
      </c>
      <c r="G44" s="150">
        <f>标准成本!E60</f>
        <v>0.43358</v>
      </c>
      <c r="H44" s="150">
        <f>标准成本!E73</f>
        <v>0.43358</v>
      </c>
      <c r="I44" s="151"/>
      <c r="T44" s="143" t="s">
        <v>123</v>
      </c>
      <c r="AJ44" s="143" t="s">
        <v>62</v>
      </c>
      <c r="AK44" s="143" t="s">
        <v>123</v>
      </c>
    </row>
    <row r="45" spans="1:37">
      <c r="A45" s="139">
        <v>3</v>
      </c>
      <c r="B45" s="152" t="s">
        <v>124</v>
      </c>
      <c r="C45" s="150">
        <f>标准成本!E8</f>
        <v>61.83172</v>
      </c>
      <c r="D45" s="150">
        <f>标准成本!E20</f>
        <v>19.55748</v>
      </c>
      <c r="E45" s="150">
        <f>标准成本!E33</f>
        <v>77.62812</v>
      </c>
      <c r="F45" s="150">
        <f>标准成本!E46</f>
        <v>23.76974</v>
      </c>
      <c r="G45" s="150">
        <f>标准成本!E59</f>
        <v>2.10596</v>
      </c>
      <c r="H45" s="150">
        <f>标准成本!E72</f>
        <v>2.10596</v>
      </c>
      <c r="I45" s="151"/>
      <c r="T45" s="143" t="s">
        <v>124</v>
      </c>
      <c r="AJ45" s="143" t="s">
        <v>108</v>
      </c>
      <c r="AK45" s="143" t="s">
        <v>124</v>
      </c>
    </row>
    <row r="46" s="136" customFormat="1" spans="1:37">
      <c r="A46" s="139">
        <v>4</v>
      </c>
      <c r="B46" s="152" t="s">
        <v>125</v>
      </c>
      <c r="C46" s="156">
        <f t="shared" ref="C46:M46" si="22">C21/C6</f>
        <v>0.0833333333333333</v>
      </c>
      <c r="D46" s="156">
        <f t="shared" si="22"/>
        <v>0.0833333333333333</v>
      </c>
      <c r="E46" s="156">
        <f t="shared" si="22"/>
        <v>0.0833333333333333</v>
      </c>
      <c r="F46" s="156">
        <f t="shared" si="22"/>
        <v>0.0833333333333333</v>
      </c>
      <c r="G46" s="156">
        <f t="shared" si="22"/>
        <v>0.0833333333333333</v>
      </c>
      <c r="H46" s="156">
        <f t="shared" si="22"/>
        <v>0.0833333333333333</v>
      </c>
      <c r="I46" s="156"/>
      <c r="T46" s="152" t="s">
        <v>127</v>
      </c>
      <c r="AJ46" s="152" t="s">
        <v>68</v>
      </c>
      <c r="AK46" s="152" t="s">
        <v>127</v>
      </c>
    </row>
    <row r="47" s="136" customFormat="1" spans="1:37">
      <c r="A47" s="139">
        <v>5</v>
      </c>
      <c r="B47" s="152" t="s">
        <v>127</v>
      </c>
      <c r="C47" s="156">
        <f>标准成本!E11</f>
        <v>54.5574</v>
      </c>
      <c r="D47" s="156">
        <f>标准成本!E23</f>
        <v>17.2566</v>
      </c>
      <c r="E47" s="156">
        <f>标准成本!E36</f>
        <v>68.4954</v>
      </c>
      <c r="F47" s="156">
        <f>标准成本!E49</f>
        <v>20.9733</v>
      </c>
      <c r="G47" s="156">
        <f>标准成本!E62</f>
        <v>1.8582</v>
      </c>
      <c r="H47" s="156">
        <f>标准成本!E75</f>
        <v>1.8582</v>
      </c>
      <c r="I47" s="156"/>
      <c r="T47" s="152" t="s">
        <v>127</v>
      </c>
      <c r="AJ47" s="152" t="s">
        <v>68</v>
      </c>
      <c r="AK47" s="152" t="s">
        <v>127</v>
      </c>
    </row>
    <row r="48" spans="1:37">
      <c r="A48" s="143" t="s">
        <v>120</v>
      </c>
      <c r="B48" s="147" t="s">
        <v>138</v>
      </c>
      <c r="C48" s="151">
        <f t="shared" ref="C48:M48" si="23">C40-C43-C44-C45-C47-C46</f>
        <v>184.37745514004</v>
      </c>
      <c r="D48" s="151">
        <f t="shared" si="23"/>
        <v>-7.79804064166844</v>
      </c>
      <c r="E48" s="151">
        <f t="shared" si="23"/>
        <v>239.426017698747</v>
      </c>
      <c r="F48" s="151">
        <f t="shared" si="23"/>
        <v>-75.9473994063953</v>
      </c>
      <c r="G48" s="151">
        <f t="shared" si="23"/>
        <v>25.6060394142945</v>
      </c>
      <c r="H48" s="151">
        <f t="shared" si="23"/>
        <v>28.0901466269419</v>
      </c>
      <c r="I48" s="151"/>
      <c r="T48" s="147" t="s">
        <v>138</v>
      </c>
      <c r="AJ48" s="143" t="s">
        <v>137</v>
      </c>
      <c r="AK48" s="147" t="s">
        <v>138</v>
      </c>
    </row>
    <row r="51" spans="3:8">
      <c r="C51" s="157"/>
      <c r="D51" s="157"/>
      <c r="E51" s="157"/>
      <c r="F51" s="157"/>
      <c r="G51" s="157"/>
      <c r="H51" s="157"/>
    </row>
    <row r="54" spans="2:14">
      <c r="B54" s="2"/>
      <c r="C54" s="158"/>
      <c r="D54" s="158"/>
      <c r="E54" s="158"/>
      <c r="F54" s="158"/>
      <c r="G54" s="158"/>
      <c r="H54" s="158"/>
      <c r="I54" s="158"/>
      <c r="J54" s="2"/>
      <c r="K54" s="2"/>
      <c r="L54" s="2"/>
      <c r="M54" s="2"/>
      <c r="N54" s="2"/>
    </row>
    <row r="55" spans="2:14">
      <c r="B55" s="2"/>
      <c r="C55" s="158"/>
      <c r="D55" s="158"/>
      <c r="E55" s="158"/>
      <c r="F55" s="158"/>
      <c r="G55" s="158"/>
      <c r="H55" s="158"/>
      <c r="I55" s="158"/>
      <c r="J55" s="2"/>
      <c r="K55" s="2"/>
      <c r="L55" s="2"/>
      <c r="M55" s="2"/>
      <c r="N55" s="2"/>
    </row>
    <row r="56" spans="2:14">
      <c r="B56" s="2"/>
      <c r="C56" s="158"/>
      <c r="D56" s="158"/>
      <c r="E56" s="158"/>
      <c r="F56" s="158"/>
      <c r="G56" s="158"/>
      <c r="H56" s="158"/>
      <c r="I56" s="158"/>
      <c r="J56" s="2"/>
      <c r="K56" s="2"/>
      <c r="L56" s="2"/>
      <c r="M56" s="2"/>
      <c r="N56" s="2"/>
    </row>
    <row r="57" spans="2:14">
      <c r="B57" s="2"/>
      <c r="C57" s="158"/>
      <c r="D57" s="158"/>
      <c r="E57" s="158"/>
      <c r="F57" s="158"/>
      <c r="G57" s="158"/>
      <c r="H57" s="158"/>
      <c r="I57" s="158"/>
      <c r="J57" s="2"/>
      <c r="K57" s="2"/>
      <c r="L57" s="2"/>
      <c r="M57" s="2"/>
      <c r="N57" s="2"/>
    </row>
    <row r="58" spans="2:14">
      <c r="B58" s="2"/>
      <c r="C58" s="158"/>
      <c r="D58" s="158"/>
      <c r="E58" s="158"/>
      <c r="F58" s="158"/>
      <c r="G58" s="158"/>
      <c r="H58" s="158"/>
      <c r="I58" s="158"/>
      <c r="J58" s="2"/>
      <c r="K58" s="2"/>
      <c r="L58" s="2"/>
      <c r="M58" s="2"/>
      <c r="N58" s="2"/>
    </row>
    <row r="59" spans="2:14">
      <c r="B59" s="2"/>
      <c r="C59" s="158"/>
      <c r="D59" s="158"/>
      <c r="E59" s="158"/>
      <c r="F59" s="158"/>
      <c r="G59" s="158"/>
      <c r="H59" s="158"/>
      <c r="I59" s="158"/>
      <c r="J59" s="2"/>
      <c r="K59" s="2"/>
      <c r="L59" s="2"/>
      <c r="M59" s="2"/>
      <c r="N59" s="2"/>
    </row>
    <row r="60" spans="2:14">
      <c r="B60" s="2"/>
      <c r="C60" s="158"/>
      <c r="D60" s="158"/>
      <c r="E60" s="158"/>
      <c r="F60" s="158"/>
      <c r="G60" s="158"/>
      <c r="H60" s="158"/>
      <c r="I60" s="158"/>
      <c r="J60" s="2"/>
      <c r="K60" s="2"/>
      <c r="L60" s="2"/>
      <c r="M60" s="2"/>
      <c r="N60" s="2"/>
    </row>
    <row r="61" spans="2:14">
      <c r="B61" s="2"/>
      <c r="C61" s="158"/>
      <c r="D61" s="158"/>
      <c r="E61" s="158"/>
      <c r="F61" s="158"/>
      <c r="G61" s="158"/>
      <c r="H61" s="158"/>
      <c r="I61" s="158"/>
      <c r="J61" s="2"/>
      <c r="K61" s="2"/>
      <c r="L61" s="2"/>
      <c r="M61" s="2"/>
      <c r="N61" s="2"/>
    </row>
    <row r="62" spans="2:14">
      <c r="B62" s="2"/>
      <c r="C62" s="158"/>
      <c r="D62" s="158"/>
      <c r="E62" s="158"/>
      <c r="F62" s="158"/>
      <c r="G62" s="158"/>
      <c r="H62" s="158"/>
      <c r="I62" s="158"/>
      <c r="J62" s="2"/>
      <c r="K62" s="2"/>
      <c r="L62" s="2"/>
      <c r="M62" s="2"/>
      <c r="N62" s="2"/>
    </row>
    <row r="63" spans="2:14">
      <c r="B63" s="2"/>
      <c r="C63" s="158"/>
      <c r="D63" s="158"/>
      <c r="E63" s="158"/>
      <c r="F63" s="158"/>
      <c r="G63" s="158"/>
      <c r="H63" s="158"/>
      <c r="I63" s="158"/>
      <c r="J63" s="2"/>
      <c r="K63" s="2"/>
      <c r="L63" s="2"/>
      <c r="M63" s="2"/>
      <c r="N63" s="2"/>
    </row>
    <row r="64" spans="2:14">
      <c r="B64" s="2"/>
      <c r="C64" s="158"/>
      <c r="D64" s="158"/>
      <c r="E64" s="158"/>
      <c r="F64" s="158"/>
      <c r="G64" s="158"/>
      <c r="H64" s="158"/>
      <c r="I64" s="158"/>
      <c r="J64" s="2"/>
      <c r="K64" s="2"/>
      <c r="L64" s="2"/>
      <c r="M64" s="2"/>
      <c r="N64" s="2"/>
    </row>
    <row r="65" spans="2:14">
      <c r="B65" s="2"/>
      <c r="C65" s="158"/>
      <c r="D65" s="158"/>
      <c r="E65" s="158"/>
      <c r="F65" s="158"/>
      <c r="G65" s="158"/>
      <c r="H65" s="158"/>
      <c r="I65" s="158"/>
      <c r="J65" s="2"/>
      <c r="K65" s="2"/>
      <c r="L65" s="2"/>
      <c r="M65" s="2"/>
      <c r="N65" s="2"/>
    </row>
    <row r="66" spans="2:14">
      <c r="B66" s="2"/>
      <c r="C66" s="158"/>
      <c r="D66" s="158"/>
      <c r="E66" s="158"/>
      <c r="F66" s="158"/>
      <c r="G66" s="158"/>
      <c r="H66" s="158"/>
      <c r="I66" s="158"/>
      <c r="J66" s="2"/>
      <c r="K66" s="2"/>
      <c r="L66" s="2"/>
      <c r="M66" s="2"/>
      <c r="N66" s="2"/>
    </row>
    <row r="67" spans="2:10">
      <c r="B67" s="2"/>
      <c r="C67" s="158"/>
      <c r="D67" s="158"/>
      <c r="E67" s="158"/>
      <c r="F67" s="158"/>
      <c r="G67" s="158"/>
      <c r="H67" s="158"/>
      <c r="I67" s="158"/>
      <c r="J67" s="2"/>
    </row>
    <row r="68" spans="2:10">
      <c r="B68" s="2"/>
      <c r="C68" s="158"/>
      <c r="D68" s="158"/>
      <c r="E68" s="158"/>
      <c r="F68" s="158"/>
      <c r="G68" s="158"/>
      <c r="H68" s="158"/>
      <c r="I68" s="158"/>
      <c r="J68" s="2"/>
    </row>
    <row r="69" spans="2:10">
      <c r="B69" s="2"/>
      <c r="C69" s="158"/>
      <c r="D69" s="158"/>
      <c r="E69" s="158"/>
      <c r="F69" s="158"/>
      <c r="G69" s="158"/>
      <c r="H69" s="158"/>
      <c r="I69" s="158"/>
      <c r="J69" s="2"/>
    </row>
    <row r="70" spans="2:10">
      <c r="B70" s="2"/>
      <c r="C70" s="158"/>
      <c r="D70" s="158"/>
      <c r="E70" s="158"/>
      <c r="F70" s="158"/>
      <c r="G70" s="158"/>
      <c r="H70" s="158"/>
      <c r="I70" s="158"/>
      <c r="J70" s="2"/>
    </row>
    <row r="71" spans="2:10">
      <c r="B71" s="2"/>
      <c r="C71" s="158"/>
      <c r="D71" s="158"/>
      <c r="E71" s="158"/>
      <c r="F71" s="158"/>
      <c r="G71" s="158"/>
      <c r="H71" s="158"/>
      <c r="I71" s="158"/>
      <c r="J71" s="2"/>
    </row>
    <row r="72" spans="2:10">
      <c r="B72" s="2"/>
      <c r="C72" s="158"/>
      <c r="D72" s="158"/>
      <c r="E72" s="158"/>
      <c r="F72" s="158"/>
      <c r="G72" s="158"/>
      <c r="H72" s="158"/>
      <c r="I72" s="158"/>
      <c r="J72" s="2"/>
    </row>
    <row r="73" spans="2:10">
      <c r="B73" s="2"/>
      <c r="C73" s="158"/>
      <c r="D73" s="158"/>
      <c r="E73" s="158"/>
      <c r="F73" s="158"/>
      <c r="G73" s="158"/>
      <c r="H73" s="158"/>
      <c r="I73" s="158"/>
      <c r="J73" s="2"/>
    </row>
    <row r="74" spans="2:10">
      <c r="B74" s="2"/>
      <c r="C74" s="158"/>
      <c r="D74" s="158"/>
      <c r="E74" s="158"/>
      <c r="F74" s="158"/>
      <c r="G74" s="158"/>
      <c r="H74" s="158"/>
      <c r="I74" s="158"/>
      <c r="J74" s="2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J26" sqref="J26"/>
    </sheetView>
  </sheetViews>
  <sheetFormatPr defaultColWidth="9" defaultRowHeight="14"/>
  <cols>
    <col min="1" max="1" width="19.5" customWidth="1"/>
    <col min="2" max="2" width="14.8727272727273" style="93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4" t="s">
        <v>174</v>
      </c>
      <c r="B1" s="94"/>
      <c r="C1" s="94"/>
      <c r="E1" s="95" t="s">
        <v>175</v>
      </c>
      <c r="F1" s="96"/>
      <c r="G1" s="96"/>
      <c r="H1" s="97"/>
    </row>
    <row r="2" ht="23.45" customHeight="1" spans="1:8">
      <c r="A2" s="98" t="s">
        <v>1</v>
      </c>
      <c r="B2" s="99" t="s">
        <v>176</v>
      </c>
      <c r="C2" s="100" t="s">
        <v>177</v>
      </c>
      <c r="E2" s="101" t="s">
        <v>178</v>
      </c>
      <c r="F2" s="101" t="s">
        <v>1</v>
      </c>
      <c r="G2" s="102" t="s">
        <v>179</v>
      </c>
      <c r="H2" s="101" t="s">
        <v>177</v>
      </c>
    </row>
    <row r="3" ht="15.75" customHeight="1" spans="1:8">
      <c r="A3" s="103" t="s">
        <v>180</v>
      </c>
      <c r="B3" s="104"/>
      <c r="C3" s="105"/>
      <c r="E3" s="106" t="s">
        <v>181</v>
      </c>
      <c r="F3" s="107" t="s">
        <v>182</v>
      </c>
      <c r="G3" s="108">
        <v>0</v>
      </c>
      <c r="H3" s="107"/>
    </row>
    <row r="4" ht="15.75" customHeight="1" spans="1:8">
      <c r="A4" s="103" t="s">
        <v>183</v>
      </c>
      <c r="B4" s="104"/>
      <c r="C4" s="109"/>
      <c r="E4" s="110"/>
      <c r="F4" s="107" t="s">
        <v>184</v>
      </c>
      <c r="G4" s="108"/>
      <c r="H4" s="107"/>
    </row>
    <row r="5" ht="15.75" customHeight="1" spans="1:8">
      <c r="A5" s="103" t="s">
        <v>185</v>
      </c>
      <c r="B5" s="111">
        <f>SUM(G3:G4)</f>
        <v>0</v>
      </c>
      <c r="C5" s="105"/>
      <c r="E5" s="112" t="s">
        <v>186</v>
      </c>
      <c r="F5" s="113" t="s">
        <v>187</v>
      </c>
      <c r="G5" s="108">
        <v>120</v>
      </c>
      <c r="H5" s="113"/>
    </row>
    <row r="6" ht="15.75" customHeight="1" spans="1:10">
      <c r="A6" s="103" t="s">
        <v>188</v>
      </c>
      <c r="B6" s="104"/>
      <c r="C6" s="105"/>
      <c r="E6" s="114"/>
      <c r="F6" s="113" t="s">
        <v>189</v>
      </c>
      <c r="G6" s="108">
        <v>30</v>
      </c>
      <c r="H6" s="107"/>
      <c r="J6">
        <v>10000</v>
      </c>
    </row>
    <row r="7" ht="15.75" customHeight="1" spans="1:8">
      <c r="A7" s="115" t="s">
        <v>190</v>
      </c>
      <c r="B7" s="111">
        <f>SUM(B3:B6)</f>
        <v>0</v>
      </c>
      <c r="C7" s="105"/>
      <c r="E7" s="114"/>
      <c r="F7" s="113" t="s">
        <v>191</v>
      </c>
      <c r="G7" s="108">
        <v>5.5</v>
      </c>
      <c r="H7" s="107"/>
    </row>
    <row r="8" ht="15.75" customHeight="1" spans="1:8">
      <c r="A8" s="116" t="s">
        <v>192</v>
      </c>
      <c r="B8" s="111">
        <f>SUM(G5:G12)</f>
        <v>155.5</v>
      </c>
      <c r="C8" s="117"/>
      <c r="E8" s="114"/>
      <c r="F8" s="113" t="s">
        <v>193</v>
      </c>
      <c r="G8" s="108"/>
      <c r="H8" s="107"/>
    </row>
    <row r="9" ht="15.75" customHeight="1" spans="1:8">
      <c r="A9" s="103" t="s">
        <v>194</v>
      </c>
      <c r="B9" s="111">
        <f>SUM(G13:G21)</f>
        <v>3</v>
      </c>
      <c r="C9" s="105"/>
      <c r="E9" s="114"/>
      <c r="F9" s="107" t="s">
        <v>195</v>
      </c>
      <c r="G9" s="118"/>
      <c r="H9" s="119"/>
    </row>
    <row r="10" ht="15.75" customHeight="1" spans="1:8">
      <c r="A10" s="109" t="s">
        <v>56</v>
      </c>
      <c r="B10" s="111">
        <f>B7+B8+B9</f>
        <v>158.5</v>
      </c>
      <c r="C10" s="105"/>
      <c r="E10" s="114"/>
      <c r="F10" s="107" t="s">
        <v>196</v>
      </c>
      <c r="G10" s="118"/>
      <c r="H10" s="107"/>
    </row>
    <row r="11" ht="15.75" customHeight="1" spans="5:8">
      <c r="E11" s="114"/>
      <c r="F11" s="107" t="s">
        <v>197</v>
      </c>
      <c r="G11" s="108"/>
      <c r="H11" s="107"/>
    </row>
    <row r="12" ht="15.75" customHeight="1" spans="5:8">
      <c r="E12" s="120"/>
      <c r="F12" s="107" t="s">
        <v>198</v>
      </c>
      <c r="G12" s="108"/>
      <c r="H12" s="119"/>
    </row>
    <row r="13" ht="15.75" customHeight="1" spans="5:8">
      <c r="E13" s="106" t="s">
        <v>89</v>
      </c>
      <c r="F13" s="107" t="s">
        <v>199</v>
      </c>
      <c r="G13" s="108"/>
      <c r="H13" s="121"/>
    </row>
    <row r="14" ht="15.75" customHeight="1" spans="5:8">
      <c r="E14" s="110"/>
      <c r="F14" s="107" t="s">
        <v>200</v>
      </c>
      <c r="G14" s="108"/>
      <c r="H14" s="107"/>
    </row>
    <row r="15" ht="15.75" customHeight="1" spans="5:8">
      <c r="E15" s="110"/>
      <c r="F15" s="107" t="s">
        <v>201</v>
      </c>
      <c r="G15" s="108"/>
      <c r="H15" s="107"/>
    </row>
    <row r="16" ht="15.75" customHeight="1" spans="5:8">
      <c r="E16" s="110"/>
      <c r="F16" s="107" t="s">
        <v>202</v>
      </c>
      <c r="G16" s="108"/>
      <c r="H16" s="107"/>
    </row>
    <row r="17" ht="15.75" customHeight="1" spans="5:8">
      <c r="E17" s="110"/>
      <c r="F17" s="107" t="s">
        <v>203</v>
      </c>
      <c r="G17" s="108"/>
      <c r="H17" s="107"/>
    </row>
    <row r="18" ht="15.75" customHeight="1" spans="5:8">
      <c r="E18" s="110"/>
      <c r="F18" s="107" t="s">
        <v>204</v>
      </c>
      <c r="G18" s="108">
        <v>3</v>
      </c>
      <c r="H18" s="107"/>
    </row>
    <row r="19" ht="15.75" customHeight="1" spans="5:8">
      <c r="E19" s="110"/>
      <c r="F19" s="107" t="s">
        <v>205</v>
      </c>
      <c r="G19" s="108"/>
      <c r="H19" s="107"/>
    </row>
    <row r="20" ht="15.75" customHeight="1" spans="5:8">
      <c r="E20" s="110"/>
      <c r="F20" s="107" t="s">
        <v>206</v>
      </c>
      <c r="G20" s="108"/>
      <c r="H20" s="107"/>
    </row>
    <row r="21" ht="15.75" customHeight="1" spans="5:8">
      <c r="E21" s="122"/>
      <c r="F21" s="107" t="s">
        <v>39</v>
      </c>
      <c r="G21" s="108"/>
      <c r="H21" s="107"/>
    </row>
    <row r="22" ht="15.75" customHeight="1" spans="5:8">
      <c r="E22" s="101" t="s">
        <v>56</v>
      </c>
      <c r="F22" s="107"/>
      <c r="G22" s="102">
        <f>SUM(G3:G21)</f>
        <v>158.5</v>
      </c>
      <c r="H22" s="107"/>
    </row>
    <row r="23" ht="30.75" customHeight="1" spans="5:8">
      <c r="E23" s="123" t="s">
        <v>207</v>
      </c>
      <c r="F23" s="123"/>
      <c r="G23" s="123"/>
      <c r="H23" s="123"/>
    </row>
    <row r="25" ht="16.5" spans="1:10">
      <c r="A25" s="124" t="s">
        <v>1</v>
      </c>
      <c r="B25" s="124" t="s">
        <v>176</v>
      </c>
      <c r="C25" s="124" t="s">
        <v>208</v>
      </c>
      <c r="D25" s="125" t="s">
        <v>53</v>
      </c>
      <c r="E25" s="125" t="s">
        <v>54</v>
      </c>
      <c r="F25" s="125" t="s">
        <v>55</v>
      </c>
      <c r="G25" s="125" t="s">
        <v>209</v>
      </c>
      <c r="H25" s="125" t="s">
        <v>210</v>
      </c>
      <c r="I25" s="125" t="s">
        <v>56</v>
      </c>
      <c r="J25" s="133" t="s">
        <v>211</v>
      </c>
    </row>
    <row r="26" ht="16.5" spans="1:10">
      <c r="A26" s="126" t="s">
        <v>167</v>
      </c>
      <c r="B26" s="127">
        <f>(B5+B8)*10000</f>
        <v>1555000</v>
      </c>
      <c r="C26" s="128">
        <v>0.05</v>
      </c>
      <c r="D26" s="129">
        <f>B26*(1-C26)/3</f>
        <v>492416.666666667</v>
      </c>
      <c r="E26" s="129">
        <f t="shared" ref="E26:F27" si="0">D26</f>
        <v>492416.666666667</v>
      </c>
      <c r="F26" s="129">
        <f t="shared" si="0"/>
        <v>492416.666666667</v>
      </c>
      <c r="G26" s="129"/>
      <c r="H26" s="129"/>
      <c r="I26" s="129">
        <f>SUM(D26:H26)</f>
        <v>1477250</v>
      </c>
      <c r="J26" s="129">
        <f>B26*0.05</f>
        <v>77750</v>
      </c>
    </row>
    <row r="27" ht="16.5" spans="1:10">
      <c r="A27" s="126" t="s">
        <v>212</v>
      </c>
      <c r="B27" s="127">
        <f>B9*10000</f>
        <v>30000</v>
      </c>
      <c r="C27" s="129"/>
      <c r="D27" s="129">
        <f>B27/3</f>
        <v>10000</v>
      </c>
      <c r="E27" s="129">
        <f t="shared" si="0"/>
        <v>10000</v>
      </c>
      <c r="F27" s="129">
        <f t="shared" si="0"/>
        <v>10000</v>
      </c>
      <c r="G27" s="129"/>
      <c r="H27" s="129"/>
      <c r="I27" s="129">
        <f>SUM(D27:H27)</f>
        <v>30000</v>
      </c>
      <c r="J27" s="129"/>
    </row>
    <row r="28" ht="16.5" spans="1:10">
      <c r="A28" s="130" t="s">
        <v>146</v>
      </c>
      <c r="B28" s="131"/>
      <c r="C28" s="132"/>
      <c r="D28" s="129">
        <f>SUM(D26:D27)</f>
        <v>502416.666666667</v>
      </c>
      <c r="E28" s="129">
        <f t="shared" ref="E28:H28" si="1">SUM(E26:E27)</f>
        <v>502416.666666667</v>
      </c>
      <c r="F28" s="129">
        <f t="shared" si="1"/>
        <v>502416.666666667</v>
      </c>
      <c r="G28" s="129">
        <f t="shared" si="1"/>
        <v>0</v>
      </c>
      <c r="H28" s="129">
        <f t="shared" si="1"/>
        <v>0</v>
      </c>
      <c r="I28" s="134"/>
      <c r="J28" s="13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zoomScale="85" zoomScaleNormal="85" topLeftCell="A3" workbookViewId="0">
      <selection activeCell="H24" sqref="H24"/>
    </sheetView>
  </sheetViews>
  <sheetFormatPr defaultColWidth="9" defaultRowHeight="16.5"/>
  <cols>
    <col min="1" max="1" width="14" style="68" customWidth="1"/>
    <col min="2" max="2" width="14.1272727272727" style="68" customWidth="1"/>
    <col min="3" max="3" width="14.7545454545455" style="68" customWidth="1"/>
    <col min="4" max="4" width="11.1272727272727" style="68" customWidth="1"/>
    <col min="5" max="5" width="12.8727272727273" style="68" customWidth="1"/>
    <col min="6" max="6" width="11.1272727272727" style="68" customWidth="1"/>
    <col min="7" max="7" width="13.2545454545455" style="68" customWidth="1"/>
    <col min="8" max="8" width="12.1272727272727" style="68" customWidth="1"/>
    <col min="9" max="9" width="11.6272727272727" style="68" customWidth="1"/>
    <col min="10" max="10" width="10.2636363636364" style="68" customWidth="1"/>
    <col min="11" max="12" width="10.2636363636364" style="69" customWidth="1"/>
    <col min="13" max="16384" width="9" style="68"/>
  </cols>
  <sheetData>
    <row r="1" ht="29.25" customHeight="1" spans="1:9">
      <c r="A1" s="70" t="s">
        <v>213</v>
      </c>
      <c r="E1" s="71"/>
      <c r="F1" s="71"/>
      <c r="G1" s="71"/>
      <c r="H1" s="71"/>
      <c r="I1" s="71"/>
    </row>
    <row r="2" ht="24" customHeight="1" spans="1:9">
      <c r="A2" s="72" t="s">
        <v>214</v>
      </c>
      <c r="E2" s="71"/>
      <c r="F2" s="71"/>
      <c r="G2" s="71"/>
      <c r="H2" s="71"/>
      <c r="I2" s="71"/>
    </row>
    <row r="3" spans="3:5">
      <c r="C3" s="68" t="s">
        <v>215</v>
      </c>
      <c r="D3" s="68" t="s">
        <v>216</v>
      </c>
      <c r="E3" s="73">
        <v>0.05</v>
      </c>
    </row>
    <row r="5" ht="45" customHeight="1" spans="1:9">
      <c r="A5" s="74" t="s">
        <v>217</v>
      </c>
      <c r="B5" s="75" t="s">
        <v>152</v>
      </c>
      <c r="C5" s="21" t="s">
        <v>153</v>
      </c>
      <c r="D5" s="21" t="s">
        <v>154</v>
      </c>
      <c r="E5" s="21" t="s">
        <v>153</v>
      </c>
      <c r="F5" s="21" t="s">
        <v>154</v>
      </c>
      <c r="G5" s="21" t="s">
        <v>155</v>
      </c>
      <c r="H5" s="21" t="s">
        <v>155</v>
      </c>
      <c r="I5" s="89" t="s">
        <v>56</v>
      </c>
    </row>
    <row r="6" ht="31.5" customHeight="1" spans="1:11">
      <c r="A6" s="74"/>
      <c r="B6" s="75" t="s">
        <v>156</v>
      </c>
      <c r="C6" s="21" t="s">
        <v>157</v>
      </c>
      <c r="D6" s="23" t="s">
        <v>158</v>
      </c>
      <c r="E6" s="23" t="s">
        <v>159</v>
      </c>
      <c r="F6" s="23" t="s">
        <v>160</v>
      </c>
      <c r="G6" s="23" t="s">
        <v>161</v>
      </c>
      <c r="H6" s="23" t="s">
        <v>162</v>
      </c>
      <c r="I6" s="90"/>
      <c r="K6" s="69">
        <v>100</v>
      </c>
    </row>
    <row r="7" ht="15.6" customHeight="1" spans="1:12">
      <c r="A7" s="74"/>
      <c r="B7" s="23" t="s">
        <v>218</v>
      </c>
      <c r="C7" s="76" t="s">
        <v>164</v>
      </c>
      <c r="D7" s="76" t="s">
        <v>164</v>
      </c>
      <c r="E7" s="23" t="s">
        <v>165</v>
      </c>
      <c r="F7" s="23" t="s">
        <v>165</v>
      </c>
      <c r="G7" s="76" t="s">
        <v>164</v>
      </c>
      <c r="H7" s="76" t="s">
        <v>164</v>
      </c>
      <c r="I7" s="91"/>
      <c r="J7" s="68">
        <v>2026</v>
      </c>
      <c r="K7" s="69">
        <f>K6*(1-$E$3)</f>
        <v>95</v>
      </c>
      <c r="L7" s="69">
        <f>K7/$K$6</f>
        <v>0.95</v>
      </c>
    </row>
    <row r="8" ht="33" spans="1:12">
      <c r="A8" s="74"/>
      <c r="B8" s="23" t="s">
        <v>219</v>
      </c>
      <c r="C8" s="77">
        <v>1818.58</v>
      </c>
      <c r="D8" s="77">
        <v>575.22</v>
      </c>
      <c r="E8" s="77">
        <v>2283.18</v>
      </c>
      <c r="F8" s="77">
        <v>699.11</v>
      </c>
      <c r="G8" s="77">
        <v>61.94</v>
      </c>
      <c r="H8" s="77">
        <v>61.94</v>
      </c>
      <c r="I8" s="92">
        <f t="shared" ref="I8:I13" si="0">SUM(C8:H8)</f>
        <v>5499.97</v>
      </c>
      <c r="J8" s="68">
        <v>2027</v>
      </c>
      <c r="K8" s="69">
        <f>K7*(1-$E$3)</f>
        <v>90.25</v>
      </c>
      <c r="L8" s="69">
        <f>K8/$K$6</f>
        <v>0.9025</v>
      </c>
    </row>
    <row r="9" spans="1:12">
      <c r="A9" s="74" t="s">
        <v>220</v>
      </c>
      <c r="B9" s="78" t="s">
        <v>53</v>
      </c>
      <c r="C9" s="79">
        <v>5000</v>
      </c>
      <c r="D9" s="79">
        <v>10000</v>
      </c>
      <c r="E9" s="79">
        <v>10000</v>
      </c>
      <c r="F9" s="79">
        <v>10000</v>
      </c>
      <c r="G9" s="79">
        <v>10000</v>
      </c>
      <c r="H9" s="79">
        <v>10000</v>
      </c>
      <c r="I9" s="92">
        <f t="shared" si="0"/>
        <v>55000</v>
      </c>
      <c r="J9" s="68">
        <v>2028</v>
      </c>
      <c r="K9" s="69">
        <f t="shared" ref="K8:K10" si="1">K8*(1-$E$3)</f>
        <v>85.7375</v>
      </c>
      <c r="L9" s="69">
        <f>K9/$K$6</f>
        <v>0.857375</v>
      </c>
    </row>
    <row r="10" spans="1:12">
      <c r="A10" s="74"/>
      <c r="B10" s="78" t="s">
        <v>54</v>
      </c>
      <c r="C10" s="79">
        <v>20000</v>
      </c>
      <c r="D10" s="79">
        <v>20000</v>
      </c>
      <c r="E10" s="79">
        <v>20000</v>
      </c>
      <c r="F10" s="79">
        <v>20000</v>
      </c>
      <c r="G10" s="79">
        <v>20000</v>
      </c>
      <c r="H10" s="79">
        <v>20000</v>
      </c>
      <c r="I10" s="92">
        <f t="shared" si="0"/>
        <v>120000</v>
      </c>
      <c r="K10" s="69">
        <f t="shared" si="1"/>
        <v>81.450625</v>
      </c>
      <c r="L10" s="69">
        <f t="shared" ref="L10" si="2">K10/$K$6</f>
        <v>0.81450625</v>
      </c>
    </row>
    <row r="11" spans="1:9">
      <c r="A11" s="74"/>
      <c r="B11" s="78" t="s">
        <v>55</v>
      </c>
      <c r="C11" s="79">
        <v>20000</v>
      </c>
      <c r="D11" s="79">
        <v>20000</v>
      </c>
      <c r="E11" s="79">
        <v>20000</v>
      </c>
      <c r="F11" s="79">
        <v>20000</v>
      </c>
      <c r="G11" s="79">
        <v>20000</v>
      </c>
      <c r="H11" s="79">
        <v>20000</v>
      </c>
      <c r="I11" s="92">
        <f t="shared" si="0"/>
        <v>120000</v>
      </c>
    </row>
    <row r="12" spans="1:9">
      <c r="A12" s="74"/>
      <c r="B12" s="78" t="s">
        <v>209</v>
      </c>
      <c r="C12" s="79"/>
      <c r="D12" s="79"/>
      <c r="E12" s="79"/>
      <c r="F12" s="79"/>
      <c r="G12" s="79"/>
      <c r="H12" s="79"/>
      <c r="I12" s="92">
        <f t="shared" si="0"/>
        <v>0</v>
      </c>
    </row>
    <row r="13" ht="17.5" spans="1:9">
      <c r="A13" s="74"/>
      <c r="B13" s="78" t="s">
        <v>210</v>
      </c>
      <c r="C13" s="79"/>
      <c r="D13" s="79"/>
      <c r="E13" s="79"/>
      <c r="F13" s="79"/>
      <c r="G13" s="79"/>
      <c r="H13" s="80"/>
      <c r="I13" s="92">
        <f t="shared" si="0"/>
        <v>0</v>
      </c>
    </row>
    <row r="14" spans="1:9">
      <c r="A14" s="78" t="s">
        <v>56</v>
      </c>
      <c r="B14" s="78"/>
      <c r="C14" s="81">
        <f t="shared" ref="C14:I14" si="3">SUM(C9:C13)</f>
        <v>45000</v>
      </c>
      <c r="D14" s="81">
        <f t="shared" si="3"/>
        <v>50000</v>
      </c>
      <c r="E14" s="81">
        <f t="shared" si="3"/>
        <v>50000</v>
      </c>
      <c r="F14" s="81">
        <f t="shared" si="3"/>
        <v>50000</v>
      </c>
      <c r="G14" s="81">
        <f t="shared" si="3"/>
        <v>50000</v>
      </c>
      <c r="H14" s="81">
        <f t="shared" si="3"/>
        <v>50000</v>
      </c>
      <c r="I14" s="81">
        <f t="shared" si="3"/>
        <v>295000</v>
      </c>
    </row>
    <row r="15" ht="33" spans="1:3">
      <c r="A15" s="82"/>
      <c r="B15" s="82"/>
      <c r="C15" s="83" t="s">
        <v>52</v>
      </c>
    </row>
    <row r="16" spans="2:9">
      <c r="B16" s="68" t="s">
        <v>221</v>
      </c>
      <c r="C16" s="84">
        <f>材料成本!D24</f>
        <v>1365.73600833975</v>
      </c>
      <c r="D16" s="84">
        <f>材料成本!E24</f>
        <v>505.181308928903</v>
      </c>
      <c r="E16" s="84">
        <f>材料成本!F24</f>
        <v>1705.86648749908</v>
      </c>
      <c r="F16" s="84">
        <f>材料成本!G24</f>
        <v>687.657150219459</v>
      </c>
      <c r="G16" s="84">
        <f>材料成本!H24</f>
        <v>25.0130473710495</v>
      </c>
      <c r="H16" s="84">
        <f>材料成本!I23</f>
        <v>22.2605740052352</v>
      </c>
      <c r="I16" s="82">
        <f>SUM(C16:H16)</f>
        <v>4311.71457636348</v>
      </c>
    </row>
    <row r="17" spans="2:9">
      <c r="B17" s="68" t="s">
        <v>104</v>
      </c>
      <c r="C17" s="84">
        <f t="shared" ref="C17:H17" si="4">C8-C16</f>
        <v>452.843991660248</v>
      </c>
      <c r="D17" s="84">
        <f t="shared" si="4"/>
        <v>70.0386910710968</v>
      </c>
      <c r="E17" s="84">
        <f t="shared" si="4"/>
        <v>577.31351250092</v>
      </c>
      <c r="F17" s="84">
        <f t="shared" si="4"/>
        <v>11.4528497805408</v>
      </c>
      <c r="G17" s="84">
        <f t="shared" si="4"/>
        <v>36.9269526289505</v>
      </c>
      <c r="H17" s="84">
        <f t="shared" si="4"/>
        <v>39.6794259947648</v>
      </c>
      <c r="I17" s="82">
        <f>SUM(C17:H17)</f>
        <v>1188.25542363652</v>
      </c>
    </row>
    <row r="18" spans="2:9">
      <c r="B18" s="68" t="s">
        <v>222</v>
      </c>
      <c r="C18" s="85">
        <f t="shared" ref="C18:I18" si="5">C17/C8</f>
        <v>0.249009662297093</v>
      </c>
      <c r="D18" s="85">
        <f t="shared" si="5"/>
        <v>0.121759832883239</v>
      </c>
      <c r="E18" s="85">
        <f t="shared" si="5"/>
        <v>0.25285501471672</v>
      </c>
      <c r="F18" s="85">
        <f t="shared" si="5"/>
        <v>0.0163820425691819</v>
      </c>
      <c r="G18" s="86">
        <f t="shared" si="5"/>
        <v>0.596172951710534</v>
      </c>
      <c r="H18" s="86">
        <f t="shared" si="5"/>
        <v>0.64061068767783</v>
      </c>
      <c r="I18" s="85">
        <f t="shared" si="5"/>
        <v>0.216047619102744</v>
      </c>
    </row>
    <row r="20" spans="2:7">
      <c r="B20" s="87" t="s">
        <v>223</v>
      </c>
      <c r="C20" s="88">
        <f>C8*0.7</f>
        <v>1273.006</v>
      </c>
      <c r="D20" s="88">
        <f t="shared" ref="C20:F20" si="6">D8*0.7</f>
        <v>402.654</v>
      </c>
      <c r="E20" s="88">
        <f t="shared" si="6"/>
        <v>1598.226</v>
      </c>
      <c r="F20" s="88">
        <f t="shared" si="6"/>
        <v>489.377</v>
      </c>
      <c r="G20" s="84"/>
    </row>
    <row r="21" spans="3:7">
      <c r="C21" s="84"/>
      <c r="D21" s="84"/>
      <c r="E21" s="84"/>
      <c r="F21" s="84"/>
      <c r="G21" s="84"/>
    </row>
    <row r="22" spans="2:7">
      <c r="B22" s="87" t="s">
        <v>224</v>
      </c>
      <c r="C22" s="88">
        <f t="shared" ref="C22:F22" si="7">C16-C20</f>
        <v>92.7300083397522</v>
      </c>
      <c r="D22" s="88">
        <f t="shared" si="7"/>
        <v>102.527308928903</v>
      </c>
      <c r="E22" s="88">
        <f t="shared" si="7"/>
        <v>107.64048749908</v>
      </c>
      <c r="F22" s="88">
        <f t="shared" si="7"/>
        <v>198.280150219459</v>
      </c>
      <c r="G22" s="84"/>
    </row>
    <row r="23" spans="3:7">
      <c r="C23" s="84"/>
      <c r="D23" s="84"/>
      <c r="E23" s="84"/>
      <c r="F23" s="84"/>
      <c r="G23" s="84"/>
    </row>
    <row r="24" spans="3:7">
      <c r="C24" s="84"/>
      <c r="D24" s="84"/>
      <c r="E24" s="84"/>
      <c r="F24" s="84"/>
      <c r="G24" s="84"/>
    </row>
  </sheetData>
  <mergeCells count="4">
    <mergeCell ref="A14:B14"/>
    <mergeCell ref="A5:A8"/>
    <mergeCell ref="A9:A13"/>
    <mergeCell ref="I5:I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pane xSplit="3" ySplit="5" topLeftCell="D16" activePane="bottomRight" state="frozen"/>
      <selection/>
      <selection pane="topRight"/>
      <selection pane="bottomLeft"/>
      <selection pane="bottomRight" activeCell="G23" sqref="G23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12.0909090909091" style="34" customWidth="1"/>
    <col min="10" max="15" width="12" style="34" customWidth="1"/>
    <col min="16" max="16" width="12.2545454545455" style="33" customWidth="1"/>
    <col min="17" max="17" width="13.2545454545455" style="33" customWidth="1"/>
    <col min="18" max="18" width="16" style="33" customWidth="1"/>
    <col min="19" max="16384" width="9" style="33"/>
  </cols>
  <sheetData>
    <row r="1" s="32" customFormat="1" ht="28.5" customHeight="1" spans="1:18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R1" s="67"/>
    </row>
    <row r="2" spans="1:15">
      <c r="A2" s="38" t="s">
        <v>225</v>
      </c>
      <c r="B2" s="38"/>
      <c r="C2" s="39"/>
      <c r="D2" s="40"/>
      <c r="E2" s="41" t="s">
        <v>226</v>
      </c>
      <c r="F2" s="42"/>
      <c r="G2" s="42"/>
      <c r="H2" s="42"/>
      <c r="I2" s="42"/>
      <c r="J2" s="42"/>
      <c r="K2" s="42"/>
      <c r="L2" s="42"/>
      <c r="M2" s="42"/>
      <c r="N2" s="42"/>
      <c r="O2" s="60"/>
    </row>
    <row r="3" ht="33" spans="1:15">
      <c r="A3" s="43" t="s">
        <v>21</v>
      </c>
      <c r="B3" s="43" t="s">
        <v>227</v>
      </c>
      <c r="C3" s="43" t="s">
        <v>228</v>
      </c>
      <c r="D3" s="44" t="s">
        <v>229</v>
      </c>
      <c r="E3" s="44"/>
      <c r="F3" s="40" t="s">
        <v>230</v>
      </c>
      <c r="G3" s="45"/>
      <c r="H3" s="46"/>
      <c r="I3" s="46"/>
      <c r="J3" s="46"/>
      <c r="K3" s="46"/>
      <c r="L3" s="46"/>
      <c r="M3" s="46"/>
      <c r="N3" s="46"/>
      <c r="O3" s="61" t="s">
        <v>177</v>
      </c>
    </row>
    <row r="4" ht="33" spans="1:15">
      <c r="A4" s="43"/>
      <c r="B4" s="43"/>
      <c r="C4" s="43" t="s">
        <v>152</v>
      </c>
      <c r="D4" s="47" t="s">
        <v>153</v>
      </c>
      <c r="E4" s="47" t="s">
        <v>154</v>
      </c>
      <c r="F4" s="47" t="s">
        <v>153</v>
      </c>
      <c r="G4" s="47" t="s">
        <v>154</v>
      </c>
      <c r="H4" s="47" t="s">
        <v>155</v>
      </c>
      <c r="I4" s="47" t="s">
        <v>155</v>
      </c>
      <c r="J4" s="48"/>
      <c r="K4" s="48"/>
      <c r="L4" s="48"/>
      <c r="M4" s="48"/>
      <c r="N4" s="48"/>
      <c r="O4" s="62"/>
    </row>
    <row r="5" ht="39" spans="1:15">
      <c r="A5" s="43"/>
      <c r="B5" s="43"/>
      <c r="C5" s="43" t="s">
        <v>156</v>
      </c>
      <c r="D5" s="47" t="s">
        <v>157</v>
      </c>
      <c r="E5" s="47" t="s">
        <v>158</v>
      </c>
      <c r="F5" s="47" t="s">
        <v>159</v>
      </c>
      <c r="G5" s="47" t="s">
        <v>160</v>
      </c>
      <c r="H5" s="48" t="s">
        <v>161</v>
      </c>
      <c r="I5" s="48" t="s">
        <v>162</v>
      </c>
      <c r="J5" s="47"/>
      <c r="K5" s="47"/>
      <c r="L5" s="47"/>
      <c r="M5" s="47"/>
      <c r="N5" s="47"/>
      <c r="O5" s="63"/>
    </row>
    <row r="6" spans="1:15">
      <c r="A6" s="49">
        <v>1</v>
      </c>
      <c r="B6" s="50" t="s">
        <v>231</v>
      </c>
      <c r="C6" s="51"/>
      <c r="D6" s="52"/>
      <c r="E6" s="48"/>
      <c r="F6" s="48"/>
      <c r="G6" s="48"/>
      <c r="H6" s="48"/>
      <c r="I6" s="48"/>
      <c r="J6" s="48"/>
      <c r="K6" s="48"/>
      <c r="L6" s="48"/>
      <c r="M6" s="48"/>
      <c r="N6" s="48"/>
      <c r="O6" s="64"/>
    </row>
    <row r="7" spans="1:15">
      <c r="A7" s="49">
        <v>2</v>
      </c>
      <c r="B7" s="50" t="s">
        <v>232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48"/>
      <c r="O7" s="64"/>
    </row>
    <row r="8" spans="1:15">
      <c r="A8" s="49">
        <v>3</v>
      </c>
      <c r="B8" s="50" t="s">
        <v>233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64"/>
    </row>
    <row r="9" spans="1:15">
      <c r="A9" s="49">
        <v>4</v>
      </c>
      <c r="B9" s="50" t="s">
        <v>234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48"/>
      <c r="O9" s="64"/>
    </row>
    <row r="10" spans="1:15">
      <c r="A10" s="49">
        <v>5</v>
      </c>
      <c r="B10" s="50" t="s">
        <v>235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4"/>
    </row>
    <row r="11" spans="1:15">
      <c r="A11" s="49">
        <v>6</v>
      </c>
      <c r="B11" s="50" t="s">
        <v>236</v>
      </c>
      <c r="C11" s="51"/>
      <c r="D11" s="52"/>
      <c r="E11" s="48"/>
      <c r="F11" s="48"/>
      <c r="G11" s="48"/>
      <c r="H11" s="48"/>
      <c r="I11" s="48"/>
      <c r="J11" s="48"/>
      <c r="K11" s="48"/>
      <c r="L11" s="47"/>
      <c r="M11" s="48"/>
      <c r="N11" s="48"/>
      <c r="O11" s="64"/>
    </row>
    <row r="12" spans="1:15">
      <c r="A12" s="49">
        <v>7</v>
      </c>
      <c r="B12" s="50" t="s">
        <v>237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64"/>
    </row>
    <row r="13" spans="1:15">
      <c r="A13" s="49">
        <v>8</v>
      </c>
      <c r="B13" s="50" t="s">
        <v>238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64"/>
    </row>
    <row r="14" spans="1:15">
      <c r="A14" s="49">
        <v>9</v>
      </c>
      <c r="B14" s="50" t="s">
        <v>239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64"/>
    </row>
    <row r="15" spans="1:15">
      <c r="A15" s="49">
        <v>10</v>
      </c>
      <c r="B15" s="50" t="s">
        <v>240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64"/>
    </row>
    <row r="16" spans="1:15">
      <c r="A16" s="49">
        <v>11</v>
      </c>
      <c r="B16" s="50" t="s">
        <v>241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64"/>
    </row>
    <row r="17" spans="1:15">
      <c r="A17" s="49">
        <v>12</v>
      </c>
      <c r="B17" s="50" t="s">
        <v>242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64"/>
    </row>
    <row r="18" spans="1:15">
      <c r="A18" s="49">
        <v>13</v>
      </c>
      <c r="B18" s="50" t="s">
        <v>243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64"/>
    </row>
    <row r="19" spans="1:15">
      <c r="A19" s="49">
        <v>14</v>
      </c>
      <c r="B19" s="50" t="s">
        <v>244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64"/>
    </row>
    <row r="20" spans="1:15">
      <c r="A20" s="49">
        <v>15</v>
      </c>
      <c r="B20" s="50" t="s">
        <v>245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64"/>
    </row>
    <row r="21" spans="1:15">
      <c r="A21" s="49">
        <v>16</v>
      </c>
      <c r="B21" s="50" t="s">
        <v>246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4"/>
    </row>
    <row r="22" spans="1:15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64"/>
    </row>
    <row r="23" spans="1:15">
      <c r="A23" s="49">
        <v>18</v>
      </c>
      <c r="B23" s="50" t="s">
        <v>247</v>
      </c>
      <c r="C23" s="51"/>
      <c r="D23" s="53">
        <v>1365.73600833975</v>
      </c>
      <c r="E23" s="53">
        <v>505.181308928903</v>
      </c>
      <c r="F23" s="53">
        <v>1705.86648749908</v>
      </c>
      <c r="G23" s="53">
        <v>687.657150219459</v>
      </c>
      <c r="H23" s="53">
        <v>25.0130473710495</v>
      </c>
      <c r="I23" s="53">
        <v>22.2605740052352</v>
      </c>
      <c r="J23" s="65"/>
      <c r="K23" s="65"/>
      <c r="L23" s="65"/>
      <c r="M23" s="65"/>
      <c r="N23" s="65"/>
      <c r="O23" s="66"/>
    </row>
    <row r="24" ht="31.5" customHeight="1" spans="1:15">
      <c r="A24" s="54" t="s">
        <v>248</v>
      </c>
      <c r="B24" s="55"/>
      <c r="C24" s="56"/>
      <c r="D24" s="57">
        <f>SUM(D6:D23)</f>
        <v>1365.73600833975</v>
      </c>
      <c r="E24" s="57">
        <f>SUM(E6:E23)</f>
        <v>505.181308928903</v>
      </c>
      <c r="F24" s="57">
        <f>SUM(F6:F23)</f>
        <v>1705.86648749908</v>
      </c>
      <c r="G24" s="57">
        <f>SUM(G6:G23)</f>
        <v>687.657150219459</v>
      </c>
      <c r="H24" s="57">
        <f t="shared" ref="H24:N24" si="0">SUM(H6:H23)</f>
        <v>25.0130473710495</v>
      </c>
      <c r="I24" s="57">
        <f t="shared" si="0"/>
        <v>22.2605740052352</v>
      </c>
      <c r="J24" s="57">
        <f t="shared" si="0"/>
        <v>0</v>
      </c>
      <c r="K24" s="57">
        <f t="shared" si="0"/>
        <v>0</v>
      </c>
      <c r="L24" s="57">
        <f t="shared" si="0"/>
        <v>0</v>
      </c>
      <c r="M24" s="57">
        <f t="shared" si="0"/>
        <v>0</v>
      </c>
      <c r="N24" s="57">
        <f t="shared" si="0"/>
        <v>0</v>
      </c>
      <c r="O24" s="66"/>
    </row>
    <row r="25" spans="3:14">
      <c r="C25" s="33" t="s">
        <v>249</v>
      </c>
      <c r="D25" s="58">
        <f t="shared" ref="D25:I25" si="1">D24</f>
        <v>1365.73600833975</v>
      </c>
      <c r="E25" s="58">
        <f t="shared" si="1"/>
        <v>505.181308928903</v>
      </c>
      <c r="F25" s="58">
        <f t="shared" si="1"/>
        <v>1705.86648749908</v>
      </c>
      <c r="G25" s="58">
        <f t="shared" si="1"/>
        <v>687.657150219459</v>
      </c>
      <c r="H25" s="58">
        <f t="shared" si="1"/>
        <v>25.0130473710495</v>
      </c>
      <c r="I25" s="58">
        <f t="shared" si="1"/>
        <v>22.2605740052352</v>
      </c>
      <c r="J25" s="58"/>
      <c r="K25" s="58"/>
      <c r="L25" s="58"/>
      <c r="M25" s="58"/>
      <c r="N25" s="58"/>
    </row>
    <row r="27" spans="3:14">
      <c r="C27" s="33" t="s">
        <v>54</v>
      </c>
      <c r="D27" s="59">
        <f>D24*0.95</f>
        <v>1297.44920792276</v>
      </c>
      <c r="E27" s="59">
        <f>E24*0.95</f>
        <v>479.922243482458</v>
      </c>
      <c r="F27" s="59">
        <f>F24*0.95</f>
        <v>1620.57316312413</v>
      </c>
      <c r="G27" s="59">
        <f>G24*0.95</f>
        <v>653.274292708486</v>
      </c>
      <c r="H27" s="59">
        <f>H24*0.95</f>
        <v>23.762395002497</v>
      </c>
      <c r="I27" s="59">
        <f>I24*0.95</f>
        <v>21.1475453049734</v>
      </c>
      <c r="J27" s="59">
        <f t="shared" ref="E27:N27" si="2">J24*0.95</f>
        <v>0</v>
      </c>
      <c r="K27" s="59">
        <f t="shared" si="2"/>
        <v>0</v>
      </c>
      <c r="L27" s="59">
        <f t="shared" si="2"/>
        <v>0</v>
      </c>
      <c r="M27" s="59">
        <f t="shared" si="2"/>
        <v>0</v>
      </c>
      <c r="N27" s="59">
        <f t="shared" si="2"/>
        <v>0</v>
      </c>
    </row>
    <row r="28" spans="3:14">
      <c r="C28" s="33" t="s">
        <v>55</v>
      </c>
      <c r="D28" s="59">
        <f>D27*0.95</f>
        <v>1232.57674752663</v>
      </c>
      <c r="E28" s="59">
        <f>E27*0.95</f>
        <v>455.926131308335</v>
      </c>
      <c r="F28" s="59">
        <f>F27*0.95</f>
        <v>1539.54450496792</v>
      </c>
      <c r="G28" s="59">
        <f>G27*0.95</f>
        <v>620.610578073062</v>
      </c>
      <c r="H28" s="59">
        <f>H27*0.95</f>
        <v>22.5742752523722</v>
      </c>
      <c r="I28" s="59">
        <f>I27*0.95</f>
        <v>20.0901680397248</v>
      </c>
      <c r="J28" s="59">
        <f t="shared" ref="E28:N28" si="3">J27*0.95</f>
        <v>0</v>
      </c>
      <c r="K28" s="59">
        <f t="shared" si="3"/>
        <v>0</v>
      </c>
      <c r="L28" s="59">
        <f t="shared" si="3"/>
        <v>0</v>
      </c>
      <c r="M28" s="59">
        <f t="shared" si="3"/>
        <v>0</v>
      </c>
      <c r="N28" s="59">
        <f t="shared" si="3"/>
        <v>0</v>
      </c>
    </row>
  </sheetData>
  <mergeCells count="27">
    <mergeCell ref="A1:B1"/>
    <mergeCell ref="A2:D2"/>
    <mergeCell ref="E2:O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O3:O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2024-12-11T03:15:03Z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