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10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'2025年'!$A$1:$F$48</definedName>
    <definedName name="_xlnm.Print_Area" localSheetId="4">'2026年'!$A$1:$F$48</definedName>
    <definedName name="_xlnm.Print_Area" localSheetId="5">'2027年'!$A$1:$F$48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<sst xmlns="http://schemas.openxmlformats.org/spreadsheetml/2006/main" count="1227" uniqueCount="302">
  <si>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</si>
  <si>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</si>
  <si>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</si>
  <si>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</si>
  <si>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</si>
  <si>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</si>
  <si>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</si>
  <si>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</si>
  <si>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</si>
  <si>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</si>
  <si>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</si>
  <si>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</si>
  <si>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</si>
  <si>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</si>
  <si>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</si>
  <si>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</si>
  <si>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</si>
  <si>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</si>
  <si>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</si>
  <si>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</si>
  <si>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</si>
  <si>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</si>
  <si>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</si>
  <si>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</si>
  <si>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</si>
  <si>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</si>
  <si>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</si>
  <si>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</si>
  <si>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</si>
  <si>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</si>
  <si>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</si>
  <si>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</si>
  <si>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</si>
  <si>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</si>
  <si>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</si>
  <si>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</si>
  <si>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</si>
  <si>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</si>
  <si>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</si>
  <si>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</si>
  <si>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</si>
  <si>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</si>
  <si>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</si>
  <si>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</si>
  <si>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</si>
  <si>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</si>
  <si>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</si>
  <si>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</si>
  <si>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</si>
  <si>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</si>
  <si>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</si>
  <si>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EVC4双人座椅项目可行性分析            单位：元</t>
  </si>
  <si>
    <t>面套、骨架、底支架自制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</si>
  <si>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</si>
  <si>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</si>
  <si>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</si>
  <si>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</si>
  <si>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</si>
  <si>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</si>
  <si>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</si>
  <si>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</si>
  <si>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</si>
  <si>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</si>
  <si>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</si>
  <si>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</si>
  <si>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</si>
  <si>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</si>
  <si>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</si>
  <si>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</si>
  <si>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</si>
  <si>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</si>
  <si>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</si>
  <si>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</si>
  <si>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</si>
  <si>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</si>
  <si>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</si>
  <si>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</si>
  <si>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</si>
  <si>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</si>
  <si>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</si>
  <si>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</si>
  <si>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</si>
  <si>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</si>
  <si>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</si>
  <si>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</si>
  <si>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</si>
  <si>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</si>
  <si>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</si>
  <si>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</si>
  <si>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</si>
  <si>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</si>
  <si>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</si>
  <si>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</si>
  <si>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</si>
  <si>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</si>
  <si>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</si>
  <si>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</si>
  <si>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</si>
  <si>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</si>
  <si>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</si>
  <si>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</si>
  <si>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</si>
  <si>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</si>
  <si>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</si>
  <si>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</si>
  <si>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</si>
  <si>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</si>
  <si>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</si>
  <si>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</si>
  <si>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</si>
  <si>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</si>
  <si>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</si>
  <si>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</si>
  <si>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</si>
  <si>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</si>
  <si>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</si>
  <si>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</si>
  <si>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</si>
  <si>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</si>
  <si>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</si>
  <si>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</si>
  <si>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</si>
  <si>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</si>
  <si>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</si>
  <si>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</si>
  <si>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</si>
  <si>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</si>
  <si>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</si>
  <si>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</si>
  <si>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</si>
  <si>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</si>
  <si>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</si>
  <si>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</si>
  <si>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</si>
  <si>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</si>
  <si>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</si>
  <si>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</si>
  <si>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</si>
  <si>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</si>
  <si>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</si>
  <si>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</si>
  <si>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</si>
  <si>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</si>
  <si>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</si>
  <si>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</si>
  <si>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</si>
  <si>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</si>
  <si>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</si>
  <si>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</si>
  <si>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</si>
  <si>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</si>
  <si>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EVC4双人座椅</t>
  </si>
  <si>
    <t>产品名称</t>
  </si>
  <si>
    <t>驾驶员座椅</t>
  </si>
  <si>
    <t>副驾驶员座椅</t>
  </si>
  <si>
    <t>产品图号</t>
  </si>
  <si>
    <t>A668100000004/26</t>
  </si>
  <si>
    <t>A668100000006/25</t>
  </si>
  <si>
    <t>A6681000000010/23</t>
  </si>
  <si>
    <t>车型</t>
  </si>
  <si>
    <t>舒适</t>
  </si>
  <si>
    <t>标准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</si>
  <si>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</si>
  <si>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</si>
  <si>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</si>
  <si>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</si>
  <si>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</si>
  <si>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</si>
  <si>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</si>
  <si>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</si>
  <si>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</si>
  <si>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EVC4双人座椅项目研发费用预算表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</si>
  <si>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</si>
  <si>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</si>
  <si>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</si>
  <si>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</si>
  <si>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</si>
  <si>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</si>
  <si>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</si>
  <si>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</si>
  <si>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</si>
  <si>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</si>
  <si>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</si>
  <si>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</si>
  <si>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</si>
  <si>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</si>
  <si>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</si>
  <si>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</si>
  <si>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</si>
  <si>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</si>
  <si>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</si>
  <si>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</si>
  <si>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</si>
  <si>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</si>
  <si>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</si>
  <si>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</si>
  <si>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</si>
  <si>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</si>
  <si>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</si>
  <si>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</si>
  <si>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</si>
  <si>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</si>
  <si>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</si>
  <si>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</si>
  <si>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</si>
  <si>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</si>
  <si>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</si>
  <si>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</si>
  <si>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</si>
  <si>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</si>
  <si>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</si>
  <si>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</si>
  <si>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</si>
  <si>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</si>
  <si>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乘客双人座椅总成</t>
  </si>
  <si>
    <t>座椅附件</t>
  </si>
  <si>
    <t>X168100000047</t>
  </si>
  <si>
    <t>X168100000049</t>
  </si>
  <si>
    <t>X168100000050</t>
  </si>
  <si>
    <t>配置</t>
  </si>
  <si>
    <t xml:space="preserve">销售价格
（元，未税）  </t>
  </si>
  <si>
    <t>销量（件）</t>
  </si>
  <si>
    <t>原材料成本</t>
  </si>
  <si>
    <t>附加值率</t>
  </si>
  <si>
    <t>保本材料成本</t>
  </si>
  <si>
    <t>运费到河南</t>
  </si>
  <si>
    <t>到诸城</t>
  </si>
  <si>
    <t>预估原材料成本（单位：元，未税）</t>
  </si>
  <si>
    <t>供应商年降：       年0 %</t>
  </si>
  <si>
    <t>模块</t>
  </si>
  <si>
    <t>项目名称</t>
  </si>
  <si>
    <t>EVC4</t>
  </si>
  <si>
    <t>项目编号</t>
  </si>
  <si>
    <t>ZY2439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</si>
  <si>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</si>
  <si>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</si>
  <si>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</si>
  <si>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</si>
  <si>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</si>
  <si>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</si>
  <si>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</si>
  <si>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</si>
  <si>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</si>
  <si>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</si>
  <si>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</si>
  <si>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</si>
  <si>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</si>
  <si>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</si>
  <si>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</si>
  <si>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</si>
  <si>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</si>
  <si>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</si>
  <si>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</si>
  <si>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降本目标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</si>
  <si>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</si>
  <si>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</si>
  <si>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</si>
  <si>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</si>
  <si>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</si>
  <si>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</si>
  <si>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</si>
  <si>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</si>
  <si>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</si>
  <si>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</si>
  <si>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</si>
  <si>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</si>
  <si>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</si>
  <si>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</si>
  <si>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</si>
  <si>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</si>
  <si>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</si>
  <si>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</si>
  <si>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</si>
  <si>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</si>
  <si>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</si>
  <si>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</si>
  <si>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</si>
  <si>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</si>
  <si>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</si>
  <si>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</si>
  <si>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</si>
  <si>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</si>
  <si>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</si>
  <si>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</si>
  <si>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潍坊工厂平均值</t>
  </si>
  <si>
    <t>预计</t>
  </si>
  <si>
    <t>河南</t>
  </si>
  <si>
    <t>诸城</t>
  </si>
  <si>
    <t>各销50%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</si>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</sst>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 "/>
    <numFmt numFmtId="179" formatCode="0.0%"/>
    <numFmt numFmtId="180" formatCode="0_ "/>
    <numFmt numFmtId="181" formatCode="&quot;$&quot;#,##0.00_);[Red]\(&quot;$&quot;#,##0.00\)"/>
  </numFmts>
  <fonts count="6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4" fillId="12" borderId="20" applyNumberFormat="0" applyAlignment="0" applyProtection="0">
      <alignment vertical="center"/>
    </xf>
    <xf numFmtId="0" fontId="45" fillId="12" borderId="19" applyNumberFormat="0" applyAlignment="0" applyProtection="0">
      <alignment vertical="center"/>
    </xf>
    <xf numFmtId="0" fontId="46" fillId="13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4" fillId="0" borderId="0"/>
    <xf numFmtId="0" fontId="55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/>
    <xf numFmtId="0" fontId="57" fillId="0" borderId="0"/>
    <xf numFmtId="1" fontId="58" fillId="0" borderId="2" applyBorder="0"/>
    <xf numFmtId="43" fontId="59" fillId="0" borderId="0" applyFont="0" applyFill="0" applyBorder="0" applyAlignment="0" applyProtection="0">
      <alignment vertical="center"/>
    </xf>
    <xf numFmtId="0" fontId="56" fillId="0" borderId="0"/>
  </cellStyleXfs>
  <cellXfs count="2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0" applyNumberFormat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3" fillId="5" borderId="0" xfId="0" applyNumberFormat="1" applyFont="1" applyFill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9" fontId="3" fillId="0" borderId="0" xfId="3" applyNumberFormat="1" applyFont="1" applyFill="1">
      <alignment vertical="center"/>
    </xf>
    <xf numFmtId="179" fontId="3" fillId="5" borderId="0" xfId="3" applyNumberFormat="1" applyFont="1" applyFill="1">
      <alignment vertical="center"/>
    </xf>
    <xf numFmtId="0" fontId="3" fillId="5" borderId="0" xfId="0" applyFont="1" applyFill="1">
      <alignment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177" fontId="15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0" fillId="0" borderId="3" xfId="53" applyNumberFormat="1" applyFont="1" applyFill="1" applyBorder="1" applyAlignment="1">
      <alignment horizontal="center" vertical="center"/>
    </xf>
    <xf numFmtId="180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43" fontId="4" fillId="3" borderId="2" xfId="1" applyFont="1" applyFill="1" applyBorder="1" applyAlignment="1" applyProtection="1">
      <alignment vertical="center"/>
    </xf>
    <xf numFmtId="43" fontId="4" fillId="3" borderId="7" xfId="1" applyFont="1" applyFill="1" applyBorder="1" applyAlignment="1" applyProtection="1">
      <alignment vertical="center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43" fontId="25" fillId="0" borderId="0" xfId="1" applyFont="1" applyFill="1">
      <alignment vertical="center"/>
    </xf>
    <xf numFmtId="0" fontId="25" fillId="0" borderId="2" xfId="0" applyFont="1" applyFill="1" applyBorder="1" applyAlignment="1">
      <alignment horizontal="center" vertical="center"/>
    </xf>
    <xf numFmtId="43" fontId="25" fillId="0" borderId="3" xfId="1" applyFont="1" applyFill="1" applyBorder="1" applyAlignment="1">
      <alignment horizontal="center" vertical="center"/>
    </xf>
    <xf numFmtId="43" fontId="25" fillId="0" borderId="4" xfId="1" applyFont="1" applyFill="1" applyBorder="1" applyAlignment="1">
      <alignment horizontal="center" vertical="center"/>
    </xf>
    <xf numFmtId="43" fontId="25" fillId="0" borderId="5" xfId="1" applyFont="1" applyFill="1" applyBorder="1" applyAlignment="1">
      <alignment horizontal="center" vertical="center"/>
    </xf>
    <xf numFmtId="43" fontId="25" fillId="4" borderId="2" xfId="1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5" fillId="0" borderId="2" xfId="1" applyFont="1" applyFill="1" applyBorder="1" applyAlignment="1">
      <alignment horizontal="center" vertical="center"/>
    </xf>
    <xf numFmtId="43" fontId="25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5" fillId="0" borderId="2" xfId="3" applyNumberFormat="1" applyFont="1" applyFill="1" applyBorder="1" applyAlignment="1">
      <alignment horizontal="center" vertical="center"/>
    </xf>
    <xf numFmtId="10" fontId="25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5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78" fontId="25" fillId="0" borderId="0" xfId="0" applyNumberFormat="1" applyFont="1" applyFill="1">
      <alignment vertical="center"/>
    </xf>
    <xf numFmtId="9" fontId="25" fillId="0" borderId="2" xfId="3" applyFont="1" applyFill="1" applyBorder="1">
      <alignment vertical="center"/>
    </xf>
    <xf numFmtId="10" fontId="25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5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5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43" fontId="25" fillId="0" borderId="0" xfId="1" applyFo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 wrapText="1"/>
    </xf>
    <xf numFmtId="43" fontId="26" fillId="0" borderId="2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5" fillId="0" borderId="2" xfId="0" applyFont="1" applyBorder="1">
      <alignment vertical="center"/>
    </xf>
    <xf numFmtId="10" fontId="24" fillId="0" borderId="2" xfId="3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5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7" fontId="25" fillId="0" borderId="2" xfId="1" applyNumberFormat="1" applyFont="1" applyBorder="1" applyAlignment="1">
      <alignment horizontal="center" vertical="center"/>
    </xf>
    <xf numFmtId="43" fontId="25" fillId="0" borderId="2" xfId="1" applyNumberFormat="1" applyFont="1" applyFill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10" fontId="25" fillId="0" borderId="2" xfId="3" applyNumberFormat="1" applyFont="1" applyBorder="1">
      <alignment vertical="center"/>
    </xf>
    <xf numFmtId="10" fontId="25" fillId="0" borderId="0" xfId="3" applyNumberFormat="1" applyFont="1" applyBorder="1">
      <alignment vertical="center"/>
    </xf>
    <xf numFmtId="43" fontId="25" fillId="0" borderId="0" xfId="0" applyNumberFormat="1" applyFont="1" applyFill="1" applyBorder="1">
      <alignment vertical="center"/>
    </xf>
    <xf numFmtId="43" fontId="25" fillId="0" borderId="0" xfId="1" applyFont="1" applyBorder="1">
      <alignment vertical="center"/>
    </xf>
    <xf numFmtId="0" fontId="25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3" fontId="25" fillId="0" borderId="2" xfId="1" applyFont="1" applyBorder="1">
      <alignment vertical="center"/>
    </xf>
    <xf numFmtId="177" fontId="25" fillId="0" borderId="2" xfId="1" applyNumberFormat="1" applyFont="1" applyBorder="1">
      <alignment vertical="center"/>
    </xf>
    <xf numFmtId="0" fontId="24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5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2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9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1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8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4" customFormat="1" ht="35.25" customHeight="1" spans="1:4">
      <c r="A2" s="245" t="s">
        <v>0</v>
      </c>
      <c r="B2" s="245" t="s">
        <v>1</v>
      </c>
      <c r="C2" s="245" t="s">
        <v>2</v>
      </c>
      <c r="D2" s="246"/>
    </row>
    <row r="3" s="244" customFormat="1" ht="33.75" customHeight="1" spans="1:4">
      <c r="A3" s="247">
        <v>1</v>
      </c>
      <c r="B3" s="247" t="s">
        <v>3</v>
      </c>
      <c r="C3" s="248" t="s">
        <v>4</v>
      </c>
      <c r="D3" s="246"/>
    </row>
    <row r="4" s="244" customFormat="1" ht="33.75" customHeight="1" spans="1:3">
      <c r="A4" s="247">
        <v>2</v>
      </c>
      <c r="B4" s="247" t="s">
        <v>5</v>
      </c>
      <c r="C4" s="248" t="s">
        <v>6</v>
      </c>
    </row>
    <row r="5" s="244" customFormat="1" ht="33.75" customHeight="1" spans="1:3">
      <c r="A5" s="247">
        <v>3</v>
      </c>
      <c r="B5" s="249" t="s">
        <v>7</v>
      </c>
      <c r="C5" s="250" t="s">
        <v>8</v>
      </c>
    </row>
    <row r="6" s="244" customFormat="1" ht="33.75" customHeight="1" spans="1:3">
      <c r="A6" s="247">
        <v>4</v>
      </c>
      <c r="B6" s="251"/>
      <c r="C6" s="248" t="s">
        <v>9</v>
      </c>
    </row>
    <row r="7" s="244" customFormat="1" ht="33.75" customHeight="1" spans="1:3">
      <c r="A7" s="247">
        <v>5</v>
      </c>
      <c r="B7" s="252" t="s">
        <v>10</v>
      </c>
      <c r="C7" s="248" t="s">
        <v>11</v>
      </c>
    </row>
    <row r="8" s="244" customFormat="1" ht="33.75" customHeight="1" spans="1:3">
      <c r="A8" s="247">
        <v>6</v>
      </c>
      <c r="B8" s="249" t="s">
        <v>12</v>
      </c>
      <c r="C8" s="248" t="s">
        <v>13</v>
      </c>
    </row>
    <row r="9" s="244" customFormat="1" ht="33.75" customHeight="1" spans="1:3">
      <c r="A9" s="247">
        <v>7</v>
      </c>
      <c r="B9" s="251"/>
      <c r="C9" s="248" t="s">
        <v>14</v>
      </c>
    </row>
    <row r="10" s="244" customFormat="1" ht="33.75" customHeight="1" spans="1:3">
      <c r="A10" s="247">
        <v>8</v>
      </c>
      <c r="B10" s="251"/>
      <c r="C10" s="250" t="s">
        <v>15</v>
      </c>
    </row>
    <row r="11" s="244" customFormat="1" ht="33.75" customHeight="1" spans="1:3">
      <c r="A11" s="247">
        <v>9</v>
      </c>
      <c r="B11" s="251"/>
      <c r="C11" s="248" t="s">
        <v>16</v>
      </c>
    </row>
    <row r="12" s="244" customFormat="1" ht="33.75" customHeight="1" spans="1:3">
      <c r="A12" s="247">
        <v>10</v>
      </c>
      <c r="B12" s="252" t="s">
        <v>17</v>
      </c>
      <c r="C12" s="248" t="s">
        <v>18</v>
      </c>
    </row>
    <row r="13" ht="33.75" customHeight="1"/>
    <row r="14" ht="33.75" customHeight="1"/>
    <row r="15" ht="33.75" customHeight="1" spans="3:3">
      <c r="C15" s="253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5"/>
    <col min="2" max="2" width="29.6272727272727" style="25" customWidth="1"/>
    <col min="3" max="3" width="25.5" style="25" customWidth="1"/>
    <col min="4" max="4" width="22" style="25" customWidth="1"/>
    <col min="5" max="16384" width="9" style="25"/>
  </cols>
  <sheetData>
    <row r="1" ht="27" customHeight="1" spans="1:4">
      <c r="A1" s="26" t="s">
        <v>21</v>
      </c>
      <c r="B1" s="26" t="s">
        <v>254</v>
      </c>
      <c r="C1" s="26" t="s">
        <v>255</v>
      </c>
      <c r="D1" s="26" t="s">
        <v>256</v>
      </c>
    </row>
    <row r="2" ht="19.5" customHeight="1" spans="1:4">
      <c r="A2" s="26">
        <v>1</v>
      </c>
      <c r="B2" s="27" t="s">
        <v>257</v>
      </c>
      <c r="C2" s="28" t="s">
        <v>258</v>
      </c>
      <c r="D2" s="26"/>
    </row>
    <row r="3" ht="36" customHeight="1" spans="1:4">
      <c r="A3" s="26">
        <v>2</v>
      </c>
      <c r="B3" s="27" t="s">
        <v>259</v>
      </c>
      <c r="C3" s="29" t="s">
        <v>260</v>
      </c>
      <c r="D3" s="26" t="s">
        <v>261</v>
      </c>
    </row>
    <row r="4" ht="19.5" customHeight="1" spans="1:4">
      <c r="A4" s="26">
        <v>3</v>
      </c>
      <c r="B4" s="27" t="s">
        <v>262</v>
      </c>
      <c r="C4" s="28" t="s">
        <v>263</v>
      </c>
      <c r="D4" s="26"/>
    </row>
    <row r="5" ht="42.75" customHeight="1" spans="1:4">
      <c r="A5" s="26">
        <v>4</v>
      </c>
      <c r="B5" s="27" t="s">
        <v>264</v>
      </c>
      <c r="C5" s="28"/>
      <c r="D5" s="26"/>
    </row>
    <row r="6" ht="39" customHeight="1" spans="1:4">
      <c r="A6" s="26">
        <v>5</v>
      </c>
      <c r="B6" s="27" t="s">
        <v>265</v>
      </c>
      <c r="C6" s="28"/>
      <c r="D6" s="26"/>
    </row>
    <row r="7" ht="27.75" customHeight="1" spans="1:3">
      <c r="A7" s="26">
        <v>6</v>
      </c>
      <c r="B7" s="26" t="s">
        <v>266</v>
      </c>
      <c r="C7" s="29" t="s">
        <v>267</v>
      </c>
    </row>
    <row r="8" ht="36" customHeight="1" spans="1:4">
      <c r="A8" s="26">
        <v>7</v>
      </c>
      <c r="B8" s="27" t="s">
        <v>268</v>
      </c>
      <c r="C8" s="30" t="s">
        <v>269</v>
      </c>
      <c r="D8" s="26"/>
    </row>
    <row r="9" ht="34.5" customHeight="1" spans="1:4">
      <c r="A9" s="26">
        <v>8</v>
      </c>
      <c r="B9" s="26" t="s">
        <v>270</v>
      </c>
      <c r="C9" s="31">
        <v>0.003</v>
      </c>
      <c r="D9" s="26"/>
    </row>
    <row r="10" ht="34.5" customHeight="1" spans="1:4">
      <c r="A10" s="26">
        <v>9</v>
      </c>
      <c r="B10" s="26" t="s">
        <v>271</v>
      </c>
      <c r="C10" s="30" t="s">
        <v>272</v>
      </c>
      <c r="D10" s="26"/>
    </row>
    <row r="11" ht="34.5" customHeight="1" spans="1:4">
      <c r="A11" s="26">
        <v>10</v>
      </c>
      <c r="B11" s="26" t="s">
        <v>273</v>
      </c>
      <c r="C11" s="30"/>
      <c r="D11" s="26" t="s">
        <v>274</v>
      </c>
    </row>
    <row r="12" ht="34.5" customHeight="1" spans="1:4">
      <c r="A12" s="26">
        <v>11</v>
      </c>
      <c r="B12" s="26" t="s">
        <v>275</v>
      </c>
      <c r="C12" s="30"/>
      <c r="D12" s="26"/>
    </row>
    <row r="13" ht="24" customHeight="1" spans="1:4">
      <c r="A13" s="26">
        <v>12</v>
      </c>
      <c r="B13" s="27" t="s">
        <v>276</v>
      </c>
      <c r="C13" s="30" t="s">
        <v>277</v>
      </c>
      <c r="D13" s="26"/>
    </row>
    <row r="14" ht="24" customHeight="1" spans="1:4">
      <c r="A14" s="26">
        <v>13</v>
      </c>
      <c r="B14" s="27" t="s">
        <v>278</v>
      </c>
      <c r="C14" s="30" t="s">
        <v>279</v>
      </c>
      <c r="D14" s="26"/>
    </row>
    <row r="15" ht="24" customHeight="1" spans="1:4">
      <c r="A15" s="26">
        <v>14</v>
      </c>
      <c r="B15" s="27" t="s">
        <v>280</v>
      </c>
      <c r="C15" s="30"/>
      <c r="D15" s="26"/>
    </row>
    <row r="16" ht="24" customHeight="1" spans="1:4">
      <c r="A16" s="26">
        <v>15</v>
      </c>
      <c r="B16" s="26" t="s">
        <v>39</v>
      </c>
      <c r="C16" s="26"/>
      <c r="D16" s="26"/>
    </row>
    <row r="17" ht="16.5" spans="2:2">
      <c r="B17" s="32" t="s">
        <v>281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40"/>
  <sheetViews>
    <sheetView tabSelected="1" zoomScale="85" zoomScaleNormal="85" topLeftCell="A3" workbookViewId="0">
      <selection activeCell="E10" sqref="E10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20.7272727272727" style="3" customWidth="1"/>
    <col min="10" max="13" width="9" style="2"/>
    <col min="14" max="14" width="10.6363636363636" style="2" customWidth="1"/>
    <col min="15" max="16384" width="9" style="2"/>
  </cols>
  <sheetData>
    <row r="1" s="1" customFormat="1" ht="18.75" customHeight="1" spans="7:9">
      <c r="G1" s="4" t="s">
        <v>282</v>
      </c>
      <c r="H1" s="4"/>
      <c r="I1" s="21">
        <f>材料成本!D5</f>
        <v>473.451327433628</v>
      </c>
    </row>
    <row r="2" ht="39" customHeight="1" spans="1:14">
      <c r="A2" s="5" t="s">
        <v>283</v>
      </c>
      <c r="B2" s="5"/>
      <c r="C2" s="6" t="s">
        <v>284</v>
      </c>
      <c r="D2" s="7"/>
      <c r="E2" s="7"/>
      <c r="F2" s="7"/>
      <c r="G2" s="7"/>
      <c r="H2" s="8"/>
      <c r="I2" s="3" t="s">
        <v>285</v>
      </c>
      <c r="K2" s="22" t="s">
        <v>1</v>
      </c>
      <c r="L2" s="22" t="s">
        <v>286</v>
      </c>
      <c r="M2" s="22" t="s">
        <v>287</v>
      </c>
      <c r="N2" s="22" t="s">
        <v>288</v>
      </c>
    </row>
    <row r="3" ht="34.5" customHeight="1" spans="1:14">
      <c r="A3" s="5"/>
      <c r="B3" s="5"/>
      <c r="C3" s="9" t="s">
        <v>289</v>
      </c>
      <c r="D3" s="9" t="s">
        <v>290</v>
      </c>
      <c r="E3" s="9" t="s">
        <v>291</v>
      </c>
      <c r="F3" s="10" t="s">
        <v>292</v>
      </c>
      <c r="G3" s="10" t="s">
        <v>293</v>
      </c>
      <c r="H3" s="10" t="s">
        <v>294</v>
      </c>
      <c r="I3" s="23">
        <f>销量!C8</f>
        <v>473.451327433628</v>
      </c>
      <c r="K3" s="22" t="s">
        <v>198</v>
      </c>
      <c r="L3" s="22">
        <v>42</v>
      </c>
      <c r="M3" s="22">
        <v>6</v>
      </c>
      <c r="N3" s="22">
        <v>24</v>
      </c>
    </row>
    <row r="4" ht="24" customHeight="1" spans="1:9">
      <c r="A4" s="11" t="s">
        <v>295</v>
      </c>
      <c r="B4" s="11"/>
      <c r="C4" s="12"/>
      <c r="D4" s="13"/>
      <c r="E4" s="14">
        <f>I3*I4</f>
        <v>15.6712389380531</v>
      </c>
      <c r="F4" s="14"/>
      <c r="G4" s="14"/>
      <c r="H4" s="15">
        <v>0.0448</v>
      </c>
      <c r="I4" s="3">
        <v>0.0331</v>
      </c>
    </row>
    <row r="5" ht="24" customHeight="1" spans="1:9">
      <c r="A5" s="11" t="s">
        <v>296</v>
      </c>
      <c r="B5" s="11" t="s">
        <v>297</v>
      </c>
      <c r="C5" s="12"/>
      <c r="D5" s="13"/>
      <c r="E5" s="14">
        <f>$I$3*I5</f>
        <v>16.6654867256637</v>
      </c>
      <c r="F5" s="14"/>
      <c r="G5" s="14"/>
      <c r="H5" s="15">
        <v>0.0404</v>
      </c>
      <c r="I5" s="3">
        <v>0.0352</v>
      </c>
    </row>
    <row r="6" ht="24" customHeight="1" spans="1:9">
      <c r="A6" s="11"/>
      <c r="B6" s="11" t="s">
        <v>298</v>
      </c>
      <c r="C6" s="12"/>
      <c r="D6" s="13"/>
      <c r="E6" s="14">
        <f>$I$3*I6</f>
        <v>10.2738938053097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299</v>
      </c>
      <c r="B7" s="8"/>
      <c r="C7" s="16"/>
      <c r="D7" s="17"/>
      <c r="E7" s="14">
        <f t="shared" ref="E7:E11" si="0">$I$3*I7</f>
        <v>42.6106194690265</v>
      </c>
      <c r="F7" s="14"/>
      <c r="G7" s="14"/>
      <c r="H7" s="18">
        <f>SUM(H4:H6)</f>
        <v>0.1018</v>
      </c>
      <c r="I7" s="3">
        <f>SUM(I4:I6)</f>
        <v>0.09</v>
      </c>
    </row>
    <row r="8" ht="24" customHeight="1" spans="1:9">
      <c r="A8" s="11" t="s">
        <v>87</v>
      </c>
      <c r="B8" s="11"/>
      <c r="C8" s="12"/>
      <c r="D8" s="13"/>
      <c r="E8" s="14">
        <f t="shared" si="0"/>
        <v>4.73451327433628</v>
      </c>
      <c r="F8" s="14"/>
      <c r="G8" s="14"/>
      <c r="H8" s="15">
        <f>1.97%+0.75%</f>
        <v>0.0272</v>
      </c>
      <c r="I8" s="3">
        <v>0.01</v>
      </c>
    </row>
    <row r="9" ht="24" customHeight="1" spans="1:9">
      <c r="A9" s="19" t="s">
        <v>300</v>
      </c>
      <c r="B9" s="11" t="s">
        <v>297</v>
      </c>
      <c r="C9" s="12"/>
      <c r="D9" s="13"/>
      <c r="E9" s="14">
        <f t="shared" si="0"/>
        <v>4.73451327433628</v>
      </c>
      <c r="F9" s="14"/>
      <c r="G9" s="14"/>
      <c r="H9" s="15">
        <v>0.0053</v>
      </c>
      <c r="I9" s="3">
        <v>0.01</v>
      </c>
    </row>
    <row r="10" ht="24" customHeight="1" spans="1:9">
      <c r="A10" s="20"/>
      <c r="B10" s="11" t="s">
        <v>298</v>
      </c>
      <c r="C10" s="12"/>
      <c r="D10" s="13"/>
      <c r="E10" s="14">
        <f>$I$3*I10+24</f>
        <v>28.7345132743363</v>
      </c>
      <c r="F10" s="14"/>
      <c r="G10" s="14"/>
      <c r="H10" s="15">
        <v>0.0341</v>
      </c>
      <c r="I10" s="3">
        <v>0.01</v>
      </c>
    </row>
    <row r="11" ht="24" customHeight="1" spans="1:9">
      <c r="A11" s="11" t="s">
        <v>90</v>
      </c>
      <c r="B11" s="11"/>
      <c r="C11" s="12"/>
      <c r="D11" s="13"/>
      <c r="E11" s="14">
        <f t="shared" si="0"/>
        <v>4.73451327433628</v>
      </c>
      <c r="F11" s="14"/>
      <c r="G11" s="14"/>
      <c r="H11" s="15">
        <v>0.011</v>
      </c>
      <c r="I11" s="3">
        <v>0.01</v>
      </c>
    </row>
    <row r="13" s="1" customFormat="1" ht="18.75" customHeight="1" spans="7:9">
      <c r="G13" s="4" t="s">
        <v>282</v>
      </c>
      <c r="H13" s="4"/>
      <c r="I13" s="24">
        <f>材料成本!E5</f>
        <v>473.451327433628</v>
      </c>
    </row>
    <row r="14" ht="39" customHeight="1" spans="1:9">
      <c r="A14" s="5" t="s">
        <v>283</v>
      </c>
      <c r="B14" s="5"/>
      <c r="C14" s="6" t="s">
        <v>284</v>
      </c>
      <c r="D14" s="7"/>
      <c r="E14" s="7"/>
      <c r="F14" s="7"/>
      <c r="G14" s="7"/>
      <c r="H14" s="8"/>
      <c r="I14" s="3" t="s">
        <v>285</v>
      </c>
    </row>
    <row r="15" ht="34.5" customHeight="1" spans="1:9">
      <c r="A15" s="5"/>
      <c r="B15" s="5"/>
      <c r="C15" s="9" t="s">
        <v>289</v>
      </c>
      <c r="D15" s="9" t="s">
        <v>290</v>
      </c>
      <c r="E15" s="9" t="s">
        <v>291</v>
      </c>
      <c r="F15" s="10" t="s">
        <v>292</v>
      </c>
      <c r="G15" s="10" t="s">
        <v>293</v>
      </c>
      <c r="H15" s="10" t="s">
        <v>294</v>
      </c>
      <c r="I15" s="23">
        <f>销量!D8</f>
        <v>473.451327433628</v>
      </c>
    </row>
    <row r="16" ht="24" customHeight="1" spans="1:9">
      <c r="A16" s="11" t="s">
        <v>295</v>
      </c>
      <c r="B16" s="11"/>
      <c r="C16" s="12"/>
      <c r="D16" s="13"/>
      <c r="E16" s="14">
        <f>I15*I16</f>
        <v>15.6712389380531</v>
      </c>
      <c r="F16" s="14"/>
      <c r="G16" s="14"/>
      <c r="H16" s="15">
        <v>0.0448</v>
      </c>
      <c r="I16" s="3">
        <v>0.0331</v>
      </c>
    </row>
    <row r="17" ht="24" customHeight="1" spans="1:9">
      <c r="A17" s="11" t="s">
        <v>296</v>
      </c>
      <c r="B17" s="11" t="s">
        <v>297</v>
      </c>
      <c r="C17" s="12"/>
      <c r="D17" s="13"/>
      <c r="E17" s="14">
        <f>$I$15*I17</f>
        <v>16.6654867256637</v>
      </c>
      <c r="F17" s="14"/>
      <c r="G17" s="14"/>
      <c r="H17" s="15">
        <v>0.0404</v>
      </c>
      <c r="I17" s="3">
        <v>0.0352</v>
      </c>
    </row>
    <row r="18" ht="24" customHeight="1" spans="1:9">
      <c r="A18" s="11"/>
      <c r="B18" s="11" t="s">
        <v>298</v>
      </c>
      <c r="C18" s="12"/>
      <c r="D18" s="13"/>
      <c r="E18" s="14">
        <f t="shared" ref="E18:E23" si="1">$I$15*I18</f>
        <v>10.2738938053097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299</v>
      </c>
      <c r="B19" s="8"/>
      <c r="C19" s="16"/>
      <c r="D19" s="17"/>
      <c r="E19" s="14">
        <f t="shared" si="1"/>
        <v>42.6106194690265</v>
      </c>
      <c r="F19" s="14"/>
      <c r="G19" s="14"/>
      <c r="H19" s="18">
        <f>SUM(H16:H18)</f>
        <v>0.1018</v>
      </c>
      <c r="I19" s="3">
        <f>SUM(I16:I18)</f>
        <v>0.09</v>
      </c>
    </row>
    <row r="20" ht="24" customHeight="1" spans="1:9">
      <c r="A20" s="11" t="s">
        <v>87</v>
      </c>
      <c r="B20" s="11"/>
      <c r="C20" s="12"/>
      <c r="D20" s="13"/>
      <c r="E20" s="14">
        <f t="shared" si="1"/>
        <v>4.73451327433628</v>
      </c>
      <c r="F20" s="14"/>
      <c r="G20" s="14"/>
      <c r="H20" s="15">
        <f>1.97%+0.75%</f>
        <v>0.0272</v>
      </c>
      <c r="I20" s="3">
        <v>0.01</v>
      </c>
    </row>
    <row r="21" ht="24" customHeight="1" spans="1:9">
      <c r="A21" s="19" t="s">
        <v>300</v>
      </c>
      <c r="B21" s="11" t="s">
        <v>297</v>
      </c>
      <c r="C21" s="12"/>
      <c r="D21" s="13"/>
      <c r="E21" s="14">
        <f t="shared" si="1"/>
        <v>4.73451327433628</v>
      </c>
      <c r="F21" s="14"/>
      <c r="G21" s="14"/>
      <c r="H21" s="15">
        <v>0.0053</v>
      </c>
      <c r="I21" s="3">
        <v>0.01</v>
      </c>
    </row>
    <row r="22" ht="24" customHeight="1" spans="1:9">
      <c r="A22" s="20"/>
      <c r="B22" s="11" t="s">
        <v>298</v>
      </c>
      <c r="C22" s="12"/>
      <c r="D22" s="13"/>
      <c r="E22" s="14">
        <f>$I$15*I22+24</f>
        <v>28.7345132743363</v>
      </c>
      <c r="F22" s="14"/>
      <c r="G22" s="14"/>
      <c r="H22" s="15">
        <v>0.0341</v>
      </c>
      <c r="I22" s="3">
        <v>0.01</v>
      </c>
    </row>
    <row r="23" ht="24" customHeight="1" spans="1:9">
      <c r="A23" s="11" t="s">
        <v>90</v>
      </c>
      <c r="B23" s="11"/>
      <c r="C23" s="12"/>
      <c r="D23" s="13"/>
      <c r="E23" s="14">
        <f t="shared" si="1"/>
        <v>4.73451327433628</v>
      </c>
      <c r="F23" s="14"/>
      <c r="G23" s="14"/>
      <c r="H23" s="15">
        <v>0.011</v>
      </c>
      <c r="I23" s="3">
        <v>0.01</v>
      </c>
    </row>
    <row r="26" s="1" customFormat="1" ht="18.75" customHeight="1" spans="7:9">
      <c r="G26" s="4" t="s">
        <v>282</v>
      </c>
      <c r="H26" s="4"/>
      <c r="I26" s="24">
        <f>材料成本!F5</f>
        <v>4.42477876106195</v>
      </c>
    </row>
    <row r="27" ht="39" customHeight="1" spans="1:9">
      <c r="A27" s="5" t="s">
        <v>283</v>
      </c>
      <c r="B27" s="5"/>
      <c r="C27" s="6" t="s">
        <v>284</v>
      </c>
      <c r="D27" s="7"/>
      <c r="E27" s="7"/>
      <c r="F27" s="7"/>
      <c r="G27" s="7"/>
      <c r="H27" s="8"/>
      <c r="I27" s="3" t="s">
        <v>285</v>
      </c>
    </row>
    <row r="28" ht="34.5" customHeight="1" spans="1:9">
      <c r="A28" s="5"/>
      <c r="B28" s="5"/>
      <c r="C28" s="9" t="s">
        <v>289</v>
      </c>
      <c r="D28" s="9" t="s">
        <v>290</v>
      </c>
      <c r="E28" s="9" t="s">
        <v>291</v>
      </c>
      <c r="F28" s="10" t="s">
        <v>292</v>
      </c>
      <c r="G28" s="10" t="s">
        <v>293</v>
      </c>
      <c r="H28" s="10" t="s">
        <v>294</v>
      </c>
      <c r="I28" s="23">
        <f>销量!E8</f>
        <v>4.42477876106195</v>
      </c>
    </row>
    <row r="29" ht="24" customHeight="1" spans="1:9">
      <c r="A29" s="11" t="s">
        <v>295</v>
      </c>
      <c r="B29" s="11"/>
      <c r="C29" s="12"/>
      <c r="D29" s="13"/>
      <c r="E29" s="14">
        <f>I28*I29</f>
        <v>0.146460176991151</v>
      </c>
      <c r="F29" s="14"/>
      <c r="G29" s="14"/>
      <c r="H29" s="15">
        <v>0.0448</v>
      </c>
      <c r="I29" s="3">
        <v>0.0331</v>
      </c>
    </row>
    <row r="30" ht="24" customHeight="1" spans="1:9">
      <c r="A30" s="11" t="s">
        <v>296</v>
      </c>
      <c r="B30" s="11" t="s">
        <v>297</v>
      </c>
      <c r="C30" s="12"/>
      <c r="D30" s="13"/>
      <c r="E30" s="14">
        <f>$I$28*I30</f>
        <v>0.155752212389381</v>
      </c>
      <c r="F30" s="14"/>
      <c r="G30" s="14"/>
      <c r="H30" s="15">
        <v>0.0404</v>
      </c>
      <c r="I30" s="3">
        <v>0.0352</v>
      </c>
    </row>
    <row r="31" ht="24" customHeight="1" spans="1:9">
      <c r="A31" s="11"/>
      <c r="B31" s="11" t="s">
        <v>298</v>
      </c>
      <c r="C31" s="12"/>
      <c r="D31" s="13"/>
      <c r="E31" s="14">
        <f t="shared" ref="E30:E36" si="2">$I$28*I31</f>
        <v>0.0960176991150443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299</v>
      </c>
      <c r="B32" s="8"/>
      <c r="C32" s="16"/>
      <c r="D32" s="17"/>
      <c r="E32" s="14">
        <f t="shared" si="2"/>
        <v>0.398230088495576</v>
      </c>
      <c r="F32" s="14"/>
      <c r="G32" s="14"/>
      <c r="H32" s="18">
        <f>SUM(H29:H31)</f>
        <v>0.1018</v>
      </c>
      <c r="I32" s="3">
        <f>SUM(I29:I31)</f>
        <v>0.09</v>
      </c>
    </row>
    <row r="33" ht="24" customHeight="1" spans="1:9">
      <c r="A33" s="11" t="s">
        <v>87</v>
      </c>
      <c r="B33" s="11"/>
      <c r="C33" s="12"/>
      <c r="D33" s="13"/>
      <c r="E33" s="14">
        <f t="shared" si="2"/>
        <v>0.0442477876106195</v>
      </c>
      <c r="F33" s="14"/>
      <c r="G33" s="14"/>
      <c r="H33" s="15">
        <f>1.97%+0.75%</f>
        <v>0.0272</v>
      </c>
      <c r="I33" s="3">
        <v>0.01</v>
      </c>
    </row>
    <row r="34" ht="24" customHeight="1" spans="1:9">
      <c r="A34" s="19" t="s">
        <v>300</v>
      </c>
      <c r="B34" s="11" t="s">
        <v>297</v>
      </c>
      <c r="C34" s="12"/>
      <c r="D34" s="13"/>
      <c r="E34" s="14">
        <f t="shared" si="2"/>
        <v>0.0442477876106195</v>
      </c>
      <c r="F34" s="14"/>
      <c r="G34" s="14"/>
      <c r="H34" s="15">
        <v>0.0053</v>
      </c>
      <c r="I34" s="3">
        <v>0.01</v>
      </c>
    </row>
    <row r="35" ht="24" customHeight="1" spans="1:9">
      <c r="A35" s="20"/>
      <c r="B35" s="11" t="s">
        <v>298</v>
      </c>
      <c r="C35" s="12"/>
      <c r="D35" s="13"/>
      <c r="E35" s="14">
        <f t="shared" si="2"/>
        <v>0.0442477876106195</v>
      </c>
      <c r="F35" s="14"/>
      <c r="G35" s="14"/>
      <c r="H35" s="15">
        <v>0.0341</v>
      </c>
      <c r="I35" s="3">
        <v>0.01</v>
      </c>
    </row>
    <row r="36" ht="24" customHeight="1" spans="1:9">
      <c r="A36" s="11" t="s">
        <v>90</v>
      </c>
      <c r="B36" s="11"/>
      <c r="C36" s="12"/>
      <c r="D36" s="13"/>
      <c r="E36" s="14">
        <f t="shared" si="2"/>
        <v>0.0442477876106195</v>
      </c>
      <c r="F36" s="14"/>
      <c r="G36" s="14"/>
      <c r="H36" s="15">
        <v>0.011</v>
      </c>
      <c r="I36" s="3">
        <v>0.01</v>
      </c>
    </row>
    <row r="39" s="1" customFormat="1" ht="18.75" customHeight="1" spans="7:9">
      <c r="G39" s="4" t="s">
        <v>282</v>
      </c>
      <c r="H39" s="4"/>
      <c r="I39" s="24">
        <f>材料成本!G5</f>
        <v>0</v>
      </c>
    </row>
    <row r="40" ht="39" customHeight="1" spans="1:9">
      <c r="A40" s="5" t="s">
        <v>283</v>
      </c>
      <c r="B40" s="5"/>
      <c r="C40" s="6" t="s">
        <v>301</v>
      </c>
      <c r="D40" s="7"/>
      <c r="E40" s="7"/>
      <c r="F40" s="7"/>
      <c r="G40" s="7"/>
      <c r="H40" s="8"/>
      <c r="I40" s="3" t="s">
        <v>285</v>
      </c>
    </row>
    <row r="41" ht="34.5" customHeight="1" spans="1:9">
      <c r="A41" s="5"/>
      <c r="B41" s="5"/>
      <c r="C41" s="9" t="s">
        <v>289</v>
      </c>
      <c r="D41" s="9" t="s">
        <v>290</v>
      </c>
      <c r="E41" s="9" t="s">
        <v>291</v>
      </c>
      <c r="F41" s="10" t="s">
        <v>292</v>
      </c>
      <c r="G41" s="10" t="s">
        <v>293</v>
      </c>
      <c r="H41" s="10" t="s">
        <v>294</v>
      </c>
      <c r="I41" s="23">
        <f>销量!F8</f>
        <v>0</v>
      </c>
    </row>
    <row r="42" ht="24" customHeight="1" spans="1:9">
      <c r="A42" s="11" t="s">
        <v>295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296</v>
      </c>
      <c r="B43" s="11" t="s">
        <v>297</v>
      </c>
      <c r="C43" s="12"/>
      <c r="D43" s="13"/>
      <c r="E43" s="14">
        <f>$I$41*I43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298</v>
      </c>
      <c r="C44" s="12"/>
      <c r="D44" s="13"/>
      <c r="E44" s="14">
        <f>$I$41*I44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299</v>
      </c>
      <c r="B45" s="8"/>
      <c r="C45" s="16"/>
      <c r="D45" s="17"/>
      <c r="E45" s="14">
        <f>$I$28*I45</f>
        <v>0.468141592920354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87</v>
      </c>
      <c r="B46" s="11"/>
      <c r="C46" s="12"/>
      <c r="D46" s="13"/>
      <c r="E46" s="14">
        <f>$I$41*I46</f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300</v>
      </c>
      <c r="B47" s="11" t="s">
        <v>297</v>
      </c>
      <c r="C47" s="12"/>
      <c r="D47" s="13"/>
      <c r="E47" s="14">
        <f>$I$41*I47</f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298</v>
      </c>
      <c r="C48" s="12"/>
      <c r="D48" s="13"/>
      <c r="E48" s="14">
        <f>$I$41*I48</f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90</v>
      </c>
      <c r="B49" s="11"/>
      <c r="C49" s="12"/>
      <c r="D49" s="13"/>
      <c r="E49" s="14">
        <f>$I$41*I49</f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282</v>
      </c>
      <c r="H52" s="4"/>
      <c r="I52" s="24">
        <f>材料成本!H5</f>
        <v>0</v>
      </c>
    </row>
    <row r="53" ht="39" customHeight="1" spans="1:9">
      <c r="A53" s="5" t="s">
        <v>283</v>
      </c>
      <c r="B53" s="5"/>
      <c r="C53" s="6" t="s">
        <v>301</v>
      </c>
      <c r="D53" s="7"/>
      <c r="E53" s="7"/>
      <c r="F53" s="7"/>
      <c r="G53" s="7"/>
      <c r="H53" s="8"/>
      <c r="I53" s="3" t="s">
        <v>285</v>
      </c>
    </row>
    <row r="54" ht="34.5" customHeight="1" spans="1:9">
      <c r="A54" s="5"/>
      <c r="B54" s="5"/>
      <c r="C54" s="9" t="s">
        <v>289</v>
      </c>
      <c r="D54" s="9" t="s">
        <v>290</v>
      </c>
      <c r="E54" s="9" t="s">
        <v>291</v>
      </c>
      <c r="F54" s="10" t="s">
        <v>292</v>
      </c>
      <c r="G54" s="10" t="s">
        <v>293</v>
      </c>
      <c r="H54" s="10" t="s">
        <v>294</v>
      </c>
      <c r="I54" s="23">
        <f>销量!G8</f>
        <v>0</v>
      </c>
    </row>
    <row r="55" ht="24" customHeight="1" spans="1:9">
      <c r="A55" s="11" t="s">
        <v>295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296</v>
      </c>
      <c r="B56" s="11" t="s">
        <v>297</v>
      </c>
      <c r="C56" s="12"/>
      <c r="D56" s="13"/>
      <c r="E56" s="14">
        <f t="shared" ref="E56:E62" si="3"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298</v>
      </c>
      <c r="C57" s="12"/>
      <c r="D57" s="13"/>
      <c r="E57" s="14">
        <f t="shared" si="3"/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299</v>
      </c>
      <c r="B58" s="8"/>
      <c r="C58" s="16"/>
      <c r="D58" s="17"/>
      <c r="E58" s="14">
        <f t="shared" si="3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87</v>
      </c>
      <c r="B59" s="11"/>
      <c r="C59" s="12"/>
      <c r="D59" s="13"/>
      <c r="E59" s="14">
        <f t="shared" si="3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300</v>
      </c>
      <c r="B60" s="11" t="s">
        <v>297</v>
      </c>
      <c r="C60" s="12"/>
      <c r="D60" s="13"/>
      <c r="E60" s="14">
        <f t="shared" si="3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298</v>
      </c>
      <c r="C61" s="12"/>
      <c r="D61" s="13"/>
      <c r="E61" s="14">
        <f t="shared" si="3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90</v>
      </c>
      <c r="B62" s="11"/>
      <c r="C62" s="12"/>
      <c r="D62" s="13"/>
      <c r="E62" s="14">
        <f t="shared" si="3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282</v>
      </c>
      <c r="H65" s="4"/>
      <c r="I65" s="24">
        <f>材料成本!I5</f>
        <v>0</v>
      </c>
    </row>
    <row r="66" ht="39" customHeight="1" spans="1:9">
      <c r="A66" s="5" t="s">
        <v>283</v>
      </c>
      <c r="B66" s="5"/>
      <c r="C66" s="6" t="s">
        <v>301</v>
      </c>
      <c r="D66" s="7"/>
      <c r="E66" s="7"/>
      <c r="F66" s="7"/>
      <c r="G66" s="7"/>
      <c r="H66" s="8"/>
      <c r="I66" s="3" t="s">
        <v>285</v>
      </c>
    </row>
    <row r="67" ht="34.5" customHeight="1" spans="1:9">
      <c r="A67" s="5"/>
      <c r="B67" s="5"/>
      <c r="C67" s="9" t="s">
        <v>289</v>
      </c>
      <c r="D67" s="9" t="s">
        <v>290</v>
      </c>
      <c r="E67" s="9" t="s">
        <v>291</v>
      </c>
      <c r="F67" s="10" t="s">
        <v>292</v>
      </c>
      <c r="G67" s="10" t="s">
        <v>293</v>
      </c>
      <c r="H67" s="10" t="s">
        <v>294</v>
      </c>
      <c r="I67" s="23">
        <f>销量!H8</f>
        <v>0</v>
      </c>
    </row>
    <row r="68" ht="24" customHeight="1" spans="1:9">
      <c r="A68" s="11" t="s">
        <v>295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296</v>
      </c>
      <c r="B69" s="11" t="s">
        <v>297</v>
      </c>
      <c r="C69" s="12"/>
      <c r="D69" s="13"/>
      <c r="E69" s="14">
        <f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298</v>
      </c>
      <c r="C70" s="12"/>
      <c r="D70" s="13"/>
      <c r="E70" s="14">
        <f t="shared" ref="E69:E75" si="4">$I$67*I70</f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299</v>
      </c>
      <c r="B71" s="8"/>
      <c r="C71" s="16"/>
      <c r="D71" s="17"/>
      <c r="E71" s="14">
        <f t="shared" si="4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87</v>
      </c>
      <c r="B72" s="11"/>
      <c r="C72" s="12"/>
      <c r="D72" s="13"/>
      <c r="E72" s="14">
        <f t="shared" si="4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300</v>
      </c>
      <c r="B73" s="11" t="s">
        <v>297</v>
      </c>
      <c r="C73" s="12"/>
      <c r="D73" s="13"/>
      <c r="E73" s="14">
        <f t="shared" si="4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298</v>
      </c>
      <c r="C74" s="12"/>
      <c r="D74" s="13"/>
      <c r="E74" s="14">
        <f t="shared" si="4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90</v>
      </c>
      <c r="B75" s="11"/>
      <c r="C75" s="12"/>
      <c r="D75" s="13"/>
      <c r="E75" s="14">
        <f t="shared" si="4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282</v>
      </c>
      <c r="H78" s="4"/>
      <c r="I78" s="24"/>
    </row>
    <row r="79" ht="39" customHeight="1" spans="1:9">
      <c r="A79" s="5" t="s">
        <v>283</v>
      </c>
      <c r="B79" s="5"/>
      <c r="C79" s="6" t="s">
        <v>301</v>
      </c>
      <c r="D79" s="7"/>
      <c r="E79" s="7"/>
      <c r="F79" s="7"/>
      <c r="G79" s="7"/>
      <c r="H79" s="8"/>
      <c r="I79" s="3" t="s">
        <v>285</v>
      </c>
    </row>
    <row r="80" ht="34.5" customHeight="1" spans="1:9">
      <c r="A80" s="5"/>
      <c r="B80" s="5"/>
      <c r="C80" s="9" t="s">
        <v>289</v>
      </c>
      <c r="D80" s="9" t="s">
        <v>290</v>
      </c>
      <c r="E80" s="9" t="s">
        <v>291</v>
      </c>
      <c r="F80" s="10" t="s">
        <v>292</v>
      </c>
      <c r="G80" s="10" t="s">
        <v>293</v>
      </c>
      <c r="H80" s="10" t="s">
        <v>294</v>
      </c>
      <c r="I80" s="23"/>
    </row>
    <row r="81" ht="24" customHeight="1" spans="1:9">
      <c r="A81" s="11" t="s">
        <v>295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296</v>
      </c>
      <c r="B82" s="11" t="s">
        <v>297</v>
      </c>
      <c r="C82" s="12"/>
      <c r="D82" s="13"/>
      <c r="E82" s="14">
        <f t="shared" ref="E82:E88" si="5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298</v>
      </c>
      <c r="C83" s="12"/>
      <c r="D83" s="13"/>
      <c r="E83" s="14">
        <f t="shared" si="5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299</v>
      </c>
      <c r="B84" s="8"/>
      <c r="C84" s="16"/>
      <c r="D84" s="17"/>
      <c r="E84" s="14">
        <f t="shared" si="5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87</v>
      </c>
      <c r="B85" s="11"/>
      <c r="C85" s="12"/>
      <c r="D85" s="13"/>
      <c r="E85" s="14">
        <f t="shared" si="5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300</v>
      </c>
      <c r="B86" s="11" t="s">
        <v>297</v>
      </c>
      <c r="C86" s="12"/>
      <c r="D86" s="13"/>
      <c r="E86" s="14">
        <f t="shared" si="5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298</v>
      </c>
      <c r="C87" s="12"/>
      <c r="D87" s="13"/>
      <c r="E87" s="14">
        <f t="shared" si="5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90</v>
      </c>
      <c r="B88" s="11"/>
      <c r="C88" s="12"/>
      <c r="D88" s="13"/>
      <c r="E88" s="14">
        <f t="shared" si="5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282</v>
      </c>
      <c r="H91" s="4"/>
      <c r="I91" s="24"/>
    </row>
    <row r="92" ht="39" customHeight="1" spans="1:9">
      <c r="A92" s="5" t="s">
        <v>283</v>
      </c>
      <c r="B92" s="5"/>
      <c r="C92" s="6" t="s">
        <v>301</v>
      </c>
      <c r="D92" s="7"/>
      <c r="E92" s="7"/>
      <c r="F92" s="7"/>
      <c r="G92" s="7"/>
      <c r="H92" s="8"/>
      <c r="I92" s="3" t="s">
        <v>285</v>
      </c>
    </row>
    <row r="93" ht="34.5" customHeight="1" spans="1:9">
      <c r="A93" s="5"/>
      <c r="B93" s="5"/>
      <c r="C93" s="9" t="s">
        <v>289</v>
      </c>
      <c r="D93" s="9" t="s">
        <v>290</v>
      </c>
      <c r="E93" s="9" t="s">
        <v>291</v>
      </c>
      <c r="F93" s="10" t="s">
        <v>292</v>
      </c>
      <c r="G93" s="10" t="s">
        <v>293</v>
      </c>
      <c r="H93" s="10" t="s">
        <v>294</v>
      </c>
      <c r="I93" s="23"/>
    </row>
    <row r="94" ht="24" customHeight="1" spans="1:9">
      <c r="A94" s="11" t="s">
        <v>295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296</v>
      </c>
      <c r="B95" s="11" t="s">
        <v>297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298</v>
      </c>
      <c r="C96" s="12"/>
      <c r="D96" s="13"/>
      <c r="E96" s="14">
        <f t="shared" ref="E96:E101" si="6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299</v>
      </c>
      <c r="B97" s="8"/>
      <c r="C97" s="16"/>
      <c r="D97" s="17"/>
      <c r="E97" s="14">
        <f t="shared" si="6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87</v>
      </c>
      <c r="B98" s="11"/>
      <c r="C98" s="12"/>
      <c r="D98" s="13"/>
      <c r="E98" s="14">
        <f t="shared" si="6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300</v>
      </c>
      <c r="B99" s="11" t="s">
        <v>297</v>
      </c>
      <c r="C99" s="12"/>
      <c r="D99" s="13"/>
      <c r="E99" s="14">
        <f t="shared" si="6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298</v>
      </c>
      <c r="C100" s="12"/>
      <c r="D100" s="13"/>
      <c r="E100" s="14">
        <f t="shared" si="6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90</v>
      </c>
      <c r="B101" s="11"/>
      <c r="C101" s="12"/>
      <c r="D101" s="13"/>
      <c r="E101" s="14">
        <f t="shared" si="6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282</v>
      </c>
      <c r="H104" s="4"/>
      <c r="I104" s="24"/>
    </row>
    <row r="105" ht="39" customHeight="1" spans="1:9">
      <c r="A105" s="5" t="s">
        <v>283</v>
      </c>
      <c r="B105" s="5"/>
      <c r="C105" s="6" t="s">
        <v>301</v>
      </c>
      <c r="D105" s="7"/>
      <c r="E105" s="7"/>
      <c r="F105" s="7"/>
      <c r="G105" s="7"/>
      <c r="H105" s="8"/>
      <c r="I105" s="3" t="s">
        <v>285</v>
      </c>
    </row>
    <row r="106" ht="34.5" customHeight="1" spans="1:9">
      <c r="A106" s="5"/>
      <c r="B106" s="5"/>
      <c r="C106" s="9" t="s">
        <v>289</v>
      </c>
      <c r="D106" s="9" t="s">
        <v>290</v>
      </c>
      <c r="E106" s="9" t="s">
        <v>291</v>
      </c>
      <c r="F106" s="10" t="s">
        <v>292</v>
      </c>
      <c r="G106" s="10" t="s">
        <v>293</v>
      </c>
      <c r="H106" s="10" t="s">
        <v>294</v>
      </c>
      <c r="I106" s="23"/>
    </row>
    <row r="107" ht="24" customHeight="1" spans="1:9">
      <c r="A107" s="11" t="s">
        <v>295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296</v>
      </c>
      <c r="B108" s="11" t="s">
        <v>297</v>
      </c>
      <c r="C108" s="12"/>
      <c r="D108" s="13"/>
      <c r="E108" s="14">
        <f t="shared" ref="E108:E114" si="7"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298</v>
      </c>
      <c r="C109" s="12"/>
      <c r="D109" s="13"/>
      <c r="E109" s="14">
        <f t="shared" si="7"/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299</v>
      </c>
      <c r="B110" s="8"/>
      <c r="C110" s="16"/>
      <c r="D110" s="17"/>
      <c r="E110" s="14">
        <f t="shared" si="7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87</v>
      </c>
      <c r="B111" s="11"/>
      <c r="C111" s="12"/>
      <c r="D111" s="13"/>
      <c r="E111" s="14">
        <f t="shared" si="7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300</v>
      </c>
      <c r="B112" s="11" t="s">
        <v>297</v>
      </c>
      <c r="C112" s="12"/>
      <c r="D112" s="13"/>
      <c r="E112" s="14">
        <f t="shared" si="7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298</v>
      </c>
      <c r="C113" s="12"/>
      <c r="D113" s="13"/>
      <c r="E113" s="14">
        <f t="shared" si="7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90</v>
      </c>
      <c r="B114" s="11"/>
      <c r="C114" s="12"/>
      <c r="D114" s="13"/>
      <c r="E114" s="14">
        <f t="shared" si="7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282</v>
      </c>
      <c r="H117" s="4"/>
      <c r="I117" s="24"/>
    </row>
    <row r="118" ht="39" customHeight="1" spans="1:9">
      <c r="A118" s="5" t="s">
        <v>283</v>
      </c>
      <c r="B118" s="5"/>
      <c r="C118" s="6" t="s">
        <v>301</v>
      </c>
      <c r="D118" s="7"/>
      <c r="E118" s="7"/>
      <c r="F118" s="7"/>
      <c r="G118" s="7"/>
      <c r="H118" s="8"/>
      <c r="I118" s="3" t="s">
        <v>285</v>
      </c>
    </row>
    <row r="119" ht="34.5" customHeight="1" spans="1:9">
      <c r="A119" s="5"/>
      <c r="B119" s="5"/>
      <c r="C119" s="9" t="s">
        <v>289</v>
      </c>
      <c r="D119" s="9" t="s">
        <v>290</v>
      </c>
      <c r="E119" s="9" t="s">
        <v>291</v>
      </c>
      <c r="F119" s="10" t="s">
        <v>292</v>
      </c>
      <c r="G119" s="10" t="s">
        <v>293</v>
      </c>
      <c r="H119" s="10" t="s">
        <v>294</v>
      </c>
      <c r="I119" s="23"/>
    </row>
    <row r="120" ht="24" customHeight="1" spans="1:9">
      <c r="A120" s="11" t="s">
        <v>295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296</v>
      </c>
      <c r="B121" s="11" t="s">
        <v>297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298</v>
      </c>
      <c r="C122" s="12"/>
      <c r="D122" s="13"/>
      <c r="E122" s="14">
        <f t="shared" ref="E122:E127" si="8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299</v>
      </c>
      <c r="B123" s="8"/>
      <c r="C123" s="16"/>
      <c r="D123" s="17"/>
      <c r="E123" s="14">
        <f t="shared" si="8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87</v>
      </c>
      <c r="B124" s="11"/>
      <c r="C124" s="12"/>
      <c r="D124" s="13"/>
      <c r="E124" s="14">
        <f t="shared" si="8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300</v>
      </c>
      <c r="B125" s="11" t="s">
        <v>297</v>
      </c>
      <c r="C125" s="12"/>
      <c r="D125" s="13"/>
      <c r="E125" s="14">
        <f t="shared" si="8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298</v>
      </c>
      <c r="C126" s="12"/>
      <c r="D126" s="13"/>
      <c r="E126" s="14">
        <f t="shared" si="8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90</v>
      </c>
      <c r="B127" s="11"/>
      <c r="C127" s="12"/>
      <c r="D127" s="13"/>
      <c r="E127" s="14">
        <f t="shared" si="8"/>
        <v>0</v>
      </c>
      <c r="F127" s="14"/>
      <c r="G127" s="14"/>
      <c r="H127" s="15">
        <v>0.011</v>
      </c>
      <c r="I127" s="3">
        <v>0.03</v>
      </c>
    </row>
    <row r="130" s="1" customFormat="1" ht="18.75" customHeight="1" spans="7:9">
      <c r="G130" s="4" t="s">
        <v>282</v>
      </c>
      <c r="H130" s="4"/>
      <c r="I130" s="24"/>
    </row>
    <row r="131" ht="39" customHeight="1" spans="1:9">
      <c r="A131" s="5" t="s">
        <v>283</v>
      </c>
      <c r="B131" s="5"/>
      <c r="C131" s="6" t="s">
        <v>301</v>
      </c>
      <c r="D131" s="7"/>
      <c r="E131" s="7"/>
      <c r="F131" s="7"/>
      <c r="G131" s="7"/>
      <c r="H131" s="8"/>
      <c r="I131" s="3" t="s">
        <v>285</v>
      </c>
    </row>
    <row r="132" ht="34.5" customHeight="1" spans="1:9">
      <c r="A132" s="5"/>
      <c r="B132" s="5"/>
      <c r="C132" s="9" t="s">
        <v>289</v>
      </c>
      <c r="D132" s="9" t="s">
        <v>290</v>
      </c>
      <c r="E132" s="9" t="s">
        <v>291</v>
      </c>
      <c r="F132" s="10" t="s">
        <v>292</v>
      </c>
      <c r="G132" s="10" t="s">
        <v>293</v>
      </c>
      <c r="H132" s="10" t="s">
        <v>294</v>
      </c>
      <c r="I132" s="23"/>
    </row>
    <row r="133" ht="24" customHeight="1" spans="1:9">
      <c r="A133" s="11" t="s">
        <v>295</v>
      </c>
      <c r="B133" s="11"/>
      <c r="C133" s="12"/>
      <c r="D133" s="13"/>
      <c r="E133" s="14">
        <f>I132*I133</f>
        <v>0</v>
      </c>
      <c r="F133" s="14"/>
      <c r="G133" s="14"/>
      <c r="H133" s="15">
        <v>0.0448</v>
      </c>
      <c r="I133" s="3">
        <v>0.0431</v>
      </c>
    </row>
    <row r="134" ht="24" customHeight="1" spans="1:9">
      <c r="A134" s="11" t="s">
        <v>296</v>
      </c>
      <c r="B134" s="11" t="s">
        <v>297</v>
      </c>
      <c r="C134" s="12"/>
      <c r="D134" s="13"/>
      <c r="E134" s="14">
        <f>$I$132*I134</f>
        <v>0</v>
      </c>
      <c r="F134" s="14"/>
      <c r="G134" s="14"/>
      <c r="H134" s="15">
        <v>0.0404</v>
      </c>
      <c r="I134" s="3">
        <v>0.041</v>
      </c>
    </row>
    <row r="135" ht="24" customHeight="1" spans="1:9">
      <c r="A135" s="11"/>
      <c r="B135" s="11" t="s">
        <v>298</v>
      </c>
      <c r="C135" s="12"/>
      <c r="D135" s="13"/>
      <c r="E135" s="14">
        <f t="shared" ref="E135:E140" si="9">$I$132*I135</f>
        <v>0</v>
      </c>
      <c r="F135" s="14"/>
      <c r="G135" s="14"/>
      <c r="H135" s="15">
        <v>0.0166</v>
      </c>
      <c r="I135" s="3">
        <v>0.0217</v>
      </c>
    </row>
    <row r="136" ht="24" customHeight="1" spans="1:9">
      <c r="A136" s="6" t="s">
        <v>299</v>
      </c>
      <c r="B136" s="8"/>
      <c r="C136" s="16"/>
      <c r="D136" s="17"/>
      <c r="E136" s="14">
        <f t="shared" si="9"/>
        <v>0</v>
      </c>
      <c r="F136" s="14"/>
      <c r="G136" s="14"/>
      <c r="H136" s="18">
        <f>SUM(H133:H135)</f>
        <v>0.1018</v>
      </c>
      <c r="I136" s="3">
        <f>SUM(I133:I135)</f>
        <v>0.1058</v>
      </c>
    </row>
    <row r="137" ht="24" customHeight="1" spans="1:9">
      <c r="A137" s="11" t="s">
        <v>87</v>
      </c>
      <c r="B137" s="11"/>
      <c r="C137" s="12"/>
      <c r="D137" s="13"/>
      <c r="E137" s="14">
        <f t="shared" si="9"/>
        <v>0</v>
      </c>
      <c r="F137" s="14"/>
      <c r="G137" s="14"/>
      <c r="H137" s="15">
        <f>1.97%+0.75%</f>
        <v>0.0272</v>
      </c>
      <c r="I137" s="3">
        <v>0.034</v>
      </c>
    </row>
    <row r="138" ht="24" customHeight="1" spans="1:9">
      <c r="A138" s="19" t="s">
        <v>300</v>
      </c>
      <c r="B138" s="11" t="s">
        <v>297</v>
      </c>
      <c r="C138" s="12"/>
      <c r="D138" s="13"/>
      <c r="E138" s="14">
        <f t="shared" si="9"/>
        <v>0</v>
      </c>
      <c r="F138" s="14"/>
      <c r="G138" s="14"/>
      <c r="H138" s="15">
        <v>0.0053</v>
      </c>
      <c r="I138" s="3">
        <v>0.007</v>
      </c>
    </row>
    <row r="139" ht="24" customHeight="1" spans="1:9">
      <c r="A139" s="20"/>
      <c r="B139" s="11" t="s">
        <v>298</v>
      </c>
      <c r="C139" s="12"/>
      <c r="D139" s="13"/>
      <c r="E139" s="14">
        <f t="shared" si="9"/>
        <v>0</v>
      </c>
      <c r="F139" s="14"/>
      <c r="G139" s="14"/>
      <c r="H139" s="15">
        <v>0.0341</v>
      </c>
      <c r="I139" s="3">
        <f>2.8%+1.6%</f>
        <v>0.044</v>
      </c>
    </row>
    <row r="140" ht="24" customHeight="1" spans="1:9">
      <c r="A140" s="11" t="s">
        <v>90</v>
      </c>
      <c r="B140" s="11"/>
      <c r="C140" s="12"/>
      <c r="D140" s="13"/>
      <c r="E140" s="14">
        <f t="shared" si="9"/>
        <v>0</v>
      </c>
      <c r="F140" s="14"/>
      <c r="G140" s="14"/>
      <c r="H140" s="15">
        <v>0.011</v>
      </c>
      <c r="I140" s="3">
        <v>0.03</v>
      </c>
    </row>
  </sheetData>
  <mergeCells count="99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G130:H130"/>
    <mergeCell ref="C131:H131"/>
    <mergeCell ref="A133:B133"/>
    <mergeCell ref="A136:B136"/>
    <mergeCell ref="A137:B137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134:A135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9" customWidth="1"/>
    <col min="2" max="2" width="28.5" style="209" customWidth="1"/>
    <col min="3" max="4" width="9.12727272727273" style="209"/>
    <col min="5" max="5" width="13.8727272727273" style="209" customWidth="1"/>
    <col min="6" max="12" width="16.1272727272727" style="209" customWidth="1"/>
    <col min="13" max="13" width="10.6272727272727" style="209" customWidth="1"/>
    <col min="14" max="254" width="9.12727272727273" style="209"/>
    <col min="255" max="255" width="8" style="209" customWidth="1"/>
    <col min="256" max="256" width="28.5" style="209" customWidth="1"/>
    <col min="257" max="268" width="9.12727272727273" style="209"/>
    <col min="269" max="269" width="10.6272727272727" style="209" customWidth="1"/>
    <col min="270" max="510" width="9.12727272727273" style="209"/>
    <col min="511" max="511" width="8" style="209" customWidth="1"/>
    <col min="512" max="512" width="28.5" style="209" customWidth="1"/>
    <col min="513" max="524" width="9.12727272727273" style="209"/>
    <col min="525" max="525" width="10.6272727272727" style="209" customWidth="1"/>
    <col min="526" max="766" width="9.12727272727273" style="209"/>
    <col min="767" max="767" width="8" style="209" customWidth="1"/>
    <col min="768" max="768" width="28.5" style="209" customWidth="1"/>
    <col min="769" max="780" width="9.12727272727273" style="209"/>
    <col min="781" max="781" width="10.6272727272727" style="209" customWidth="1"/>
    <col min="782" max="1022" width="9.12727272727273" style="209"/>
    <col min="1023" max="1023" width="8" style="209" customWidth="1"/>
    <col min="1024" max="1024" width="28.5" style="209" customWidth="1"/>
    <col min="1025" max="1036" width="9.12727272727273" style="209"/>
    <col min="1037" max="1037" width="10.6272727272727" style="209" customWidth="1"/>
    <col min="1038" max="1278" width="9.12727272727273" style="209"/>
    <col min="1279" max="1279" width="8" style="209" customWidth="1"/>
    <col min="1280" max="1280" width="28.5" style="209" customWidth="1"/>
    <col min="1281" max="1292" width="9.12727272727273" style="209"/>
    <col min="1293" max="1293" width="10.6272727272727" style="209" customWidth="1"/>
    <col min="1294" max="1534" width="9.12727272727273" style="209"/>
    <col min="1535" max="1535" width="8" style="209" customWidth="1"/>
    <col min="1536" max="1536" width="28.5" style="209" customWidth="1"/>
    <col min="1537" max="1548" width="9.12727272727273" style="209"/>
    <col min="1549" max="1549" width="10.6272727272727" style="209" customWidth="1"/>
    <col min="1550" max="1790" width="9.12727272727273" style="209"/>
    <col min="1791" max="1791" width="8" style="209" customWidth="1"/>
    <col min="1792" max="1792" width="28.5" style="209" customWidth="1"/>
    <col min="1793" max="1804" width="9.12727272727273" style="209"/>
    <col min="1805" max="1805" width="10.6272727272727" style="209" customWidth="1"/>
    <col min="1806" max="2046" width="9.12727272727273" style="209"/>
    <col min="2047" max="2047" width="8" style="209" customWidth="1"/>
    <col min="2048" max="2048" width="28.5" style="209" customWidth="1"/>
    <col min="2049" max="2060" width="9.12727272727273" style="209"/>
    <col min="2061" max="2061" width="10.6272727272727" style="209" customWidth="1"/>
    <col min="2062" max="2302" width="9.12727272727273" style="209"/>
    <col min="2303" max="2303" width="8" style="209" customWidth="1"/>
    <col min="2304" max="2304" width="28.5" style="209" customWidth="1"/>
    <col min="2305" max="2316" width="9.12727272727273" style="209"/>
    <col min="2317" max="2317" width="10.6272727272727" style="209" customWidth="1"/>
    <col min="2318" max="2558" width="9.12727272727273" style="209"/>
    <col min="2559" max="2559" width="8" style="209" customWidth="1"/>
    <col min="2560" max="2560" width="28.5" style="209" customWidth="1"/>
    <col min="2561" max="2572" width="9.12727272727273" style="209"/>
    <col min="2573" max="2573" width="10.6272727272727" style="209" customWidth="1"/>
    <col min="2574" max="2814" width="9.12727272727273" style="209"/>
    <col min="2815" max="2815" width="8" style="209" customWidth="1"/>
    <col min="2816" max="2816" width="28.5" style="209" customWidth="1"/>
    <col min="2817" max="2828" width="9.12727272727273" style="209"/>
    <col min="2829" max="2829" width="10.6272727272727" style="209" customWidth="1"/>
    <col min="2830" max="3070" width="9.12727272727273" style="209"/>
    <col min="3071" max="3071" width="8" style="209" customWidth="1"/>
    <col min="3072" max="3072" width="28.5" style="209" customWidth="1"/>
    <col min="3073" max="3084" width="9.12727272727273" style="209"/>
    <col min="3085" max="3085" width="10.6272727272727" style="209" customWidth="1"/>
    <col min="3086" max="3326" width="9.12727272727273" style="209"/>
    <col min="3327" max="3327" width="8" style="209" customWidth="1"/>
    <col min="3328" max="3328" width="28.5" style="209" customWidth="1"/>
    <col min="3329" max="3340" width="9.12727272727273" style="209"/>
    <col min="3341" max="3341" width="10.6272727272727" style="209" customWidth="1"/>
    <col min="3342" max="3582" width="9.12727272727273" style="209"/>
    <col min="3583" max="3583" width="8" style="209" customWidth="1"/>
    <col min="3584" max="3584" width="28.5" style="209" customWidth="1"/>
    <col min="3585" max="3596" width="9.12727272727273" style="209"/>
    <col min="3597" max="3597" width="10.6272727272727" style="209" customWidth="1"/>
    <col min="3598" max="3838" width="9.12727272727273" style="209"/>
    <col min="3839" max="3839" width="8" style="209" customWidth="1"/>
    <col min="3840" max="3840" width="28.5" style="209" customWidth="1"/>
    <col min="3841" max="3852" width="9.12727272727273" style="209"/>
    <col min="3853" max="3853" width="10.6272727272727" style="209" customWidth="1"/>
    <col min="3854" max="4094" width="9.12727272727273" style="209"/>
    <col min="4095" max="4095" width="8" style="209" customWidth="1"/>
    <col min="4096" max="4096" width="28.5" style="209" customWidth="1"/>
    <col min="4097" max="4108" width="9.12727272727273" style="209"/>
    <col min="4109" max="4109" width="10.6272727272727" style="209" customWidth="1"/>
    <col min="4110" max="4350" width="9.12727272727273" style="209"/>
    <col min="4351" max="4351" width="8" style="209" customWidth="1"/>
    <col min="4352" max="4352" width="28.5" style="209" customWidth="1"/>
    <col min="4353" max="4364" width="9.12727272727273" style="209"/>
    <col min="4365" max="4365" width="10.6272727272727" style="209" customWidth="1"/>
    <col min="4366" max="4606" width="9.12727272727273" style="209"/>
    <col min="4607" max="4607" width="8" style="209" customWidth="1"/>
    <col min="4608" max="4608" width="28.5" style="209" customWidth="1"/>
    <col min="4609" max="4620" width="9.12727272727273" style="209"/>
    <col min="4621" max="4621" width="10.6272727272727" style="209" customWidth="1"/>
    <col min="4622" max="4862" width="9.12727272727273" style="209"/>
    <col min="4863" max="4863" width="8" style="209" customWidth="1"/>
    <col min="4864" max="4864" width="28.5" style="209" customWidth="1"/>
    <col min="4865" max="4876" width="9.12727272727273" style="209"/>
    <col min="4877" max="4877" width="10.6272727272727" style="209" customWidth="1"/>
    <col min="4878" max="5118" width="9.12727272727273" style="209"/>
    <col min="5119" max="5119" width="8" style="209" customWidth="1"/>
    <col min="5120" max="5120" width="28.5" style="209" customWidth="1"/>
    <col min="5121" max="5132" width="9.12727272727273" style="209"/>
    <col min="5133" max="5133" width="10.6272727272727" style="209" customWidth="1"/>
    <col min="5134" max="5374" width="9.12727272727273" style="209"/>
    <col min="5375" max="5375" width="8" style="209" customWidth="1"/>
    <col min="5376" max="5376" width="28.5" style="209" customWidth="1"/>
    <col min="5377" max="5388" width="9.12727272727273" style="209"/>
    <col min="5389" max="5389" width="10.6272727272727" style="209" customWidth="1"/>
    <col min="5390" max="5630" width="9.12727272727273" style="209"/>
    <col min="5631" max="5631" width="8" style="209" customWidth="1"/>
    <col min="5632" max="5632" width="28.5" style="209" customWidth="1"/>
    <col min="5633" max="5644" width="9.12727272727273" style="209"/>
    <col min="5645" max="5645" width="10.6272727272727" style="209" customWidth="1"/>
    <col min="5646" max="5886" width="9.12727272727273" style="209"/>
    <col min="5887" max="5887" width="8" style="209" customWidth="1"/>
    <col min="5888" max="5888" width="28.5" style="209" customWidth="1"/>
    <col min="5889" max="5900" width="9.12727272727273" style="209"/>
    <col min="5901" max="5901" width="10.6272727272727" style="209" customWidth="1"/>
    <col min="5902" max="6142" width="9.12727272727273" style="209"/>
    <col min="6143" max="6143" width="8" style="209" customWidth="1"/>
    <col min="6144" max="6144" width="28.5" style="209" customWidth="1"/>
    <col min="6145" max="6156" width="9.12727272727273" style="209"/>
    <col min="6157" max="6157" width="10.6272727272727" style="209" customWidth="1"/>
    <col min="6158" max="6398" width="9.12727272727273" style="209"/>
    <col min="6399" max="6399" width="8" style="209" customWidth="1"/>
    <col min="6400" max="6400" width="28.5" style="209" customWidth="1"/>
    <col min="6401" max="6412" width="9.12727272727273" style="209"/>
    <col min="6413" max="6413" width="10.6272727272727" style="209" customWidth="1"/>
    <col min="6414" max="6654" width="9.12727272727273" style="209"/>
    <col min="6655" max="6655" width="8" style="209" customWidth="1"/>
    <col min="6656" max="6656" width="28.5" style="209" customWidth="1"/>
    <col min="6657" max="6668" width="9.12727272727273" style="209"/>
    <col min="6669" max="6669" width="10.6272727272727" style="209" customWidth="1"/>
    <col min="6670" max="6910" width="9.12727272727273" style="209"/>
    <col min="6911" max="6911" width="8" style="209" customWidth="1"/>
    <col min="6912" max="6912" width="28.5" style="209" customWidth="1"/>
    <col min="6913" max="6924" width="9.12727272727273" style="209"/>
    <col min="6925" max="6925" width="10.6272727272727" style="209" customWidth="1"/>
    <col min="6926" max="7166" width="9.12727272727273" style="209"/>
    <col min="7167" max="7167" width="8" style="209" customWidth="1"/>
    <col min="7168" max="7168" width="28.5" style="209" customWidth="1"/>
    <col min="7169" max="7180" width="9.12727272727273" style="209"/>
    <col min="7181" max="7181" width="10.6272727272727" style="209" customWidth="1"/>
    <col min="7182" max="7422" width="9.12727272727273" style="209"/>
    <col min="7423" max="7423" width="8" style="209" customWidth="1"/>
    <col min="7424" max="7424" width="28.5" style="209" customWidth="1"/>
    <col min="7425" max="7436" width="9.12727272727273" style="209"/>
    <col min="7437" max="7437" width="10.6272727272727" style="209" customWidth="1"/>
    <col min="7438" max="7678" width="9.12727272727273" style="209"/>
    <col min="7679" max="7679" width="8" style="209" customWidth="1"/>
    <col min="7680" max="7680" width="28.5" style="209" customWidth="1"/>
    <col min="7681" max="7692" width="9.12727272727273" style="209"/>
    <col min="7693" max="7693" width="10.6272727272727" style="209" customWidth="1"/>
    <col min="7694" max="7934" width="9.12727272727273" style="209"/>
    <col min="7935" max="7935" width="8" style="209" customWidth="1"/>
    <col min="7936" max="7936" width="28.5" style="209" customWidth="1"/>
    <col min="7937" max="7948" width="9.12727272727273" style="209"/>
    <col min="7949" max="7949" width="10.6272727272727" style="209" customWidth="1"/>
    <col min="7950" max="8190" width="9.12727272727273" style="209"/>
    <col min="8191" max="8191" width="8" style="209" customWidth="1"/>
    <col min="8192" max="8192" width="28.5" style="209" customWidth="1"/>
    <col min="8193" max="8204" width="9.12727272727273" style="209"/>
    <col min="8205" max="8205" width="10.6272727272727" style="209" customWidth="1"/>
    <col min="8206" max="8446" width="9.12727272727273" style="209"/>
    <col min="8447" max="8447" width="8" style="209" customWidth="1"/>
    <col min="8448" max="8448" width="28.5" style="209" customWidth="1"/>
    <col min="8449" max="8460" width="9.12727272727273" style="209"/>
    <col min="8461" max="8461" width="10.6272727272727" style="209" customWidth="1"/>
    <col min="8462" max="8702" width="9.12727272727273" style="209"/>
    <col min="8703" max="8703" width="8" style="209" customWidth="1"/>
    <col min="8704" max="8704" width="28.5" style="209" customWidth="1"/>
    <col min="8705" max="8716" width="9.12727272727273" style="209"/>
    <col min="8717" max="8717" width="10.6272727272727" style="209" customWidth="1"/>
    <col min="8718" max="8958" width="9.12727272727273" style="209"/>
    <col min="8959" max="8959" width="8" style="209" customWidth="1"/>
    <col min="8960" max="8960" width="28.5" style="209" customWidth="1"/>
    <col min="8961" max="8972" width="9.12727272727273" style="209"/>
    <col min="8973" max="8973" width="10.6272727272727" style="209" customWidth="1"/>
    <col min="8974" max="9214" width="9.12727272727273" style="209"/>
    <col min="9215" max="9215" width="8" style="209" customWidth="1"/>
    <col min="9216" max="9216" width="28.5" style="209" customWidth="1"/>
    <col min="9217" max="9228" width="9.12727272727273" style="209"/>
    <col min="9229" max="9229" width="10.6272727272727" style="209" customWidth="1"/>
    <col min="9230" max="9470" width="9.12727272727273" style="209"/>
    <col min="9471" max="9471" width="8" style="209" customWidth="1"/>
    <col min="9472" max="9472" width="28.5" style="209" customWidth="1"/>
    <col min="9473" max="9484" width="9.12727272727273" style="209"/>
    <col min="9485" max="9485" width="10.6272727272727" style="209" customWidth="1"/>
    <col min="9486" max="9726" width="9.12727272727273" style="209"/>
    <col min="9727" max="9727" width="8" style="209" customWidth="1"/>
    <col min="9728" max="9728" width="28.5" style="209" customWidth="1"/>
    <col min="9729" max="9740" width="9.12727272727273" style="209"/>
    <col min="9741" max="9741" width="10.6272727272727" style="209" customWidth="1"/>
    <col min="9742" max="9982" width="9.12727272727273" style="209"/>
    <col min="9983" max="9983" width="8" style="209" customWidth="1"/>
    <col min="9984" max="9984" width="28.5" style="209" customWidth="1"/>
    <col min="9985" max="9996" width="9.12727272727273" style="209"/>
    <col min="9997" max="9997" width="10.6272727272727" style="209" customWidth="1"/>
    <col min="9998" max="10238" width="9.12727272727273" style="209"/>
    <col min="10239" max="10239" width="8" style="209" customWidth="1"/>
    <col min="10240" max="10240" width="28.5" style="209" customWidth="1"/>
    <col min="10241" max="10252" width="9.12727272727273" style="209"/>
    <col min="10253" max="10253" width="10.6272727272727" style="209" customWidth="1"/>
    <col min="10254" max="10494" width="9.12727272727273" style="209"/>
    <col min="10495" max="10495" width="8" style="209" customWidth="1"/>
    <col min="10496" max="10496" width="28.5" style="209" customWidth="1"/>
    <col min="10497" max="10508" width="9.12727272727273" style="209"/>
    <col min="10509" max="10509" width="10.6272727272727" style="209" customWidth="1"/>
    <col min="10510" max="10750" width="9.12727272727273" style="209"/>
    <col min="10751" max="10751" width="8" style="209" customWidth="1"/>
    <col min="10752" max="10752" width="28.5" style="209" customWidth="1"/>
    <col min="10753" max="10764" width="9.12727272727273" style="209"/>
    <col min="10765" max="10765" width="10.6272727272727" style="209" customWidth="1"/>
    <col min="10766" max="11006" width="9.12727272727273" style="209"/>
    <col min="11007" max="11007" width="8" style="209" customWidth="1"/>
    <col min="11008" max="11008" width="28.5" style="209" customWidth="1"/>
    <col min="11009" max="11020" width="9.12727272727273" style="209"/>
    <col min="11021" max="11021" width="10.6272727272727" style="209" customWidth="1"/>
    <col min="11022" max="11262" width="9.12727272727273" style="209"/>
    <col min="11263" max="11263" width="8" style="209" customWidth="1"/>
    <col min="11264" max="11264" width="28.5" style="209" customWidth="1"/>
    <col min="11265" max="11276" width="9.12727272727273" style="209"/>
    <col min="11277" max="11277" width="10.6272727272727" style="209" customWidth="1"/>
    <col min="11278" max="11518" width="9.12727272727273" style="209"/>
    <col min="11519" max="11519" width="8" style="209" customWidth="1"/>
    <col min="11520" max="11520" width="28.5" style="209" customWidth="1"/>
    <col min="11521" max="11532" width="9.12727272727273" style="209"/>
    <col min="11533" max="11533" width="10.6272727272727" style="209" customWidth="1"/>
    <col min="11534" max="11774" width="9.12727272727273" style="209"/>
    <col min="11775" max="11775" width="8" style="209" customWidth="1"/>
    <col min="11776" max="11776" width="28.5" style="209" customWidth="1"/>
    <col min="11777" max="11788" width="9.12727272727273" style="209"/>
    <col min="11789" max="11789" width="10.6272727272727" style="209" customWidth="1"/>
    <col min="11790" max="12030" width="9.12727272727273" style="209"/>
    <col min="12031" max="12031" width="8" style="209" customWidth="1"/>
    <col min="12032" max="12032" width="28.5" style="209" customWidth="1"/>
    <col min="12033" max="12044" width="9.12727272727273" style="209"/>
    <col min="12045" max="12045" width="10.6272727272727" style="209" customWidth="1"/>
    <col min="12046" max="12286" width="9.12727272727273" style="209"/>
    <col min="12287" max="12287" width="8" style="209" customWidth="1"/>
    <col min="12288" max="12288" width="28.5" style="209" customWidth="1"/>
    <col min="12289" max="12300" width="9.12727272727273" style="209"/>
    <col min="12301" max="12301" width="10.6272727272727" style="209" customWidth="1"/>
    <col min="12302" max="12542" width="9.12727272727273" style="209"/>
    <col min="12543" max="12543" width="8" style="209" customWidth="1"/>
    <col min="12544" max="12544" width="28.5" style="209" customWidth="1"/>
    <col min="12545" max="12556" width="9.12727272727273" style="209"/>
    <col min="12557" max="12557" width="10.6272727272727" style="209" customWidth="1"/>
    <col min="12558" max="12798" width="9.12727272727273" style="209"/>
    <col min="12799" max="12799" width="8" style="209" customWidth="1"/>
    <col min="12800" max="12800" width="28.5" style="209" customWidth="1"/>
    <col min="12801" max="12812" width="9.12727272727273" style="209"/>
    <col min="12813" max="12813" width="10.6272727272727" style="209" customWidth="1"/>
    <col min="12814" max="13054" width="9.12727272727273" style="209"/>
    <col min="13055" max="13055" width="8" style="209" customWidth="1"/>
    <col min="13056" max="13056" width="28.5" style="209" customWidth="1"/>
    <col min="13057" max="13068" width="9.12727272727273" style="209"/>
    <col min="13069" max="13069" width="10.6272727272727" style="209" customWidth="1"/>
    <col min="13070" max="13310" width="9.12727272727273" style="209"/>
    <col min="13311" max="13311" width="8" style="209" customWidth="1"/>
    <col min="13312" max="13312" width="28.5" style="209" customWidth="1"/>
    <col min="13313" max="13324" width="9.12727272727273" style="209"/>
    <col min="13325" max="13325" width="10.6272727272727" style="209" customWidth="1"/>
    <col min="13326" max="13566" width="9.12727272727273" style="209"/>
    <col min="13567" max="13567" width="8" style="209" customWidth="1"/>
    <col min="13568" max="13568" width="28.5" style="209" customWidth="1"/>
    <col min="13569" max="13580" width="9.12727272727273" style="209"/>
    <col min="13581" max="13581" width="10.6272727272727" style="209" customWidth="1"/>
    <col min="13582" max="13822" width="9.12727272727273" style="209"/>
    <col min="13823" max="13823" width="8" style="209" customWidth="1"/>
    <col min="13824" max="13824" width="28.5" style="209" customWidth="1"/>
    <col min="13825" max="13836" width="9.12727272727273" style="209"/>
    <col min="13837" max="13837" width="10.6272727272727" style="209" customWidth="1"/>
    <col min="13838" max="14078" width="9.12727272727273" style="209"/>
    <col min="14079" max="14079" width="8" style="209" customWidth="1"/>
    <col min="14080" max="14080" width="28.5" style="209" customWidth="1"/>
    <col min="14081" max="14092" width="9.12727272727273" style="209"/>
    <col min="14093" max="14093" width="10.6272727272727" style="209" customWidth="1"/>
    <col min="14094" max="14334" width="9.12727272727273" style="209"/>
    <col min="14335" max="14335" width="8" style="209" customWidth="1"/>
    <col min="14336" max="14336" width="28.5" style="209" customWidth="1"/>
    <col min="14337" max="14348" width="9.12727272727273" style="209"/>
    <col min="14349" max="14349" width="10.6272727272727" style="209" customWidth="1"/>
    <col min="14350" max="14590" width="9.12727272727273" style="209"/>
    <col min="14591" max="14591" width="8" style="209" customWidth="1"/>
    <col min="14592" max="14592" width="28.5" style="209" customWidth="1"/>
    <col min="14593" max="14604" width="9.12727272727273" style="209"/>
    <col min="14605" max="14605" width="10.6272727272727" style="209" customWidth="1"/>
    <col min="14606" max="14846" width="9.12727272727273" style="209"/>
    <col min="14847" max="14847" width="8" style="209" customWidth="1"/>
    <col min="14848" max="14848" width="28.5" style="209" customWidth="1"/>
    <col min="14849" max="14860" width="9.12727272727273" style="209"/>
    <col min="14861" max="14861" width="10.6272727272727" style="209" customWidth="1"/>
    <col min="14862" max="15102" width="9.12727272727273" style="209"/>
    <col min="15103" max="15103" width="8" style="209" customWidth="1"/>
    <col min="15104" max="15104" width="28.5" style="209" customWidth="1"/>
    <col min="15105" max="15116" width="9.12727272727273" style="209"/>
    <col min="15117" max="15117" width="10.6272727272727" style="209" customWidth="1"/>
    <col min="15118" max="15358" width="9.12727272727273" style="209"/>
    <col min="15359" max="15359" width="8" style="209" customWidth="1"/>
    <col min="15360" max="15360" width="28.5" style="209" customWidth="1"/>
    <col min="15361" max="15372" width="9.12727272727273" style="209"/>
    <col min="15373" max="15373" width="10.6272727272727" style="209" customWidth="1"/>
    <col min="15374" max="15614" width="9.12727272727273" style="209"/>
    <col min="15615" max="15615" width="8" style="209" customWidth="1"/>
    <col min="15616" max="15616" width="28.5" style="209" customWidth="1"/>
    <col min="15617" max="15628" width="9.12727272727273" style="209"/>
    <col min="15629" max="15629" width="10.6272727272727" style="209" customWidth="1"/>
    <col min="15630" max="15870" width="9.12727272727273" style="209"/>
    <col min="15871" max="15871" width="8" style="209" customWidth="1"/>
    <col min="15872" max="15872" width="28.5" style="209" customWidth="1"/>
    <col min="15873" max="15884" width="9.12727272727273" style="209"/>
    <col min="15885" max="15885" width="10.6272727272727" style="209" customWidth="1"/>
    <col min="15886" max="16126" width="9.12727272727273" style="209"/>
    <col min="16127" max="16127" width="8" style="209" customWidth="1"/>
    <col min="16128" max="16128" width="28.5" style="209" customWidth="1"/>
    <col min="16129" max="16140" width="9.12727272727273" style="209"/>
    <col min="16141" max="16141" width="10.6272727272727" style="209" customWidth="1"/>
    <col min="16142" max="16384" width="9.12727272727273" style="209"/>
  </cols>
  <sheetData>
    <row r="1" ht="17.5" spans="1:13">
      <c r="A1" s="210" t="s">
        <v>19</v>
      </c>
      <c r="B1" s="211"/>
      <c r="C1" s="212"/>
      <c r="D1" s="212"/>
      <c r="E1" s="211"/>
      <c r="F1" s="212"/>
      <c r="G1" s="212"/>
      <c r="H1" s="211"/>
      <c r="I1" s="212"/>
      <c r="J1" s="212"/>
      <c r="K1" s="212"/>
      <c r="L1" s="212"/>
      <c r="M1" s="212"/>
    </row>
    <row r="2" ht="14" spans="1:2">
      <c r="A2" s="209" t="s">
        <v>20</v>
      </c>
      <c r="B2" s="213"/>
    </row>
    <row r="3" ht="16.9" customHeight="1" spans="1:13">
      <c r="A3" s="214" t="s">
        <v>21</v>
      </c>
      <c r="B3" s="214" t="s">
        <v>22</v>
      </c>
      <c r="C3" s="215" t="s">
        <v>23</v>
      </c>
      <c r="D3" s="215"/>
      <c r="E3" s="215"/>
      <c r="F3" s="216"/>
      <c r="G3" s="217"/>
      <c r="H3" s="218"/>
      <c r="I3" s="218"/>
      <c r="J3" s="218" t="s">
        <v>24</v>
      </c>
      <c r="K3" s="218"/>
      <c r="L3" s="218"/>
      <c r="M3" s="239"/>
    </row>
    <row r="4" ht="16.15" customHeight="1" spans="1:13">
      <c r="A4" s="219"/>
      <c r="B4" s="219" t="s">
        <v>25</v>
      </c>
      <c r="C4" s="215">
        <v>2017</v>
      </c>
      <c r="D4" s="215">
        <f t="shared" ref="D4:L4" si="0">C4+1</f>
        <v>2018</v>
      </c>
      <c r="E4" s="215">
        <f t="shared" si="0"/>
        <v>2019</v>
      </c>
      <c r="F4" s="215">
        <f t="shared" si="0"/>
        <v>2020</v>
      </c>
      <c r="G4" s="215">
        <f t="shared" si="0"/>
        <v>2021</v>
      </c>
      <c r="H4" s="220">
        <f t="shared" si="0"/>
        <v>2022</v>
      </c>
      <c r="I4" s="220">
        <f t="shared" si="0"/>
        <v>2023</v>
      </c>
      <c r="J4" s="220">
        <f t="shared" si="0"/>
        <v>2024</v>
      </c>
      <c r="K4" s="220">
        <f t="shared" si="0"/>
        <v>2025</v>
      </c>
      <c r="L4" s="220">
        <f t="shared" si="0"/>
        <v>2026</v>
      </c>
      <c r="M4" s="240" t="s">
        <v>26</v>
      </c>
    </row>
    <row r="5" ht="15.6" customHeight="1" spans="1:13">
      <c r="A5" s="221">
        <v>1</v>
      </c>
      <c r="B5" s="222" t="s">
        <v>27</v>
      </c>
      <c r="C5" s="223">
        <f>SUM(C6:C9)</f>
        <v>0</v>
      </c>
      <c r="D5" s="223">
        <f t="shared" ref="D5:L5" si="1">SUM(D6:D9)</f>
        <v>0</v>
      </c>
      <c r="E5" s="223" t="e">
        <f t="shared" si="1"/>
        <v>#REF!</v>
      </c>
      <c r="F5" s="223" t="e">
        <f t="shared" si="1"/>
        <v>#REF!</v>
      </c>
      <c r="G5" s="223" t="e">
        <f t="shared" si="1"/>
        <v>#REF!</v>
      </c>
      <c r="H5" s="223" t="e">
        <f t="shared" si="1"/>
        <v>#REF!</v>
      </c>
      <c r="I5" s="223" t="e">
        <f t="shared" si="1"/>
        <v>#REF!</v>
      </c>
      <c r="J5" s="223" t="e">
        <f t="shared" si="1"/>
        <v>#REF!</v>
      </c>
      <c r="K5" s="223" t="e">
        <f t="shared" si="1"/>
        <v>#REF!</v>
      </c>
      <c r="L5" s="223" t="e">
        <f t="shared" si="1"/>
        <v>#REF!</v>
      </c>
      <c r="M5" s="227" t="e">
        <f t="shared" ref="M5:M17" si="2">SUM(C5:L5)</f>
        <v>#REF!</v>
      </c>
    </row>
    <row r="6" ht="15.6" customHeight="1" spans="1:13">
      <c r="A6" s="221">
        <v>1.1</v>
      </c>
      <c r="B6" s="224" t="s">
        <v>28</v>
      </c>
      <c r="C6" s="225"/>
      <c r="D6" s="225"/>
      <c r="E6" s="225" t="e">
        <f>#REF!</f>
        <v>#REF!</v>
      </c>
      <c r="F6" s="225" t="e">
        <f>#REF!</f>
        <v>#REF!</v>
      </c>
      <c r="G6" s="225" t="e">
        <f>#REF!</f>
        <v>#REF!</v>
      </c>
      <c r="H6" s="225" t="e">
        <f>#REF!</f>
        <v>#REF!</v>
      </c>
      <c r="I6" s="225" t="e">
        <f>#REF!</f>
        <v>#REF!</v>
      </c>
      <c r="J6" s="225" t="e">
        <f>#REF!</f>
        <v>#REF!</v>
      </c>
      <c r="K6" s="225" t="e">
        <f>#REF!</f>
        <v>#REF!</v>
      </c>
      <c r="L6" s="225" t="e">
        <f>#REF!</f>
        <v>#REF!</v>
      </c>
      <c r="M6" s="227" t="e">
        <f t="shared" si="2"/>
        <v>#REF!</v>
      </c>
    </row>
    <row r="7" ht="15.6" customHeight="1" spans="1:13">
      <c r="A7" s="221">
        <v>1.2</v>
      </c>
      <c r="B7" s="224" t="s">
        <v>29</v>
      </c>
      <c r="C7" s="225"/>
      <c r="D7" s="225"/>
      <c r="E7" s="225">
        <f>[1]折、摊!G18</f>
        <v>0</v>
      </c>
      <c r="F7" s="225">
        <f>[1]折、摊!H18</f>
        <v>0</v>
      </c>
      <c r="G7" s="225">
        <f>[1]折、摊!I18</f>
        <v>0</v>
      </c>
      <c r="H7" s="225">
        <f>[1]折、摊!J18</f>
        <v>0</v>
      </c>
      <c r="I7" s="225">
        <f>[1]折、摊!K18</f>
        <v>0</v>
      </c>
      <c r="J7" s="225">
        <f>[1]折、摊!L18</f>
        <v>0</v>
      </c>
      <c r="K7" s="225">
        <f>[1]折、摊!M18</f>
        <v>0</v>
      </c>
      <c r="L7" s="225">
        <f>[1]折、摊!N18</f>
        <v>0</v>
      </c>
      <c r="M7" s="227">
        <f t="shared" si="2"/>
        <v>0</v>
      </c>
    </row>
    <row r="8" ht="15.6" customHeight="1" spans="1:13">
      <c r="A8" s="221">
        <v>1.3</v>
      </c>
      <c r="B8" s="224" t="s">
        <v>30</v>
      </c>
      <c r="C8" s="225" t="s">
        <v>31</v>
      </c>
      <c r="D8" s="225" t="s">
        <v>31</v>
      </c>
      <c r="E8" s="225" t="s">
        <v>31</v>
      </c>
      <c r="F8" s="225" t="s">
        <v>31</v>
      </c>
      <c r="G8" s="225" t="s">
        <v>31</v>
      </c>
      <c r="H8" s="225" t="s">
        <v>31</v>
      </c>
      <c r="I8" s="225" t="s">
        <v>31</v>
      </c>
      <c r="J8" s="225" t="s">
        <v>31</v>
      </c>
      <c r="K8" s="225" t="s">
        <v>31</v>
      </c>
      <c r="L8" s="225"/>
      <c r="M8" s="227">
        <f t="shared" si="2"/>
        <v>0</v>
      </c>
    </row>
    <row r="9" s="208" customFormat="1" ht="15.6" customHeight="1" spans="1:13">
      <c r="A9" s="226">
        <v>1.4</v>
      </c>
      <c r="B9" s="227" t="s">
        <v>32</v>
      </c>
      <c r="C9" s="225" t="s">
        <v>31</v>
      </c>
      <c r="D9" s="225" t="s">
        <v>31</v>
      </c>
      <c r="E9" s="225" t="s">
        <v>31</v>
      </c>
      <c r="F9" s="225" t="s">
        <v>31</v>
      </c>
      <c r="G9" s="225" t="s">
        <v>31</v>
      </c>
      <c r="H9" s="225" t="s">
        <v>31</v>
      </c>
      <c r="I9" s="225" t="s">
        <v>31</v>
      </c>
      <c r="J9" s="225" t="s">
        <v>31</v>
      </c>
      <c r="K9" s="225" t="s">
        <v>31</v>
      </c>
      <c r="L9" s="225" t="s">
        <v>31</v>
      </c>
      <c r="M9" s="227">
        <f t="shared" si="2"/>
        <v>0</v>
      </c>
    </row>
    <row r="10" ht="15.6" customHeight="1" spans="1:13">
      <c r="A10" s="226">
        <v>2</v>
      </c>
      <c r="B10" s="222" t="s">
        <v>33</v>
      </c>
      <c r="C10" s="223">
        <f t="shared" ref="C10:L10" si="3">SUM(C11:C16)</f>
        <v>0</v>
      </c>
      <c r="D10" s="223">
        <f t="shared" si="3"/>
        <v>0</v>
      </c>
      <c r="E10" s="223">
        <f t="shared" si="3"/>
        <v>0</v>
      </c>
      <c r="F10" s="223">
        <f t="shared" si="3"/>
        <v>0</v>
      </c>
      <c r="G10" s="223">
        <f t="shared" si="3"/>
        <v>0</v>
      </c>
      <c r="H10" s="223">
        <f t="shared" si="3"/>
        <v>0</v>
      </c>
      <c r="I10" s="223">
        <f t="shared" si="3"/>
        <v>0</v>
      </c>
      <c r="J10" s="223">
        <f t="shared" si="3"/>
        <v>0</v>
      </c>
      <c r="K10" s="223">
        <f t="shared" si="3"/>
        <v>0</v>
      </c>
      <c r="L10" s="223">
        <f t="shared" si="3"/>
        <v>0</v>
      </c>
      <c r="M10" s="227">
        <f t="shared" si="2"/>
        <v>0</v>
      </c>
    </row>
    <row r="11" ht="15" customHeight="1" spans="1:13">
      <c r="A11" s="221">
        <v>2.1</v>
      </c>
      <c r="B11" s="221" t="s">
        <v>34</v>
      </c>
      <c r="C11" s="225">
        <f>([1]计划!C6-[1]计划!C7)</f>
        <v>0</v>
      </c>
      <c r="D11" s="225">
        <f>([1]计划!D6-[1]计划!D7)</f>
        <v>0</v>
      </c>
      <c r="E11" s="225">
        <f>([1]计划!E6-[1]计划!E7)</f>
        <v>0</v>
      </c>
      <c r="F11" s="225">
        <f>([1]计划!F6-[1]计划!F7)</f>
        <v>0</v>
      </c>
      <c r="G11" s="225">
        <f>([1]计划!G6-[1]计划!G7)</f>
        <v>0</v>
      </c>
      <c r="H11" s="225">
        <f>([1]计划!H6-[1]计划!H7)</f>
        <v>0</v>
      </c>
      <c r="I11" s="225">
        <f>([1]计划!I6-[1]计划!I7)</f>
        <v>0</v>
      </c>
      <c r="J11" s="225">
        <f>([1]计划!J6-[1]计划!J7)</f>
        <v>0</v>
      </c>
      <c r="K11" s="225">
        <f>([1]计划!K6-[1]计划!K7)</f>
        <v>0</v>
      </c>
      <c r="L11" s="225">
        <f>([1]计划!L6-[1]计划!L7)</f>
        <v>0</v>
      </c>
      <c r="M11" s="227">
        <f t="shared" si="2"/>
        <v>0</v>
      </c>
    </row>
    <row r="12" s="208" customFormat="1" ht="15" customHeight="1" spans="1:13">
      <c r="A12" s="221">
        <v>2.2</v>
      </c>
      <c r="B12" s="227" t="s">
        <v>35</v>
      </c>
      <c r="C12" s="225">
        <f>[1]计划!C8</f>
        <v>0</v>
      </c>
      <c r="D12" s="225">
        <f>[1]计划!D8</f>
        <v>0</v>
      </c>
      <c r="E12" s="225">
        <f>[1]计划!E8</f>
        <v>0</v>
      </c>
      <c r="F12" s="225">
        <f>[1]计划!F8</f>
        <v>0</v>
      </c>
      <c r="G12" s="225">
        <f>[1]计划!G8</f>
        <v>0</v>
      </c>
      <c r="H12" s="225">
        <f>[1]计划!H8</f>
        <v>0</v>
      </c>
      <c r="I12" s="225">
        <f>[1]计划!I8</f>
        <v>0</v>
      </c>
      <c r="J12" s="225">
        <f>[1]计划!J8</f>
        <v>0</v>
      </c>
      <c r="K12" s="225">
        <f>[1]计划!K8</f>
        <v>0</v>
      </c>
      <c r="L12" s="225">
        <f>[1]计划!L8</f>
        <v>0</v>
      </c>
      <c r="M12" s="227">
        <f t="shared" si="2"/>
        <v>0</v>
      </c>
    </row>
    <row r="13" ht="15" customHeight="1" spans="1:13">
      <c r="A13" s="221">
        <v>2.3</v>
      </c>
      <c r="B13" s="224" t="s">
        <v>36</v>
      </c>
      <c r="C13" s="225">
        <f>[1]总成本!C22</f>
        <v>0</v>
      </c>
      <c r="D13" s="225">
        <f>[1]总成本!D22</f>
        <v>0</v>
      </c>
      <c r="E13" s="225">
        <f>[1]总成本!E22</f>
        <v>0</v>
      </c>
      <c r="F13" s="225">
        <f>[1]总成本!F22</f>
        <v>0</v>
      </c>
      <c r="G13" s="225">
        <f>[1]总成本!G22</f>
        <v>0</v>
      </c>
      <c r="H13" s="225">
        <f>[1]总成本!H22</f>
        <v>0</v>
      </c>
      <c r="I13" s="225">
        <f>[1]总成本!I22</f>
        <v>0</v>
      </c>
      <c r="J13" s="225">
        <f>[1]总成本!J22</f>
        <v>0</v>
      </c>
      <c r="K13" s="225">
        <f>[1]总成本!K22</f>
        <v>0</v>
      </c>
      <c r="L13" s="225">
        <f>[1]总成本!L22</f>
        <v>0</v>
      </c>
      <c r="M13" s="227">
        <f t="shared" si="2"/>
        <v>0</v>
      </c>
    </row>
    <row r="14" ht="15" customHeight="1" spans="1:13">
      <c r="A14" s="221">
        <v>2.4</v>
      </c>
      <c r="B14" s="224" t="s">
        <v>37</v>
      </c>
      <c r="C14" s="225">
        <f>[1]价格!D15</f>
        <v>0</v>
      </c>
      <c r="D14" s="225">
        <f>[1]价格!E15</f>
        <v>0</v>
      </c>
      <c r="E14" s="225">
        <f>[1]价格!F15</f>
        <v>0</v>
      </c>
      <c r="F14" s="225">
        <f>[1]价格!G15</f>
        <v>0</v>
      </c>
      <c r="G14" s="225">
        <f>[1]价格!H15</f>
        <v>0</v>
      </c>
      <c r="H14" s="225">
        <f>[1]价格!I15</f>
        <v>0</v>
      </c>
      <c r="I14" s="225">
        <f>[1]价格!J15</f>
        <v>0</v>
      </c>
      <c r="J14" s="225">
        <f>[1]价格!K15</f>
        <v>0</v>
      </c>
      <c r="K14" s="225">
        <f>[1]价格!L15</f>
        <v>0</v>
      </c>
      <c r="L14" s="225">
        <f>[1]价格!M15</f>
        <v>0</v>
      </c>
      <c r="M14" s="227">
        <f t="shared" si="2"/>
        <v>0</v>
      </c>
    </row>
    <row r="15" ht="15" customHeight="1" spans="1:13">
      <c r="A15" s="221">
        <v>2.5</v>
      </c>
      <c r="B15" s="224" t="s">
        <v>38</v>
      </c>
      <c r="C15" s="225">
        <f>[1]利润!C13</f>
        <v>0</v>
      </c>
      <c r="D15" s="225">
        <f>[1]利润!D13</f>
        <v>0</v>
      </c>
      <c r="E15" s="225">
        <f>[1]利润!E13</f>
        <v>0</v>
      </c>
      <c r="F15" s="225">
        <f>[1]利润!F13</f>
        <v>0</v>
      </c>
      <c r="G15" s="225">
        <f>[1]利润!G13</f>
        <v>0</v>
      </c>
      <c r="H15" s="225">
        <f>[1]利润!H13</f>
        <v>0</v>
      </c>
      <c r="I15" s="225">
        <f>[1]利润!I13</f>
        <v>0</v>
      </c>
      <c r="J15" s="225">
        <f>[1]利润!J13</f>
        <v>0</v>
      </c>
      <c r="K15" s="225">
        <f>[1]利润!K13</f>
        <v>0</v>
      </c>
      <c r="L15" s="225">
        <f>[1]利润!L13</f>
        <v>0</v>
      </c>
      <c r="M15" s="227">
        <f t="shared" si="2"/>
        <v>0</v>
      </c>
    </row>
    <row r="16" ht="15" customHeight="1" spans="1:13">
      <c r="A16" s="221">
        <v>2.6</v>
      </c>
      <c r="B16" s="224" t="s">
        <v>39</v>
      </c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7">
        <f t="shared" si="2"/>
        <v>0</v>
      </c>
    </row>
    <row r="17" ht="14" spans="1:13">
      <c r="A17" s="221">
        <v>3</v>
      </c>
      <c r="B17" s="222" t="s">
        <v>40</v>
      </c>
      <c r="C17" s="223">
        <f t="shared" ref="C17:L17" si="4">C5-C10</f>
        <v>0</v>
      </c>
      <c r="D17" s="223">
        <f t="shared" si="4"/>
        <v>0</v>
      </c>
      <c r="E17" s="223" t="e">
        <f t="shared" si="4"/>
        <v>#REF!</v>
      </c>
      <c r="F17" s="223" t="e">
        <f t="shared" si="4"/>
        <v>#REF!</v>
      </c>
      <c r="G17" s="223" t="e">
        <f t="shared" si="4"/>
        <v>#REF!</v>
      </c>
      <c r="H17" s="223" t="e">
        <f t="shared" si="4"/>
        <v>#REF!</v>
      </c>
      <c r="I17" s="223" t="e">
        <f t="shared" si="4"/>
        <v>#REF!</v>
      </c>
      <c r="J17" s="223" t="e">
        <f t="shared" si="4"/>
        <v>#REF!</v>
      </c>
      <c r="K17" s="223" t="e">
        <f t="shared" si="4"/>
        <v>#REF!</v>
      </c>
      <c r="L17" s="223" t="e">
        <f t="shared" si="4"/>
        <v>#REF!</v>
      </c>
      <c r="M17" s="227" t="e">
        <f t="shared" si="2"/>
        <v>#REF!</v>
      </c>
    </row>
    <row r="18" ht="14" spans="1:13">
      <c r="A18" s="228">
        <v>4</v>
      </c>
      <c r="B18" s="224" t="s">
        <v>41</v>
      </c>
      <c r="C18" s="225">
        <f>C17</f>
        <v>0</v>
      </c>
      <c r="D18" s="225">
        <f t="shared" ref="D18:L18" si="5">C18+D17</f>
        <v>0</v>
      </c>
      <c r="E18" s="225" t="e">
        <f t="shared" si="5"/>
        <v>#REF!</v>
      </c>
      <c r="F18" s="225" t="e">
        <f t="shared" si="5"/>
        <v>#REF!</v>
      </c>
      <c r="G18" s="225" t="e">
        <f t="shared" si="5"/>
        <v>#REF!</v>
      </c>
      <c r="H18" s="225" t="e">
        <f t="shared" si="5"/>
        <v>#REF!</v>
      </c>
      <c r="I18" s="225" t="e">
        <f t="shared" si="5"/>
        <v>#REF!</v>
      </c>
      <c r="J18" s="225" t="e">
        <f t="shared" si="5"/>
        <v>#REF!</v>
      </c>
      <c r="K18" s="225" t="e">
        <f t="shared" si="5"/>
        <v>#REF!</v>
      </c>
      <c r="L18" s="225" t="e">
        <f t="shared" si="5"/>
        <v>#REF!</v>
      </c>
      <c r="M18" s="224" t="s">
        <v>31</v>
      </c>
    </row>
    <row r="19" s="208" customFormat="1" ht="13" spans="1:13">
      <c r="A19" s="228">
        <v>5</v>
      </c>
      <c r="B19" s="224" t="s">
        <v>42</v>
      </c>
      <c r="C19" s="225">
        <f t="shared" ref="C19:L19" si="6">C17+C15</f>
        <v>0</v>
      </c>
      <c r="D19" s="225">
        <f t="shared" si="6"/>
        <v>0</v>
      </c>
      <c r="E19" s="225" t="e">
        <f t="shared" si="6"/>
        <v>#REF!</v>
      </c>
      <c r="F19" s="225" t="e">
        <f t="shared" si="6"/>
        <v>#REF!</v>
      </c>
      <c r="G19" s="225" t="e">
        <f t="shared" si="6"/>
        <v>#REF!</v>
      </c>
      <c r="H19" s="225" t="e">
        <f t="shared" si="6"/>
        <v>#REF!</v>
      </c>
      <c r="I19" s="225" t="e">
        <f t="shared" si="6"/>
        <v>#REF!</v>
      </c>
      <c r="J19" s="225" t="e">
        <f t="shared" si="6"/>
        <v>#REF!</v>
      </c>
      <c r="K19" s="225" t="e">
        <f t="shared" si="6"/>
        <v>#REF!</v>
      </c>
      <c r="L19" s="225" t="e">
        <f t="shared" si="6"/>
        <v>#REF!</v>
      </c>
      <c r="M19" s="227" t="e">
        <f>SUM(C19:L19)</f>
        <v>#REF!</v>
      </c>
    </row>
    <row r="20" s="208" customFormat="1" ht="13" spans="1:13">
      <c r="A20" s="221">
        <v>6</v>
      </c>
      <c r="B20" s="224" t="s">
        <v>43</v>
      </c>
      <c r="C20" s="225">
        <f>C19</f>
        <v>0</v>
      </c>
      <c r="D20" s="225">
        <f t="shared" ref="D20:L20" si="7">C20+D19</f>
        <v>0</v>
      </c>
      <c r="E20" s="225" t="e">
        <f t="shared" si="7"/>
        <v>#REF!</v>
      </c>
      <c r="F20" s="225" t="e">
        <f t="shared" si="7"/>
        <v>#REF!</v>
      </c>
      <c r="G20" s="225" t="e">
        <f t="shared" si="7"/>
        <v>#REF!</v>
      </c>
      <c r="H20" s="225" t="e">
        <f t="shared" si="7"/>
        <v>#REF!</v>
      </c>
      <c r="I20" s="225" t="e">
        <f t="shared" si="7"/>
        <v>#REF!</v>
      </c>
      <c r="J20" s="225" t="e">
        <f t="shared" si="7"/>
        <v>#REF!</v>
      </c>
      <c r="K20" s="225" t="e">
        <f t="shared" si="7"/>
        <v>#REF!</v>
      </c>
      <c r="L20" s="225" t="e">
        <f t="shared" si="7"/>
        <v>#REF!</v>
      </c>
      <c r="M20" s="224" t="s">
        <v>31</v>
      </c>
    </row>
    <row r="21" ht="14" spans="1:13">
      <c r="A21" s="229"/>
      <c r="B21" s="230" t="s">
        <v>44</v>
      </c>
      <c r="C21" s="230"/>
      <c r="D21" s="230"/>
      <c r="E21" s="230" t="s">
        <v>45</v>
      </c>
      <c r="F21" s="230"/>
      <c r="G21" s="230"/>
      <c r="H21" s="230"/>
      <c r="I21" s="230" t="s">
        <v>46</v>
      </c>
      <c r="J21" s="230"/>
      <c r="K21" s="230"/>
      <c r="L21" s="230"/>
      <c r="M21" s="241"/>
    </row>
    <row r="22" ht="14" spans="1:13">
      <c r="A22" s="231"/>
      <c r="B22" s="232" t="s">
        <v>47</v>
      </c>
      <c r="C22" s="232"/>
      <c r="D22" s="233" t="s">
        <v>48</v>
      </c>
      <c r="E22" s="234" t="e">
        <f>IRR(C17:L17,0.15)</f>
        <v>#VALUE!</v>
      </c>
      <c r="F22" s="232"/>
      <c r="G22" s="232"/>
      <c r="H22" s="232"/>
      <c r="I22" s="234" t="e">
        <f>IRR(C19:L19,0.15)</f>
        <v>#VALUE!</v>
      </c>
      <c r="J22" s="232"/>
      <c r="K22" s="232"/>
      <c r="L22" s="232"/>
      <c r="M22" s="242"/>
    </row>
    <row r="23" ht="14" spans="1:18">
      <c r="A23" s="231"/>
      <c r="B23" s="232" t="s">
        <v>49</v>
      </c>
      <c r="C23" s="232"/>
      <c r="D23" s="232"/>
      <c r="E23" s="235" t="e">
        <f>NPV(0.12,C17:L17)</f>
        <v>#REF!</v>
      </c>
      <c r="F23" s="232"/>
      <c r="G23" s="232"/>
      <c r="H23" s="232"/>
      <c r="I23" s="235" t="e">
        <f>NPV(0.12,C19:L19)</f>
        <v>#REF!</v>
      </c>
      <c r="J23" s="232"/>
      <c r="K23" s="232"/>
      <c r="L23" s="232"/>
      <c r="M23" s="242"/>
      <c r="R23" s="209">
        <f>30.9-29.82</f>
        <v>1.08</v>
      </c>
    </row>
    <row r="24" ht="14" spans="1:13">
      <c r="A24" s="236"/>
      <c r="B24" s="237" t="s">
        <v>50</v>
      </c>
      <c r="C24" s="237"/>
      <c r="D24" s="237"/>
      <c r="E24" s="238" t="e">
        <f>6-H18/I17</f>
        <v>#REF!</v>
      </c>
      <c r="F24" s="237"/>
      <c r="G24" s="237"/>
      <c r="H24" s="237"/>
      <c r="I24" s="238" t="e">
        <f>6-H20/I19</f>
        <v>#REF!</v>
      </c>
      <c r="J24" s="237"/>
      <c r="K24" s="237"/>
      <c r="L24" s="237"/>
      <c r="M24" s="24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G17" sqref="G17"/>
    </sheetView>
  </sheetViews>
  <sheetFormatPr defaultColWidth="9" defaultRowHeight="14.5"/>
  <cols>
    <col min="1" max="1" width="5.12727272727273" style="176" customWidth="1"/>
    <col min="2" max="2" width="32.6272727272727" style="176" customWidth="1"/>
    <col min="3" max="3" width="14.5" style="177" customWidth="1"/>
    <col min="4" max="5" width="14.7545454545455" style="177" customWidth="1"/>
    <col min="6" max="6" width="16.5" style="177" customWidth="1"/>
    <col min="7" max="7" width="15.5" style="176" customWidth="1"/>
    <col min="8" max="33" width="9" style="176"/>
    <col min="34" max="34" width="4.37272727272727" style="176" customWidth="1"/>
    <col min="35" max="35" width="13.8727272727273" style="176" customWidth="1"/>
    <col min="36" max="16384" width="9" style="176"/>
  </cols>
  <sheetData>
    <row r="1" ht="27" customHeight="1" spans="1:7">
      <c r="A1" s="178" t="s">
        <v>51</v>
      </c>
      <c r="B1" s="178"/>
      <c r="C1" s="178"/>
      <c r="D1" s="178"/>
      <c r="E1" s="178"/>
      <c r="F1" s="178"/>
      <c r="G1" s="88" t="s">
        <v>52</v>
      </c>
    </row>
    <row r="2" ht="15.75" customHeight="1" spans="1:36">
      <c r="A2" s="179" t="s">
        <v>21</v>
      </c>
      <c r="B2" s="180" t="s">
        <v>1</v>
      </c>
      <c r="C2" s="180" t="s">
        <v>53</v>
      </c>
      <c r="D2" s="180" t="s">
        <v>54</v>
      </c>
      <c r="E2" s="180" t="s">
        <v>55</v>
      </c>
      <c r="F2" s="181" t="s">
        <v>56</v>
      </c>
      <c r="AJ2" s="176" t="s">
        <v>57</v>
      </c>
    </row>
    <row r="3" s="143" customFormat="1" ht="15.75" customHeight="1" spans="1:36">
      <c r="A3" s="182"/>
      <c r="B3" s="154" t="s">
        <v>3</v>
      </c>
      <c r="C3" s="183">
        <f>'2025年'!F6</f>
        <v>28000</v>
      </c>
      <c r="D3" s="183">
        <f>'2026年'!F6</f>
        <v>60000</v>
      </c>
      <c r="E3" s="183">
        <f>'2027年'!F6</f>
        <v>60000</v>
      </c>
      <c r="F3" s="183">
        <f t="shared" ref="F3:F7" si="0">SUM(C3:E3)</f>
        <v>148000</v>
      </c>
      <c r="G3" s="157"/>
      <c r="AH3" s="153" t="s">
        <v>21</v>
      </c>
      <c r="AI3" s="154" t="s">
        <v>3</v>
      </c>
      <c r="AJ3" s="143" t="s">
        <v>58</v>
      </c>
    </row>
    <row r="4" s="143" customFormat="1" ht="15.75" customHeight="1" spans="1:36">
      <c r="A4" s="145">
        <v>1</v>
      </c>
      <c r="B4" s="154" t="s">
        <v>59</v>
      </c>
      <c r="C4" s="183">
        <f>'2025年'!F7</f>
        <v>6690265.48672566</v>
      </c>
      <c r="D4" s="183">
        <f>'2026年'!F7</f>
        <v>14336283.1858407</v>
      </c>
      <c r="E4" s="183">
        <f>'2027年'!F7</f>
        <v>14336283.1858407</v>
      </c>
      <c r="F4" s="183">
        <f t="shared" si="0"/>
        <v>35362831.8584071</v>
      </c>
      <c r="G4" s="157"/>
      <c r="AH4" s="153" t="s">
        <v>60</v>
      </c>
      <c r="AI4" s="154" t="s">
        <v>59</v>
      </c>
      <c r="AJ4" s="143" t="s">
        <v>58</v>
      </c>
    </row>
    <row r="5" s="143" customFormat="1" ht="15.75" customHeight="1" spans="1:36">
      <c r="A5" s="145">
        <v>2</v>
      </c>
      <c r="B5" s="145" t="s">
        <v>61</v>
      </c>
      <c r="C5" s="183">
        <f>'2025年'!F8</f>
        <v>0</v>
      </c>
      <c r="D5" s="183">
        <f>'2026年'!F8</f>
        <v>0</v>
      </c>
      <c r="E5" s="183">
        <f>'2027年'!F8</f>
        <v>0</v>
      </c>
      <c r="F5" s="183">
        <f t="shared" si="0"/>
        <v>0</v>
      </c>
      <c r="G5" s="157"/>
      <c r="AH5" s="153" t="s">
        <v>62</v>
      </c>
      <c r="AI5" s="145" t="s">
        <v>63</v>
      </c>
      <c r="AJ5" s="143" t="s">
        <v>58</v>
      </c>
    </row>
    <row r="6" s="143" customFormat="1" ht="15.75" customHeight="1" spans="1:36">
      <c r="A6" s="145">
        <v>3</v>
      </c>
      <c r="B6" s="154" t="s">
        <v>64</v>
      </c>
      <c r="C6" s="184">
        <f>C4-C5</f>
        <v>6690265.48672566</v>
      </c>
      <c r="D6" s="184">
        <f>'2026年'!F9</f>
        <v>14336283.1858407</v>
      </c>
      <c r="E6" s="183">
        <f>'2027年'!F9</f>
        <v>14336283.1858407</v>
      </c>
      <c r="F6" s="183">
        <f t="shared" si="0"/>
        <v>35362831.8584071</v>
      </c>
      <c r="G6" s="157"/>
      <c r="AH6" s="153" t="s">
        <v>65</v>
      </c>
      <c r="AI6" s="154" t="s">
        <v>64</v>
      </c>
      <c r="AJ6" s="143" t="s">
        <v>66</v>
      </c>
    </row>
    <row r="7" s="143" customFormat="1" ht="15.75" customHeight="1" spans="1:36">
      <c r="A7" s="145">
        <v>4</v>
      </c>
      <c r="B7" s="153" t="s">
        <v>67</v>
      </c>
      <c r="C7" s="183">
        <f>'2025年'!F10</f>
        <v>5186214.6</v>
      </c>
      <c r="D7" s="184">
        <f>'2026年'!F10</f>
        <v>11113317</v>
      </c>
      <c r="E7" s="183">
        <f>'2027年'!F10</f>
        <v>11113317</v>
      </c>
      <c r="F7" s="183">
        <f t="shared" si="0"/>
        <v>27412848.6</v>
      </c>
      <c r="G7" s="157"/>
      <c r="AH7" s="153" t="s">
        <v>68</v>
      </c>
      <c r="AI7" s="153" t="s">
        <v>69</v>
      </c>
      <c r="AJ7" s="143" t="s">
        <v>70</v>
      </c>
    </row>
    <row r="8" s="143" customFormat="1" ht="15.75" customHeight="1" spans="1:35">
      <c r="A8" s="145">
        <v>5</v>
      </c>
      <c r="B8" s="153" t="s">
        <v>71</v>
      </c>
      <c r="C8" s="183">
        <f>'2025年'!F11</f>
        <v>221447.787610619</v>
      </c>
      <c r="D8" s="184">
        <f>'2026年'!F11</f>
        <v>474530.973451327</v>
      </c>
      <c r="E8" s="183">
        <f>'2027年'!F11</f>
        <v>474530.973451327</v>
      </c>
      <c r="F8" s="183">
        <f t="shared" ref="F8:F19" si="1">SUM(C8:E8)</f>
        <v>1170509.73451327</v>
      </c>
      <c r="G8" s="157"/>
      <c r="AH8" s="153" t="s">
        <v>72</v>
      </c>
      <c r="AI8" s="153" t="s">
        <v>71</v>
      </c>
    </row>
    <row r="9" s="143" customFormat="1" ht="15.75" customHeight="1" spans="1:35">
      <c r="A9" s="145">
        <v>6</v>
      </c>
      <c r="B9" s="153" t="s">
        <v>73</v>
      </c>
      <c r="C9" s="183">
        <f>'2025年'!F12</f>
        <v>145178.761061947</v>
      </c>
      <c r="D9" s="184">
        <f>'2026年'!F12</f>
        <v>311097.345132743</v>
      </c>
      <c r="E9" s="183">
        <f>'2027年'!F12</f>
        <v>311097.345132743</v>
      </c>
      <c r="F9" s="183">
        <f t="shared" si="1"/>
        <v>767373.451327433</v>
      </c>
      <c r="G9" s="157"/>
      <c r="AH9" s="153" t="s">
        <v>74</v>
      </c>
      <c r="AI9" s="153" t="s">
        <v>73</v>
      </c>
    </row>
    <row r="10" s="143" customFormat="1" ht="15.75" customHeight="1" spans="1:36">
      <c r="A10" s="145">
        <v>7</v>
      </c>
      <c r="B10" s="153" t="s">
        <v>75</v>
      </c>
      <c r="C10" s="183">
        <f>'2025年'!F13</f>
        <v>402902.654867257</v>
      </c>
      <c r="D10" s="184">
        <f>'2026年'!F13</f>
        <v>863362.831858407</v>
      </c>
      <c r="E10" s="183">
        <f>'2027年'!F13</f>
        <v>863362.831858407</v>
      </c>
      <c r="F10" s="183">
        <f t="shared" si="1"/>
        <v>2129628.31858407</v>
      </c>
      <c r="G10" s="157"/>
      <c r="AH10" s="153" t="s">
        <v>76</v>
      </c>
      <c r="AI10" s="153" t="s">
        <v>75</v>
      </c>
      <c r="AJ10" s="143" t="s">
        <v>58</v>
      </c>
    </row>
    <row r="11" s="143" customFormat="1" ht="15.75" customHeight="1" spans="1:35">
      <c r="A11" s="145">
        <v>8</v>
      </c>
      <c r="B11" s="185" t="s">
        <v>77</v>
      </c>
      <c r="C11" s="186">
        <f>SUM(C8:C10)</f>
        <v>769529.203539822</v>
      </c>
      <c r="D11" s="186">
        <f>SUM(D8:D10)</f>
        <v>1648991.15044248</v>
      </c>
      <c r="E11" s="186">
        <f>SUM(E8:E10)</f>
        <v>1648991.15044248</v>
      </c>
      <c r="F11" s="186">
        <f>SUM(F8:F10)</f>
        <v>4067511.50442477</v>
      </c>
      <c r="G11" s="157"/>
      <c r="AH11" s="153" t="s">
        <v>78</v>
      </c>
      <c r="AI11" s="158" t="s">
        <v>77</v>
      </c>
    </row>
    <row r="12" s="143" customFormat="1" ht="15.75" customHeight="1" spans="1:35">
      <c r="A12" s="145">
        <v>9</v>
      </c>
      <c r="B12" s="187" t="s">
        <v>79</v>
      </c>
      <c r="C12" s="183">
        <f>'2025年'!F15</f>
        <v>734521.683185844</v>
      </c>
      <c r="D12" s="184">
        <f>'2026年'!F15</f>
        <v>1573975.03539824</v>
      </c>
      <c r="E12" s="183">
        <f>'2027年'!F15</f>
        <v>1573975.03539824</v>
      </c>
      <c r="F12" s="183">
        <f>SUM(C12:E12)</f>
        <v>3882471.75398233</v>
      </c>
      <c r="G12" s="157"/>
      <c r="I12" s="176"/>
      <c r="J12" s="176"/>
      <c r="K12" s="176"/>
      <c r="L12" s="176"/>
      <c r="M12" s="176"/>
      <c r="N12" s="176"/>
      <c r="AH12" s="153" t="s">
        <v>80</v>
      </c>
      <c r="AI12" s="158" t="s">
        <v>79</v>
      </c>
    </row>
    <row r="13" ht="15.75" customHeight="1" spans="1:35">
      <c r="A13" s="145">
        <v>10</v>
      </c>
      <c r="B13" s="188" t="s">
        <v>81</v>
      </c>
      <c r="C13" s="189">
        <f t="shared" ref="C13:F13" si="2">+C12/C6</f>
        <v>0.109789616666667</v>
      </c>
      <c r="D13" s="189">
        <f t="shared" si="2"/>
        <v>0.109789616666668</v>
      </c>
      <c r="E13" s="189">
        <f t="shared" si="2"/>
        <v>0.109789616666668</v>
      </c>
      <c r="F13" s="189">
        <f t="shared" si="2"/>
        <v>0.109789616666667</v>
      </c>
      <c r="G13" s="157"/>
      <c r="AH13" s="188" t="s">
        <v>82</v>
      </c>
      <c r="AI13" s="188" t="s">
        <v>81</v>
      </c>
    </row>
    <row r="14" ht="15.75" customHeight="1" spans="1:35">
      <c r="A14" s="145">
        <v>11</v>
      </c>
      <c r="B14" s="188" t="s">
        <v>83</v>
      </c>
      <c r="C14" s="183">
        <f>'2025年'!F17</f>
        <v>254497.345132743</v>
      </c>
      <c r="D14" s="184">
        <f>'2026年'!F17</f>
        <v>523637.168141593</v>
      </c>
      <c r="E14" s="183">
        <f>'2027年'!F17</f>
        <v>523637.168141593</v>
      </c>
      <c r="F14" s="183">
        <f>SUM(C14:E14)</f>
        <v>1301771.68141593</v>
      </c>
      <c r="G14" s="157"/>
      <c r="AH14" s="188" t="s">
        <v>84</v>
      </c>
      <c r="AI14" s="188" t="s">
        <v>83</v>
      </c>
    </row>
    <row r="15" ht="15.75" customHeight="1" spans="1:35">
      <c r="A15" s="145"/>
      <c r="B15" s="188"/>
      <c r="C15" s="183"/>
      <c r="D15" s="183"/>
      <c r="E15" s="183"/>
      <c r="F15" s="183">
        <f>SUM(C15:E15)</f>
        <v>0</v>
      </c>
      <c r="G15" s="157"/>
      <c r="AH15" s="188"/>
      <c r="AI15" s="188"/>
    </row>
    <row r="16" ht="15.75" customHeight="1" spans="1:36">
      <c r="A16" s="145">
        <v>12</v>
      </c>
      <c r="B16" s="188" t="s">
        <v>85</v>
      </c>
      <c r="C16" s="190">
        <f>'2025年'!F19</f>
        <v>66902.6548672566</v>
      </c>
      <c r="D16" s="190">
        <f>'2026年'!F19</f>
        <v>143362.831858407</v>
      </c>
      <c r="E16" s="183">
        <f>'2027年'!F19</f>
        <v>143362.831858407</v>
      </c>
      <c r="F16" s="183">
        <f t="shared" si="1"/>
        <v>353628.318584071</v>
      </c>
      <c r="G16" s="157"/>
      <c r="O16" s="157"/>
      <c r="AH16" s="188" t="s">
        <v>86</v>
      </c>
      <c r="AI16" s="188" t="s">
        <v>85</v>
      </c>
      <c r="AJ16" s="176" t="s">
        <v>58</v>
      </c>
    </row>
    <row r="17" ht="15.75" customHeight="1" spans="1:35">
      <c r="A17" s="145">
        <v>13</v>
      </c>
      <c r="B17" s="188" t="s">
        <v>87</v>
      </c>
      <c r="C17" s="190">
        <f>'2025年'!F20</f>
        <v>66902.6548672566</v>
      </c>
      <c r="D17" s="190">
        <f>'2026年'!F20</f>
        <v>143362.831858407</v>
      </c>
      <c r="E17" s="183">
        <f>'2027年'!F20</f>
        <v>143362.831858407</v>
      </c>
      <c r="F17" s="183">
        <f t="shared" si="1"/>
        <v>353628.318584071</v>
      </c>
      <c r="G17" s="157"/>
      <c r="AH17" s="188" t="s">
        <v>88</v>
      </c>
      <c r="AI17" s="188" t="s">
        <v>87</v>
      </c>
    </row>
    <row r="18" s="142" customFormat="1" ht="15.75" customHeight="1" spans="1:35">
      <c r="A18" s="145">
        <v>14</v>
      </c>
      <c r="B18" s="165" t="s">
        <v>89</v>
      </c>
      <c r="C18" s="191">
        <f>'2025年'!F21</f>
        <v>26666.6666666667</v>
      </c>
      <c r="D18" s="191">
        <f>'2026年'!F21</f>
        <v>26666.6666666667</v>
      </c>
      <c r="E18" s="191">
        <f>'2027年'!F21</f>
        <v>26666.6666666667</v>
      </c>
      <c r="F18" s="183">
        <f t="shared" si="1"/>
        <v>80000</v>
      </c>
      <c r="G18" s="157"/>
      <c r="AH18" s="165"/>
      <c r="AI18" s="165"/>
    </row>
    <row r="19" s="143" customFormat="1" ht="15.75" customHeight="1" spans="1:35">
      <c r="A19" s="145">
        <v>15</v>
      </c>
      <c r="B19" s="153" t="s">
        <v>90</v>
      </c>
      <c r="C19" s="190">
        <f>'2025年'!F22</f>
        <v>66902.6548672566</v>
      </c>
      <c r="D19" s="190">
        <f>'2026年'!F22</f>
        <v>143362.831858407</v>
      </c>
      <c r="E19" s="183">
        <f>'2027年'!F22</f>
        <v>143362.831858407</v>
      </c>
      <c r="F19" s="183">
        <f t="shared" si="1"/>
        <v>353628.318584071</v>
      </c>
      <c r="G19" s="157"/>
      <c r="AH19" s="153" t="s">
        <v>91</v>
      </c>
      <c r="AI19" s="153" t="s">
        <v>90</v>
      </c>
    </row>
    <row r="20" s="174" customFormat="1" ht="15.75" customHeight="1" spans="1:35">
      <c r="A20" s="145">
        <v>16</v>
      </c>
      <c r="B20" s="192" t="s">
        <v>92</v>
      </c>
      <c r="C20" s="186">
        <f t="shared" ref="C20:F20" si="3">+C19+C18+C17+C16+C14</f>
        <v>481871.97640118</v>
      </c>
      <c r="D20" s="186">
        <f t="shared" si="3"/>
        <v>980392.330383481</v>
      </c>
      <c r="E20" s="186">
        <f t="shared" si="3"/>
        <v>980392.330383481</v>
      </c>
      <c r="F20" s="186">
        <f t="shared" si="3"/>
        <v>2442656.63716814</v>
      </c>
      <c r="G20" s="157"/>
      <c r="AH20" s="205" t="s">
        <v>93</v>
      </c>
      <c r="AI20" s="206" t="s">
        <v>92</v>
      </c>
    </row>
    <row r="21" ht="15.75" customHeight="1" spans="1:35">
      <c r="A21" s="145">
        <v>17</v>
      </c>
      <c r="B21" s="188" t="s">
        <v>94</v>
      </c>
      <c r="C21" s="193">
        <f>'2025年'!F24</f>
        <v>252649.706784664</v>
      </c>
      <c r="D21" s="193">
        <f>'2026年'!F24</f>
        <v>593582.70501476</v>
      </c>
      <c r="E21" s="183">
        <f>'2027年'!F24</f>
        <v>593582.70501476</v>
      </c>
      <c r="F21" s="194">
        <f>SUM(C21:E21)</f>
        <v>1439815.11681418</v>
      </c>
      <c r="G21" s="195" t="s">
        <v>52</v>
      </c>
      <c r="AH21" s="188" t="s">
        <v>95</v>
      </c>
      <c r="AI21" s="188" t="s">
        <v>94</v>
      </c>
    </row>
    <row r="22" ht="15.75" customHeight="1" spans="1:35">
      <c r="A22" s="145">
        <v>18</v>
      </c>
      <c r="B22" s="188" t="s">
        <v>38</v>
      </c>
      <c r="C22" s="193">
        <f>'2025年'!F25</f>
        <v>63162.426696166</v>
      </c>
      <c r="D22" s="193">
        <f>'2026年'!F25</f>
        <v>148395.67625369</v>
      </c>
      <c r="E22" s="183">
        <f>'2027年'!F25</f>
        <v>148395.67625369</v>
      </c>
      <c r="F22" s="193"/>
      <c r="G22" s="157"/>
      <c r="AH22" s="188" t="s">
        <v>96</v>
      </c>
      <c r="AI22" s="188" t="s">
        <v>38</v>
      </c>
    </row>
    <row r="23" ht="15.75" customHeight="1" spans="1:35">
      <c r="A23" s="145">
        <v>19</v>
      </c>
      <c r="B23" s="188" t="s">
        <v>97</v>
      </c>
      <c r="C23" s="193">
        <f>'2025年'!F26</f>
        <v>189487.280088498</v>
      </c>
      <c r="D23" s="193">
        <f>'2026年'!F26</f>
        <v>593582.70501476</v>
      </c>
      <c r="E23" s="183">
        <f>'2027年'!F26</f>
        <v>593582.70501476</v>
      </c>
      <c r="F23" s="183">
        <f>SUM(C23:E23)</f>
        <v>1376652.69011802</v>
      </c>
      <c r="G23" s="195" t="s">
        <v>52</v>
      </c>
      <c r="AH23" s="188" t="s">
        <v>98</v>
      </c>
      <c r="AI23" s="188" t="s">
        <v>97</v>
      </c>
    </row>
    <row r="24" ht="15.75" customHeight="1" spans="1:35">
      <c r="A24" s="145">
        <v>20</v>
      </c>
      <c r="B24" s="188" t="s">
        <v>99</v>
      </c>
      <c r="C24" s="196">
        <f t="shared" ref="C24:F24" si="4">C23/C4</f>
        <v>0.0283228341931221</v>
      </c>
      <c r="D24" s="196">
        <f t="shared" si="4"/>
        <v>0.0414042257201654</v>
      </c>
      <c r="E24" s="196">
        <f t="shared" si="4"/>
        <v>0.0414042257201654</v>
      </c>
      <c r="F24" s="196">
        <f t="shared" si="4"/>
        <v>0.0389293678636977</v>
      </c>
      <c r="G24" s="195" t="s">
        <v>52</v>
      </c>
      <c r="AH24" s="207" t="s">
        <v>100</v>
      </c>
      <c r="AI24" s="207" t="s">
        <v>101</v>
      </c>
    </row>
    <row r="25" s="175" customFormat="1" ht="15.75" customHeight="1" spans="3:7">
      <c r="C25" s="197"/>
      <c r="D25" s="197"/>
      <c r="E25" s="197"/>
      <c r="F25" s="197"/>
      <c r="G25" s="198"/>
    </row>
    <row r="26" s="175" customFormat="1" ht="15.75" customHeight="1" spans="1:34">
      <c r="A26" s="175" t="s">
        <v>102</v>
      </c>
      <c r="C26" s="199"/>
      <c r="D26" s="199"/>
      <c r="E26" s="199"/>
      <c r="F26" s="199"/>
      <c r="G26" s="198"/>
      <c r="AH26" s="175" t="s">
        <v>102</v>
      </c>
    </row>
    <row r="27" ht="15.75" customHeight="1" spans="1:36">
      <c r="A27" s="188" t="s">
        <v>21</v>
      </c>
      <c r="B27" s="200" t="s">
        <v>1</v>
      </c>
      <c r="C27" s="180" t="s">
        <v>53</v>
      </c>
      <c r="D27" s="180" t="s">
        <v>54</v>
      </c>
      <c r="E27" s="180" t="s">
        <v>55</v>
      </c>
      <c r="F27" s="181" t="s">
        <v>56</v>
      </c>
      <c r="AJ27" s="176" t="s">
        <v>57</v>
      </c>
    </row>
    <row r="28" s="143" customFormat="1" ht="15.75" customHeight="1" spans="1:35">
      <c r="A28" s="153" t="s">
        <v>103</v>
      </c>
      <c r="B28" s="158" t="s">
        <v>104</v>
      </c>
      <c r="C28" s="164"/>
      <c r="D28" s="164"/>
      <c r="E28" s="164"/>
      <c r="F28" s="164"/>
      <c r="G28" s="157"/>
      <c r="AH28" s="153" t="s">
        <v>105</v>
      </c>
      <c r="AI28" s="158" t="s">
        <v>104</v>
      </c>
    </row>
    <row r="29" s="143" customFormat="1" ht="15.75" customHeight="1" spans="1:35">
      <c r="A29" s="153" t="s">
        <v>60</v>
      </c>
      <c r="B29" s="153" t="s">
        <v>106</v>
      </c>
      <c r="C29" s="156">
        <f t="shared" ref="C29:F29" si="5">+C6/C3</f>
        <v>238.938053097345</v>
      </c>
      <c r="D29" s="156">
        <f t="shared" si="5"/>
        <v>238.938053097345</v>
      </c>
      <c r="E29" s="156">
        <f t="shared" si="5"/>
        <v>238.938053097345</v>
      </c>
      <c r="F29" s="156">
        <f t="shared" si="5"/>
        <v>238.938053097345</v>
      </c>
      <c r="G29" s="157"/>
      <c r="AH29" s="153" t="s">
        <v>60</v>
      </c>
      <c r="AI29" s="153" t="s">
        <v>106</v>
      </c>
    </row>
    <row r="30" s="143" customFormat="1" ht="15.75" customHeight="1" spans="1:35">
      <c r="A30" s="153" t="s">
        <v>62</v>
      </c>
      <c r="B30" s="153" t="s">
        <v>107</v>
      </c>
      <c r="C30" s="156">
        <f t="shared" ref="C30:F30" si="6">+C7/C3</f>
        <v>185.22195</v>
      </c>
      <c r="D30" s="156">
        <f t="shared" si="6"/>
        <v>185.22195</v>
      </c>
      <c r="E30" s="156">
        <f t="shared" si="6"/>
        <v>185.22195</v>
      </c>
      <c r="F30" s="156">
        <f t="shared" si="6"/>
        <v>185.22195</v>
      </c>
      <c r="G30" s="157"/>
      <c r="AH30" s="153" t="s">
        <v>62</v>
      </c>
      <c r="AI30" s="153" t="s">
        <v>107</v>
      </c>
    </row>
    <row r="31" s="143" customFormat="1" ht="15.75" customHeight="1" spans="1:35">
      <c r="A31" s="153" t="s">
        <v>108</v>
      </c>
      <c r="B31" s="153" t="s">
        <v>109</v>
      </c>
      <c r="C31" s="164">
        <f t="shared" ref="C31:F31" si="7">C29-C30</f>
        <v>53.716103097345</v>
      </c>
      <c r="D31" s="164">
        <f t="shared" si="7"/>
        <v>53.716103097345</v>
      </c>
      <c r="E31" s="164">
        <f t="shared" si="7"/>
        <v>53.716103097345</v>
      </c>
      <c r="F31" s="164">
        <f t="shared" si="7"/>
        <v>53.716103097345</v>
      </c>
      <c r="G31" s="157"/>
      <c r="AH31" s="153" t="s">
        <v>108</v>
      </c>
      <c r="AI31" s="153" t="s">
        <v>109</v>
      </c>
    </row>
    <row r="32" s="143" customFormat="1" ht="15.75" customHeight="1" spans="1:35">
      <c r="A32" s="153">
        <v>3.1</v>
      </c>
      <c r="B32" s="153" t="s">
        <v>110</v>
      </c>
      <c r="C32" s="159">
        <f t="shared" ref="C32:F32" si="8">C31/C29</f>
        <v>0.224811838888889</v>
      </c>
      <c r="D32" s="159">
        <f t="shared" si="8"/>
        <v>0.224811838888889</v>
      </c>
      <c r="E32" s="159">
        <f t="shared" si="8"/>
        <v>0.224811838888889</v>
      </c>
      <c r="F32" s="159">
        <f t="shared" si="8"/>
        <v>0.224811838888888</v>
      </c>
      <c r="G32" s="157"/>
      <c r="AH32" s="153"/>
      <c r="AI32" s="153"/>
    </row>
    <row r="33" s="143" customFormat="1" ht="15.75" customHeight="1" spans="1:35">
      <c r="A33" s="153" t="s">
        <v>105</v>
      </c>
      <c r="B33" s="158" t="s">
        <v>10</v>
      </c>
      <c r="C33" s="164"/>
      <c r="D33" s="164"/>
      <c r="E33" s="164"/>
      <c r="F33" s="164"/>
      <c r="G33" s="157"/>
      <c r="AH33" s="153" t="s">
        <v>111</v>
      </c>
      <c r="AI33" s="158" t="s">
        <v>10</v>
      </c>
    </row>
    <row r="34" s="143" customFormat="1" ht="15.75" customHeight="1" spans="1:35">
      <c r="A34" s="153" t="s">
        <v>60</v>
      </c>
      <c r="B34" s="165" t="s">
        <v>112</v>
      </c>
      <c r="C34" s="156">
        <f t="shared" ref="C34:F34" si="9">+C8/C3</f>
        <v>7.90884955752212</v>
      </c>
      <c r="D34" s="156">
        <f t="shared" si="9"/>
        <v>7.90884955752212</v>
      </c>
      <c r="E34" s="156">
        <f t="shared" si="9"/>
        <v>7.90884955752212</v>
      </c>
      <c r="F34" s="156">
        <f t="shared" si="9"/>
        <v>7.90884955752212</v>
      </c>
      <c r="G34" s="157"/>
      <c r="AH34" s="153" t="s">
        <v>108</v>
      </c>
      <c r="AI34" s="153" t="s">
        <v>112</v>
      </c>
    </row>
    <row r="35" s="143" customFormat="1" ht="15.75" customHeight="1" spans="1:35">
      <c r="A35" s="153" t="s">
        <v>62</v>
      </c>
      <c r="B35" s="165" t="s">
        <v>113</v>
      </c>
      <c r="C35" s="156">
        <f t="shared" ref="C35:F35" si="10">+C9/C3</f>
        <v>5.18495575221239</v>
      </c>
      <c r="D35" s="156">
        <f t="shared" si="10"/>
        <v>5.18495575221239</v>
      </c>
      <c r="E35" s="156">
        <f t="shared" si="10"/>
        <v>5.18495575221239</v>
      </c>
      <c r="F35" s="156">
        <f t="shared" si="10"/>
        <v>5.18495575221239</v>
      </c>
      <c r="G35" s="157"/>
      <c r="AH35" s="153" t="s">
        <v>65</v>
      </c>
      <c r="AI35" s="153" t="s">
        <v>113</v>
      </c>
    </row>
    <row r="36" s="143" customFormat="1" ht="15.75" customHeight="1" spans="1:35">
      <c r="A36" s="153" t="s">
        <v>108</v>
      </c>
      <c r="B36" s="165" t="s">
        <v>114</v>
      </c>
      <c r="C36" s="156">
        <f t="shared" ref="C36:F36" si="11">+C10/C3</f>
        <v>14.3893805309734</v>
      </c>
      <c r="D36" s="156">
        <f t="shared" si="11"/>
        <v>14.3893805309734</v>
      </c>
      <c r="E36" s="156">
        <f t="shared" si="11"/>
        <v>14.3893805309734</v>
      </c>
      <c r="F36" s="156">
        <f t="shared" si="11"/>
        <v>14.3893805309734</v>
      </c>
      <c r="G36" s="157"/>
      <c r="AH36" s="153" t="s">
        <v>72</v>
      </c>
      <c r="AI36" s="153" t="s">
        <v>114</v>
      </c>
    </row>
    <row r="37" s="143" customFormat="1" ht="15.75" customHeight="1" spans="1:35">
      <c r="A37" s="153" t="s">
        <v>115</v>
      </c>
      <c r="B37" s="187" t="s">
        <v>116</v>
      </c>
      <c r="C37" s="156"/>
      <c r="D37" s="156"/>
      <c r="E37" s="156"/>
      <c r="F37" s="156"/>
      <c r="G37" s="157"/>
      <c r="AH37" s="153" t="s">
        <v>115</v>
      </c>
      <c r="AI37" s="158" t="s">
        <v>116</v>
      </c>
    </row>
    <row r="38" s="143" customFormat="1" spans="1:35">
      <c r="A38" s="153" t="s">
        <v>60</v>
      </c>
      <c r="B38" s="165" t="s">
        <v>117</v>
      </c>
      <c r="C38" s="156">
        <f t="shared" ref="C38:F38" si="12">+C12/C3</f>
        <v>26.2329172566373</v>
      </c>
      <c r="D38" s="156">
        <f t="shared" si="12"/>
        <v>26.2329172566374</v>
      </c>
      <c r="E38" s="156">
        <f t="shared" si="12"/>
        <v>26.2329172566374</v>
      </c>
      <c r="F38" s="156">
        <f t="shared" si="12"/>
        <v>26.2329172566373</v>
      </c>
      <c r="G38" s="157"/>
      <c r="AH38" s="153" t="s">
        <v>60</v>
      </c>
      <c r="AI38" s="153" t="s">
        <v>118</v>
      </c>
    </row>
    <row r="39" s="143" customFormat="1" ht="15.75" customHeight="1" spans="1:35">
      <c r="A39" s="153" t="s">
        <v>62</v>
      </c>
      <c r="B39" s="165" t="s">
        <v>119</v>
      </c>
      <c r="C39" s="183">
        <f>+C20/C38</f>
        <v>18368.9816762282</v>
      </c>
      <c r="D39" s="183">
        <f t="shared" ref="D39:F39" si="13">+D20/D38</f>
        <v>37372.6002637174</v>
      </c>
      <c r="E39" s="183">
        <f t="shared" si="13"/>
        <v>37372.6002637174</v>
      </c>
      <c r="F39" s="183">
        <f t="shared" si="13"/>
        <v>93114.1822036629</v>
      </c>
      <c r="G39" s="157"/>
      <c r="AH39" s="153" t="s">
        <v>62</v>
      </c>
      <c r="AI39" s="153" t="s">
        <v>119</v>
      </c>
    </row>
    <row r="40" s="143" customFormat="1" ht="15.75" customHeight="1" spans="1:35">
      <c r="A40" s="153" t="s">
        <v>120</v>
      </c>
      <c r="B40" s="158" t="s">
        <v>121</v>
      </c>
      <c r="C40" s="164"/>
      <c r="D40" s="164"/>
      <c r="E40" s="164"/>
      <c r="F40" s="164"/>
      <c r="G40" s="157"/>
      <c r="AH40" s="153" t="s">
        <v>120</v>
      </c>
      <c r="AI40" s="158" t="s">
        <v>121</v>
      </c>
    </row>
    <row r="41" s="143" customFormat="1" ht="15.75" customHeight="1" spans="1:35">
      <c r="A41" s="153" t="s">
        <v>60</v>
      </c>
      <c r="B41" s="153" t="s">
        <v>122</v>
      </c>
      <c r="C41" s="164">
        <f t="shared" ref="C41:F41" si="14">+C14/C3</f>
        <v>9.08919089759797</v>
      </c>
      <c r="D41" s="164">
        <f t="shared" si="14"/>
        <v>8.72728613569321</v>
      </c>
      <c r="E41" s="164">
        <f t="shared" si="14"/>
        <v>8.72728613569321</v>
      </c>
      <c r="F41" s="164">
        <f t="shared" si="14"/>
        <v>8.79575460416168</v>
      </c>
      <c r="G41" s="157"/>
      <c r="AH41" s="153" t="s">
        <v>60</v>
      </c>
      <c r="AI41" s="153" t="s">
        <v>122</v>
      </c>
    </row>
    <row r="42" s="143" customFormat="1" ht="15.75" customHeight="1" spans="1:35">
      <c r="A42" s="153" t="s">
        <v>62</v>
      </c>
      <c r="B42" s="153" t="s">
        <v>123</v>
      </c>
      <c r="C42" s="164">
        <f t="shared" ref="C42:F42" si="15">+C16/C3</f>
        <v>2.38938053097345</v>
      </c>
      <c r="D42" s="164">
        <f t="shared" si="15"/>
        <v>2.38938053097345</v>
      </c>
      <c r="E42" s="164">
        <f t="shared" si="15"/>
        <v>2.38938053097345</v>
      </c>
      <c r="F42" s="164">
        <f t="shared" si="15"/>
        <v>2.38938053097345</v>
      </c>
      <c r="G42" s="157"/>
      <c r="AH42" s="153" t="s">
        <v>62</v>
      </c>
      <c r="AI42" s="153" t="s">
        <v>123</v>
      </c>
    </row>
    <row r="43" s="143" customFormat="1" ht="15.75" customHeight="1" spans="1:35">
      <c r="A43" s="153" t="s">
        <v>108</v>
      </c>
      <c r="B43" s="153" t="s">
        <v>124</v>
      </c>
      <c r="C43" s="164">
        <f>+C17/C3</f>
        <v>2.38938053097345</v>
      </c>
      <c r="D43" s="164">
        <f t="shared" ref="D43:F43" si="16">+D17/D3</f>
        <v>2.38938053097345</v>
      </c>
      <c r="E43" s="164">
        <f t="shared" si="16"/>
        <v>2.38938053097345</v>
      </c>
      <c r="F43" s="164">
        <f t="shared" si="16"/>
        <v>2.38938053097345</v>
      </c>
      <c r="G43" s="157"/>
      <c r="AH43" s="153" t="s">
        <v>108</v>
      </c>
      <c r="AI43" s="153" t="s">
        <v>124</v>
      </c>
    </row>
    <row r="44" s="143" customFormat="1" ht="15.75" customHeight="1" spans="1:35">
      <c r="A44" s="153" t="s">
        <v>65</v>
      </c>
      <c r="B44" s="153" t="s">
        <v>125</v>
      </c>
      <c r="C44" s="164">
        <f t="shared" ref="C44:F44" si="17">C18/C3</f>
        <v>0.952380952380952</v>
      </c>
      <c r="D44" s="164">
        <f t="shared" si="17"/>
        <v>0.444444444444444</v>
      </c>
      <c r="E44" s="164">
        <f t="shared" si="17"/>
        <v>0.444444444444444</v>
      </c>
      <c r="F44" s="164">
        <f t="shared" si="17"/>
        <v>0.540540540540541</v>
      </c>
      <c r="G44" s="157"/>
      <c r="AH44" s="153" t="s">
        <v>65</v>
      </c>
      <c r="AI44" s="153" t="s">
        <v>126</v>
      </c>
    </row>
    <row r="45" s="143" customFormat="1" ht="15.75" customHeight="1" spans="1:35">
      <c r="A45" s="153" t="s">
        <v>68</v>
      </c>
      <c r="B45" s="153" t="s">
        <v>127</v>
      </c>
      <c r="C45" s="164">
        <f>C19/C3</f>
        <v>2.38938053097345</v>
      </c>
      <c r="D45" s="164">
        <f>D19/D3</f>
        <v>2.38938053097345</v>
      </c>
      <c r="E45" s="164">
        <f t="shared" ref="E45:F45" si="18">E19/E3</f>
        <v>2.38938053097345</v>
      </c>
      <c r="F45" s="164">
        <f t="shared" si="18"/>
        <v>2.38938053097345</v>
      </c>
      <c r="G45" s="157"/>
      <c r="AH45" s="153" t="s">
        <v>68</v>
      </c>
      <c r="AI45" s="153" t="s">
        <v>127</v>
      </c>
    </row>
    <row r="46" s="143" customFormat="1" ht="15.75" customHeight="1" spans="1:35">
      <c r="A46" s="153" t="s">
        <v>128</v>
      </c>
      <c r="B46" s="158" t="s">
        <v>129</v>
      </c>
      <c r="C46" s="164"/>
      <c r="D46" s="164"/>
      <c r="E46" s="164"/>
      <c r="F46" s="164"/>
      <c r="G46" s="157"/>
      <c r="AH46" s="153" t="s">
        <v>128</v>
      </c>
      <c r="AI46" s="158" t="s">
        <v>129</v>
      </c>
    </row>
    <row r="47" s="143" customFormat="1" ht="15.75" customHeight="1" spans="1:35">
      <c r="A47" s="153" t="s">
        <v>60</v>
      </c>
      <c r="B47" s="153" t="s">
        <v>130</v>
      </c>
      <c r="C47" s="168">
        <f t="shared" ref="C47:F47" si="19">+(C10+C16)/C6</f>
        <v>0.0702222222222222</v>
      </c>
      <c r="D47" s="168">
        <f t="shared" si="19"/>
        <v>0.0702222222222223</v>
      </c>
      <c r="E47" s="168">
        <f t="shared" si="19"/>
        <v>0.0702222222222223</v>
      </c>
      <c r="F47" s="168">
        <f t="shared" si="19"/>
        <v>0.0702222222222222</v>
      </c>
      <c r="G47" s="157"/>
      <c r="AH47" s="153" t="s">
        <v>60</v>
      </c>
      <c r="AI47" s="153" t="s">
        <v>130</v>
      </c>
    </row>
    <row r="48" s="143" customFormat="1" ht="15.75" customHeight="1" spans="1:35">
      <c r="A48" s="153" t="s">
        <v>62</v>
      </c>
      <c r="B48" s="153" t="s">
        <v>131</v>
      </c>
      <c r="C48" s="168">
        <f t="shared" ref="C48:F48" si="20">+(C8+C9+C14)/C6</f>
        <v>0.092839947089947</v>
      </c>
      <c r="D48" s="168">
        <f t="shared" si="20"/>
        <v>0.0913253086419753</v>
      </c>
      <c r="E48" s="168">
        <f t="shared" si="20"/>
        <v>0.0913253086419753</v>
      </c>
      <c r="F48" s="168">
        <f t="shared" si="20"/>
        <v>0.0916118618618617</v>
      </c>
      <c r="G48" s="157"/>
      <c r="AH48" s="153" t="s">
        <v>62</v>
      </c>
      <c r="AI48" s="153" t="s">
        <v>131</v>
      </c>
    </row>
    <row r="49" s="143" customFormat="1" ht="15.75" customHeight="1" spans="1:35">
      <c r="A49" s="153" t="s">
        <v>108</v>
      </c>
      <c r="B49" s="153" t="s">
        <v>132</v>
      </c>
      <c r="C49" s="168">
        <f t="shared" ref="C49:F49" si="21">+C17/C6</f>
        <v>0.01</v>
      </c>
      <c r="D49" s="168">
        <f t="shared" si="21"/>
        <v>0.01</v>
      </c>
      <c r="E49" s="168">
        <f t="shared" si="21"/>
        <v>0.01</v>
      </c>
      <c r="F49" s="168">
        <f t="shared" si="21"/>
        <v>0.00999999999999999</v>
      </c>
      <c r="G49" s="157"/>
      <c r="AH49" s="153" t="s">
        <v>108</v>
      </c>
      <c r="AI49" s="153" t="s">
        <v>132</v>
      </c>
    </row>
    <row r="50" s="143" customFormat="1" ht="15.75" customHeight="1" spans="1:35">
      <c r="A50" s="153" t="s">
        <v>65</v>
      </c>
      <c r="B50" s="153" t="s">
        <v>133</v>
      </c>
      <c r="C50" s="168">
        <f t="shared" ref="C50:F50" si="22">+C18/C6</f>
        <v>0.00398589065255732</v>
      </c>
      <c r="D50" s="168">
        <f t="shared" si="22"/>
        <v>0.00186008230452675</v>
      </c>
      <c r="E50" s="168">
        <f t="shared" si="22"/>
        <v>0.00186008230452675</v>
      </c>
      <c r="F50" s="168">
        <f t="shared" si="22"/>
        <v>0.00226226226226226</v>
      </c>
      <c r="G50" s="157"/>
      <c r="AH50" s="153" t="s">
        <v>65</v>
      </c>
      <c r="AI50" s="153" t="s">
        <v>133</v>
      </c>
    </row>
    <row r="51" s="143" customFormat="1" ht="15.75" customHeight="1" spans="1:35">
      <c r="A51" s="153" t="s">
        <v>68</v>
      </c>
      <c r="B51" s="153" t="s">
        <v>134</v>
      </c>
      <c r="C51" s="168">
        <f t="shared" ref="C51:F51" si="23">+C19/C6</f>
        <v>0.01</v>
      </c>
      <c r="D51" s="168">
        <f t="shared" si="23"/>
        <v>0.01</v>
      </c>
      <c r="E51" s="168">
        <f t="shared" si="23"/>
        <v>0.01</v>
      </c>
      <c r="F51" s="168">
        <f t="shared" si="23"/>
        <v>0.00999999999999999</v>
      </c>
      <c r="G51" s="157"/>
      <c r="AH51" s="153" t="s">
        <v>68</v>
      </c>
      <c r="AI51" s="153" t="s">
        <v>134</v>
      </c>
    </row>
    <row r="52" s="143" customFormat="1" ht="15.75" customHeight="1" spans="1:35">
      <c r="A52" s="153" t="s">
        <v>72</v>
      </c>
      <c r="B52" s="153" t="s">
        <v>135</v>
      </c>
      <c r="C52" s="168">
        <f t="shared" ref="C52:F52" si="24">+C23/C6</f>
        <v>0.0283228341931221</v>
      </c>
      <c r="D52" s="168">
        <f t="shared" si="24"/>
        <v>0.0414042257201654</v>
      </c>
      <c r="E52" s="168">
        <f t="shared" si="24"/>
        <v>0.0414042257201654</v>
      </c>
      <c r="F52" s="168">
        <f t="shared" si="24"/>
        <v>0.0389293678636977</v>
      </c>
      <c r="G52" s="157"/>
      <c r="AH52" s="153" t="s">
        <v>72</v>
      </c>
      <c r="AI52" s="153" t="s">
        <v>136</v>
      </c>
    </row>
    <row r="53" s="143" customFormat="1" ht="15.75" customHeight="1" spans="1:35">
      <c r="A53" s="153" t="s">
        <v>137</v>
      </c>
      <c r="B53" s="158" t="s">
        <v>138</v>
      </c>
      <c r="C53" s="164">
        <f>+C21/C3</f>
        <v>9.023203813738</v>
      </c>
      <c r="D53" s="164">
        <f t="shared" ref="D53:F53" si="25">+D21/D3</f>
        <v>9.89304508357934</v>
      </c>
      <c r="E53" s="164">
        <f t="shared" si="25"/>
        <v>9.89304508357934</v>
      </c>
      <c r="F53" s="164">
        <f t="shared" si="25"/>
        <v>9.72848051901476</v>
      </c>
      <c r="G53" s="157"/>
      <c r="AH53" s="153" t="s">
        <v>137</v>
      </c>
      <c r="AI53" s="158" t="s">
        <v>138</v>
      </c>
    </row>
    <row r="54" s="143" customFormat="1" ht="15.75" customHeight="1" spans="1:35">
      <c r="A54" s="153" t="s">
        <v>139</v>
      </c>
      <c r="B54" s="201" t="s">
        <v>140</v>
      </c>
      <c r="C54" s="164"/>
      <c r="D54" s="164"/>
      <c r="E54" s="164"/>
      <c r="F54" s="164"/>
      <c r="G54" s="157"/>
      <c r="AH54" s="153"/>
      <c r="AI54" s="158"/>
    </row>
    <row r="55" s="143" customFormat="1" ht="15.75" customHeight="1" spans="1:7">
      <c r="A55" s="153" t="s">
        <v>60</v>
      </c>
      <c r="B55" s="153" t="s">
        <v>141</v>
      </c>
      <c r="C55" s="164">
        <f>C56+C57</f>
        <v>140000</v>
      </c>
      <c r="D55" s="164"/>
      <c r="E55" s="164"/>
      <c r="F55" s="164"/>
      <c r="G55" s="157"/>
    </row>
    <row r="56" s="143" customFormat="1" ht="15.75" customHeight="1" spans="1:7">
      <c r="A56" s="153">
        <v>1.1</v>
      </c>
      <c r="B56" s="202" t="s">
        <v>142</v>
      </c>
      <c r="C56" s="164">
        <f>项目投资!B27</f>
        <v>80000</v>
      </c>
      <c r="D56" s="164"/>
      <c r="E56" s="164"/>
      <c r="F56" s="164"/>
      <c r="G56" s="157"/>
    </row>
    <row r="57" s="143" customFormat="1" ht="15.75" customHeight="1" spans="1:7">
      <c r="A57" s="153">
        <v>1.2</v>
      </c>
      <c r="B57" s="153" t="s">
        <v>143</v>
      </c>
      <c r="C57" s="164">
        <f>项目投资!B26</f>
        <v>60000</v>
      </c>
      <c r="D57" s="164"/>
      <c r="E57" s="164"/>
      <c r="F57" s="164"/>
      <c r="G57" s="157"/>
    </row>
    <row r="58" ht="15.75" customHeight="1" spans="1:7">
      <c r="A58" s="188" t="s">
        <v>62</v>
      </c>
      <c r="B58" s="188" t="s">
        <v>144</v>
      </c>
      <c r="C58" s="203">
        <f>C59+C60</f>
        <v>189487.280088498</v>
      </c>
      <c r="D58" s="203">
        <f t="shared" ref="D58:F58" si="26">D59+D60</f>
        <v>593582.70501476</v>
      </c>
      <c r="E58" s="203">
        <f t="shared" si="26"/>
        <v>593582.70501476</v>
      </c>
      <c r="F58" s="203">
        <f t="shared" si="26"/>
        <v>1376652.69011802</v>
      </c>
      <c r="G58" s="157"/>
    </row>
    <row r="59" ht="15.75" customHeight="1" spans="1:7">
      <c r="A59" s="188" t="s">
        <v>108</v>
      </c>
      <c r="B59" s="188" t="s">
        <v>145</v>
      </c>
      <c r="C59" s="203">
        <f t="shared" ref="C59:F59" si="27">C23</f>
        <v>189487.280088498</v>
      </c>
      <c r="D59" s="203">
        <f t="shared" si="27"/>
        <v>593582.70501476</v>
      </c>
      <c r="E59" s="203">
        <f t="shared" si="27"/>
        <v>593582.70501476</v>
      </c>
      <c r="F59" s="203">
        <f t="shared" si="27"/>
        <v>1376652.69011802</v>
      </c>
      <c r="G59" s="157"/>
    </row>
    <row r="60" ht="15.75" customHeight="1" spans="1:7">
      <c r="A60" s="188" t="s">
        <v>65</v>
      </c>
      <c r="B60" s="188" t="s">
        <v>146</v>
      </c>
      <c r="C60" s="203">
        <f>'[2]2023年'!I18</f>
        <v>0</v>
      </c>
      <c r="D60" s="203"/>
      <c r="E60" s="203"/>
      <c r="F60" s="203">
        <f>[2]项目投资!G26</f>
        <v>0</v>
      </c>
      <c r="G60" s="157"/>
    </row>
    <row r="61" ht="15.75" customHeight="1" spans="1:7">
      <c r="A61" s="188" t="s">
        <v>68</v>
      </c>
      <c r="B61" s="188" t="s">
        <v>147</v>
      </c>
      <c r="C61" s="204"/>
      <c r="D61" s="204"/>
      <c r="E61" s="204"/>
      <c r="F61" s="203"/>
      <c r="G61" s="157"/>
    </row>
    <row r="63" spans="2:2">
      <c r="B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14.5"/>
  <cols>
    <col min="1" max="1" width="5.12727272727273" style="143" customWidth="1"/>
    <col min="2" max="2" width="17.5" style="143" customWidth="1"/>
    <col min="3" max="4" width="14.3636363636364" style="144" customWidth="1"/>
    <col min="5" max="5" width="15.5454545454545" style="144" customWidth="1"/>
    <col min="6" max="6" width="18.7545454545455" style="144" customWidth="1"/>
    <col min="7" max="7" width="12.3727272727273" style="143" customWidth="1"/>
    <col min="8" max="8" width="10.1272727272727" style="143" customWidth="1"/>
    <col min="9" max="15" width="9" style="143" customWidth="1"/>
    <col min="16" max="32" width="9" style="143"/>
    <col min="33" max="33" width="4.37272727272727" style="143" customWidth="1"/>
    <col min="34" max="34" width="13.8727272727273" style="143" customWidth="1"/>
    <col min="35" max="16384" width="9" style="143"/>
  </cols>
  <sheetData>
    <row r="1" spans="1:6">
      <c r="A1" s="145" t="s">
        <v>148</v>
      </c>
      <c r="B1" s="145"/>
      <c r="C1" s="146" t="s">
        <v>149</v>
      </c>
      <c r="D1" s="147"/>
      <c r="E1" s="147"/>
      <c r="F1" s="148"/>
    </row>
    <row r="2" spans="1:6">
      <c r="A2" s="145" t="s">
        <v>150</v>
      </c>
      <c r="B2" s="145"/>
      <c r="C2" s="149" t="s">
        <v>151</v>
      </c>
      <c r="D2" s="149"/>
      <c r="E2" s="149"/>
      <c r="F2" s="149"/>
    </row>
    <row r="3" ht="16.5" spans="1:6">
      <c r="A3" s="145" t="s">
        <v>152</v>
      </c>
      <c r="B3" s="145"/>
      <c r="C3" s="21" t="s">
        <v>153</v>
      </c>
      <c r="D3" s="21" t="s">
        <v>154</v>
      </c>
      <c r="E3" s="21" t="s">
        <v>153</v>
      </c>
      <c r="F3" s="150" t="s">
        <v>56</v>
      </c>
    </row>
    <row r="4" ht="33" spans="1:6">
      <c r="A4" s="145" t="s">
        <v>155</v>
      </c>
      <c r="B4" s="145"/>
      <c r="C4" s="21" t="s">
        <v>156</v>
      </c>
      <c r="D4" s="24" t="s">
        <v>157</v>
      </c>
      <c r="E4" s="24" t="s">
        <v>158</v>
      </c>
      <c r="F4" s="151"/>
    </row>
    <row r="5" ht="16.5" spans="1:35">
      <c r="A5" s="145" t="s">
        <v>159</v>
      </c>
      <c r="B5" s="145"/>
      <c r="C5" s="80" t="s">
        <v>160</v>
      </c>
      <c r="D5" s="80" t="s">
        <v>160</v>
      </c>
      <c r="E5" s="24" t="s">
        <v>161</v>
      </c>
      <c r="F5" s="152"/>
      <c r="AI5" s="143" t="s">
        <v>57</v>
      </c>
    </row>
    <row r="6" ht="16.5" spans="1:35">
      <c r="A6" s="153" t="s">
        <v>21</v>
      </c>
      <c r="B6" s="154" t="s">
        <v>162</v>
      </c>
      <c r="C6" s="155">
        <f>销量!C9</f>
        <v>7000</v>
      </c>
      <c r="D6" s="155">
        <f>销量!D9</f>
        <v>7000</v>
      </c>
      <c r="E6" s="155">
        <f>销量!E9</f>
        <v>14000</v>
      </c>
      <c r="F6" s="156">
        <f>+SUM(C6:E6)</f>
        <v>28000</v>
      </c>
      <c r="Q6" s="154" t="s">
        <v>3</v>
      </c>
      <c r="AG6" s="153" t="s">
        <v>21</v>
      </c>
      <c r="AH6" s="154" t="s">
        <v>3</v>
      </c>
      <c r="AI6" s="143" t="s">
        <v>58</v>
      </c>
    </row>
    <row r="7" spans="1:35">
      <c r="A7" s="145">
        <v>1</v>
      </c>
      <c r="B7" s="154" t="s">
        <v>59</v>
      </c>
      <c r="C7" s="156">
        <f>C6*销量!C8</f>
        <v>3314159.2920354</v>
      </c>
      <c r="D7" s="156">
        <f>D6*销量!D8</f>
        <v>3314159.2920354</v>
      </c>
      <c r="E7" s="156">
        <f>E6*销量!E8</f>
        <v>61946.9026548673</v>
      </c>
      <c r="F7" s="156">
        <f t="shared" ref="F7:F15" si="0">+SUM(C7:E7)</f>
        <v>6690265.48672566</v>
      </c>
      <c r="G7" s="144"/>
      <c r="Q7" s="154" t="s">
        <v>59</v>
      </c>
      <c r="AG7" s="153" t="s">
        <v>60</v>
      </c>
      <c r="AH7" s="154" t="s">
        <v>59</v>
      </c>
      <c r="AI7" s="143" t="s">
        <v>58</v>
      </c>
    </row>
    <row r="8" spans="1:35">
      <c r="A8" s="145">
        <v>2</v>
      </c>
      <c r="B8" s="145" t="s">
        <v>61</v>
      </c>
      <c r="C8" s="156"/>
      <c r="D8" s="156"/>
      <c r="E8" s="156"/>
      <c r="F8" s="156">
        <f t="shared" si="0"/>
        <v>0</v>
      </c>
      <c r="G8" s="157"/>
      <c r="Q8" s="145" t="s">
        <v>63</v>
      </c>
      <c r="AG8" s="153" t="s">
        <v>62</v>
      </c>
      <c r="AH8" s="145" t="s">
        <v>63</v>
      </c>
      <c r="AI8" s="143" t="s">
        <v>58</v>
      </c>
    </row>
    <row r="9" spans="1:35">
      <c r="A9" s="145">
        <v>3</v>
      </c>
      <c r="B9" s="154" t="s">
        <v>64</v>
      </c>
      <c r="C9" s="156">
        <f>+C7-C8</f>
        <v>3314159.2920354</v>
      </c>
      <c r="D9" s="156">
        <f>+D7-D8</f>
        <v>3314159.2920354</v>
      </c>
      <c r="E9" s="156">
        <f>+E7-E8</f>
        <v>61946.9026548673</v>
      </c>
      <c r="F9" s="156">
        <f t="shared" si="0"/>
        <v>6690265.48672566</v>
      </c>
      <c r="Q9" s="154" t="s">
        <v>64</v>
      </c>
      <c r="AG9" s="153" t="s">
        <v>65</v>
      </c>
      <c r="AH9" s="154" t="s">
        <v>64</v>
      </c>
      <c r="AI9" s="143" t="s">
        <v>66</v>
      </c>
    </row>
    <row r="10" spans="1:35">
      <c r="A10" s="145">
        <v>4</v>
      </c>
      <c r="B10" s="153" t="s">
        <v>69</v>
      </c>
      <c r="C10" s="156">
        <f>C6*C33</f>
        <v>2590000</v>
      </c>
      <c r="D10" s="156">
        <f>D6*D33</f>
        <v>2590000</v>
      </c>
      <c r="E10" s="156">
        <f>E6*E33</f>
        <v>6214.6</v>
      </c>
      <c r="F10" s="156">
        <f t="shared" si="0"/>
        <v>5186214.6</v>
      </c>
      <c r="Q10" s="153" t="s">
        <v>69</v>
      </c>
      <c r="AG10" s="153" t="s">
        <v>68</v>
      </c>
      <c r="AH10" s="153" t="s">
        <v>69</v>
      </c>
      <c r="AI10" s="143" t="s">
        <v>70</v>
      </c>
    </row>
    <row r="11" spans="1:34">
      <c r="A11" s="145">
        <v>5</v>
      </c>
      <c r="B11" s="153" t="s">
        <v>71</v>
      </c>
      <c r="C11" s="156">
        <f>+C6*C36</f>
        <v>109698.672566372</v>
      </c>
      <c r="D11" s="156">
        <f>+D6*D36</f>
        <v>109698.672566372</v>
      </c>
      <c r="E11" s="156">
        <f>+E6*E36</f>
        <v>2050.44247787611</v>
      </c>
      <c r="F11" s="156">
        <f t="shared" si="0"/>
        <v>221447.787610619</v>
      </c>
      <c r="Q11" s="153" t="s">
        <v>71</v>
      </c>
      <c r="AG11" s="153" t="s">
        <v>72</v>
      </c>
      <c r="AH11" s="153" t="s">
        <v>71</v>
      </c>
    </row>
    <row r="12" spans="1:34">
      <c r="A12" s="145">
        <v>6</v>
      </c>
      <c r="B12" s="153" t="s">
        <v>73</v>
      </c>
      <c r="C12" s="156">
        <f>+C6*C37</f>
        <v>71917.2566371682</v>
      </c>
      <c r="D12" s="156">
        <f>+D6*D37</f>
        <v>71917.2566371681</v>
      </c>
      <c r="E12" s="156">
        <f>+E6*E37</f>
        <v>1344.24778761062</v>
      </c>
      <c r="F12" s="156">
        <f t="shared" si="0"/>
        <v>145178.761061947</v>
      </c>
      <c r="Q12" s="153" t="s">
        <v>73</v>
      </c>
      <c r="AG12" s="153" t="s">
        <v>74</v>
      </c>
      <c r="AH12" s="153" t="s">
        <v>73</v>
      </c>
    </row>
    <row r="13" spans="1:35">
      <c r="A13" s="145">
        <v>7</v>
      </c>
      <c r="B13" s="153" t="s">
        <v>75</v>
      </c>
      <c r="C13" s="156">
        <f>+C6*C38</f>
        <v>201141.592920354</v>
      </c>
      <c r="D13" s="156">
        <f>+D6*D38</f>
        <v>201141.592920354</v>
      </c>
      <c r="E13" s="156">
        <f>+E6*E38</f>
        <v>619.469026548673</v>
      </c>
      <c r="F13" s="156">
        <f t="shared" si="0"/>
        <v>402902.654867257</v>
      </c>
      <c r="Q13" s="153" t="s">
        <v>75</v>
      </c>
      <c r="AG13" s="153" t="s">
        <v>76</v>
      </c>
      <c r="AH13" s="153" t="s">
        <v>75</v>
      </c>
      <c r="AI13" s="143" t="s">
        <v>58</v>
      </c>
    </row>
    <row r="14" spans="1:34">
      <c r="A14" s="145">
        <v>8</v>
      </c>
      <c r="B14" s="158" t="s">
        <v>77</v>
      </c>
      <c r="C14" s="156">
        <f>SUM(C11:C13)</f>
        <v>382757.522123894</v>
      </c>
      <c r="D14" s="156">
        <f>SUM(D11:D13)</f>
        <v>382757.522123894</v>
      </c>
      <c r="E14" s="156">
        <f>SUM(E11:E13)</f>
        <v>4014.1592920354</v>
      </c>
      <c r="F14" s="156">
        <f t="shared" si="0"/>
        <v>769529.203539824</v>
      </c>
      <c r="Q14" s="158" t="s">
        <v>77</v>
      </c>
      <c r="AG14" s="153" t="s">
        <v>78</v>
      </c>
      <c r="AH14" s="158" t="s">
        <v>77</v>
      </c>
    </row>
    <row r="15" spans="1:34">
      <c r="A15" s="145">
        <v>9</v>
      </c>
      <c r="B15" s="158" t="s">
        <v>79</v>
      </c>
      <c r="C15" s="156">
        <f>+C9-C10-C14</f>
        <v>341401.769911506</v>
      </c>
      <c r="D15" s="156">
        <f>+D9-D10-D14</f>
        <v>341401.769911506</v>
      </c>
      <c r="E15" s="156">
        <f>+E9-E10-E14</f>
        <v>51718.1433628319</v>
      </c>
      <c r="F15" s="156">
        <f t="shared" si="0"/>
        <v>734521.683185844</v>
      </c>
      <c r="Q15" s="158" t="s">
        <v>79</v>
      </c>
      <c r="AG15" s="153" t="s">
        <v>80</v>
      </c>
      <c r="AH15" s="158" t="s">
        <v>79</v>
      </c>
    </row>
    <row r="16" spans="1:34">
      <c r="A16" s="145">
        <v>10</v>
      </c>
      <c r="B16" s="153" t="s">
        <v>81</v>
      </c>
      <c r="C16" s="159">
        <f>+C15/C9</f>
        <v>0.10301308411215</v>
      </c>
      <c r="D16" s="159">
        <f>+D15/D9</f>
        <v>0.10301308411215</v>
      </c>
      <c r="E16" s="159">
        <f>+E15/E9</f>
        <v>0.8348786</v>
      </c>
      <c r="F16" s="159">
        <f>+F15/F9</f>
        <v>0.109789616666667</v>
      </c>
      <c r="Q16" s="153" t="s">
        <v>81</v>
      </c>
      <c r="AG16" s="153" t="s">
        <v>82</v>
      </c>
      <c r="AH16" s="153" t="s">
        <v>81</v>
      </c>
    </row>
    <row r="17" spans="1:34">
      <c r="A17" s="145">
        <v>11</v>
      </c>
      <c r="B17" s="153" t="s">
        <v>83</v>
      </c>
      <c r="C17" s="156">
        <f>C6*C43+C18</f>
        <v>121408.407079646</v>
      </c>
      <c r="D17" s="156">
        <f>D6*D43+D18</f>
        <v>121408.407079646</v>
      </c>
      <c r="E17" s="156">
        <f>E6*E43+E18</f>
        <v>11680.5309734513</v>
      </c>
      <c r="F17" s="156">
        <f>+SUM(C17:E17)</f>
        <v>254497.345132743</v>
      </c>
      <c r="G17" s="157"/>
      <c r="Q17" s="153" t="s">
        <v>83</v>
      </c>
      <c r="AG17" s="153" t="s">
        <v>84</v>
      </c>
      <c r="AH17" s="153" t="s">
        <v>83</v>
      </c>
    </row>
    <row r="18" s="141" customFormat="1" spans="1:9">
      <c r="A18" s="145">
        <v>12</v>
      </c>
      <c r="B18" s="161" t="s">
        <v>163</v>
      </c>
      <c r="C18" s="162">
        <f>$F$18/$F$6*C6</f>
        <v>4750</v>
      </c>
      <c r="D18" s="162">
        <f>$F$18/$F$6*D6</f>
        <v>4750</v>
      </c>
      <c r="E18" s="162">
        <f>$F$18/$F$6*E6</f>
        <v>9500</v>
      </c>
      <c r="F18" s="156">
        <f>项目投资!D26</f>
        <v>19000</v>
      </c>
      <c r="G18" s="163" t="s">
        <v>164</v>
      </c>
      <c r="H18" s="163"/>
      <c r="I18" s="163"/>
    </row>
    <row r="19" spans="1:35">
      <c r="A19" s="145">
        <v>13</v>
      </c>
      <c r="B19" s="153" t="s">
        <v>85</v>
      </c>
      <c r="C19" s="156">
        <f>C6*C44</f>
        <v>33141.592920354</v>
      </c>
      <c r="D19" s="156">
        <f>D6*D44</f>
        <v>33141.592920354</v>
      </c>
      <c r="E19" s="156">
        <f>E6*E44</f>
        <v>619.469026548673</v>
      </c>
      <c r="F19" s="156">
        <f>+SUM(C19:E19)</f>
        <v>66902.6548672566</v>
      </c>
      <c r="G19" s="141"/>
      <c r="Q19" s="153" t="s">
        <v>85</v>
      </c>
      <c r="AG19" s="153" t="s">
        <v>86</v>
      </c>
      <c r="AH19" s="153" t="s">
        <v>85</v>
      </c>
      <c r="AI19" s="143" t="s">
        <v>58</v>
      </c>
    </row>
    <row r="20" spans="1:34">
      <c r="A20" s="145">
        <v>14</v>
      </c>
      <c r="B20" s="153" t="s">
        <v>87</v>
      </c>
      <c r="C20" s="156">
        <f>C6*C45</f>
        <v>33141.592920354</v>
      </c>
      <c r="D20" s="156">
        <f>D6*D45</f>
        <v>33141.592920354</v>
      </c>
      <c r="E20" s="156">
        <f>E6*E45</f>
        <v>619.469026548673</v>
      </c>
      <c r="F20" s="156">
        <f>+SUM(C20:E20)</f>
        <v>66902.6548672566</v>
      </c>
      <c r="Q20" s="153" t="s">
        <v>87</v>
      </c>
      <c r="AG20" s="153" t="s">
        <v>88</v>
      </c>
      <c r="AH20" s="153" t="s">
        <v>87</v>
      </c>
    </row>
    <row r="21" spans="1:34">
      <c r="A21" s="145">
        <v>15</v>
      </c>
      <c r="B21" s="153" t="s">
        <v>89</v>
      </c>
      <c r="C21" s="164">
        <f>$F$21/$F$6*C6</f>
        <v>6666.66666666667</v>
      </c>
      <c r="D21" s="164">
        <f>$F$21/$F$6*D6</f>
        <v>6666.66666666667</v>
      </c>
      <c r="E21" s="164">
        <f>$F$21/$F$6*E6</f>
        <v>13333.3333333333</v>
      </c>
      <c r="F21" s="156">
        <f>项目投资!D27</f>
        <v>26666.6666666667</v>
      </c>
      <c r="Q21" s="153" t="s">
        <v>89</v>
      </c>
      <c r="AG21" s="153"/>
      <c r="AH21" s="153"/>
    </row>
    <row r="22" spans="1:34">
      <c r="A22" s="145">
        <v>16</v>
      </c>
      <c r="B22" s="153" t="s">
        <v>90</v>
      </c>
      <c r="C22" s="156">
        <f>C6*C47</f>
        <v>33141.592920354</v>
      </c>
      <c r="D22" s="156">
        <f>D6*D47</f>
        <v>33141.592920354</v>
      </c>
      <c r="E22" s="156">
        <f>E6*E47</f>
        <v>619.469026548673</v>
      </c>
      <c r="F22" s="156">
        <f>+SUM(C22:E22)</f>
        <v>66902.6548672566</v>
      </c>
      <c r="Q22" s="153" t="s">
        <v>90</v>
      </c>
      <c r="AG22" s="153" t="s">
        <v>91</v>
      </c>
      <c r="AH22" s="153" t="s">
        <v>90</v>
      </c>
    </row>
    <row r="23" spans="1:34">
      <c r="A23" s="145">
        <v>17</v>
      </c>
      <c r="B23" s="158" t="s">
        <v>92</v>
      </c>
      <c r="C23" s="164">
        <f>+C22+C21+C20+C19+C17</f>
        <v>227499.852507375</v>
      </c>
      <c r="D23" s="164">
        <f>+D22+D21+D20+D19+D17</f>
        <v>227499.852507375</v>
      </c>
      <c r="E23" s="164">
        <f>+E22+E21+E20+E19+E17</f>
        <v>26872.2713864306</v>
      </c>
      <c r="F23" s="164">
        <f t="shared" ref="F23:K23" si="1">+F22+F21+F20+F19+F17</f>
        <v>481871.97640118</v>
      </c>
      <c r="Q23" s="158" t="s">
        <v>92</v>
      </c>
      <c r="AG23" s="153" t="s">
        <v>93</v>
      </c>
      <c r="AH23" s="158" t="s">
        <v>92</v>
      </c>
    </row>
    <row r="24" spans="1:34">
      <c r="A24" s="145">
        <v>18</v>
      </c>
      <c r="B24" s="165" t="s">
        <v>94</v>
      </c>
      <c r="C24" s="164">
        <f>+C15-C23</f>
        <v>113901.917404131</v>
      </c>
      <c r="D24" s="164">
        <f>+D15-D23</f>
        <v>113901.917404131</v>
      </c>
      <c r="E24" s="164">
        <f>+E15-E23</f>
        <v>24845.8719764013</v>
      </c>
      <c r="F24" s="164">
        <f>+F15-F23</f>
        <v>252649.706784664</v>
      </c>
      <c r="H24" s="166"/>
      <c r="Q24" s="153" t="s">
        <v>94</v>
      </c>
      <c r="AG24" s="153" t="s">
        <v>95</v>
      </c>
      <c r="AH24" s="153" t="s">
        <v>94</v>
      </c>
    </row>
    <row r="25" spans="1:34">
      <c r="A25" s="145">
        <v>19</v>
      </c>
      <c r="B25" s="153" t="s">
        <v>165</v>
      </c>
      <c r="C25" s="164">
        <f>IF(C24&lt;0,0,C24*0.25)</f>
        <v>28475.4793510328</v>
      </c>
      <c r="D25" s="164">
        <f>IF(D24&lt;0,0,D24*0.25)</f>
        <v>28475.4793510328</v>
      </c>
      <c r="E25" s="164">
        <f>IF(E24&lt;0,0,E24*0.25)</f>
        <v>6211.46799410032</v>
      </c>
      <c r="F25" s="164">
        <f>IF(F24&lt;0,0,F24*0.25)</f>
        <v>63162.426696166</v>
      </c>
      <c r="G25" s="2"/>
      <c r="H25" s="2"/>
      <c r="I25" s="2"/>
      <c r="Q25" s="153" t="s">
        <v>38</v>
      </c>
      <c r="AG25" s="153" t="s">
        <v>96</v>
      </c>
      <c r="AH25" s="153" t="s">
        <v>38</v>
      </c>
    </row>
    <row r="26" spans="1:34">
      <c r="A26" s="145">
        <v>20</v>
      </c>
      <c r="B26" s="153" t="s">
        <v>97</v>
      </c>
      <c r="C26" s="164">
        <f>C24-C25</f>
        <v>85426.4380530984</v>
      </c>
      <c r="D26" s="164">
        <f>D24-D25</f>
        <v>85426.4380530985</v>
      </c>
      <c r="E26" s="164">
        <f>E24-E25</f>
        <v>18634.403982301</v>
      </c>
      <c r="F26" s="156">
        <f>+SUM(C26:E26)</f>
        <v>189487.280088498</v>
      </c>
      <c r="G26" s="2"/>
      <c r="H26" s="2"/>
      <c r="I26" s="2"/>
      <c r="Q26" s="153" t="s">
        <v>97</v>
      </c>
      <c r="AG26" s="153" t="s">
        <v>98</v>
      </c>
      <c r="AH26" s="153" t="s">
        <v>97</v>
      </c>
    </row>
    <row r="27" spans="1:34">
      <c r="A27" s="145">
        <v>21</v>
      </c>
      <c r="B27" s="153" t="s">
        <v>101</v>
      </c>
      <c r="C27" s="167">
        <f>C26/C7</f>
        <v>0.0257762016021365</v>
      </c>
      <c r="D27" s="167">
        <f>D26/D7</f>
        <v>0.0257762016021365</v>
      </c>
      <c r="E27" s="167">
        <f>E26/E7</f>
        <v>0.300812521428572</v>
      </c>
      <c r="F27" s="167">
        <f>F26/F7</f>
        <v>0.0283228341931221</v>
      </c>
      <c r="G27" s="2"/>
      <c r="H27" s="2"/>
      <c r="I27" s="2"/>
      <c r="Q27" s="153" t="s">
        <v>101</v>
      </c>
      <c r="AG27" s="153" t="s">
        <v>100</v>
      </c>
      <c r="AH27" s="153" t="s">
        <v>101</v>
      </c>
    </row>
    <row r="28" spans="7:17">
      <c r="G28" s="2"/>
      <c r="H28" s="2"/>
      <c r="I28" s="2"/>
      <c r="Q28" s="153"/>
    </row>
    <row r="29" spans="1:33">
      <c r="A29" s="143" t="s">
        <v>102</v>
      </c>
      <c r="F29" s="144" t="s">
        <v>166</v>
      </c>
      <c r="G29" s="2"/>
      <c r="H29" s="2"/>
      <c r="I29" s="2"/>
      <c r="Q29" s="153"/>
      <c r="AG29" s="143" t="s">
        <v>102</v>
      </c>
    </row>
    <row r="30" spans="1:34">
      <c r="A30" s="153" t="s">
        <v>103</v>
      </c>
      <c r="B30" s="158" t="s">
        <v>104</v>
      </c>
      <c r="C30" s="164"/>
      <c r="D30" s="164"/>
      <c r="E30" s="164"/>
      <c r="F30" s="164"/>
      <c r="G30" s="2"/>
      <c r="H30" s="2"/>
      <c r="I30" s="2"/>
      <c r="K30" s="2"/>
      <c r="Q30" s="158" t="s">
        <v>104</v>
      </c>
      <c r="AG30" s="153" t="s">
        <v>105</v>
      </c>
      <c r="AH30" s="158" t="s">
        <v>104</v>
      </c>
    </row>
    <row r="31" spans="1:34">
      <c r="A31" s="145">
        <v>1</v>
      </c>
      <c r="B31" s="161" t="s">
        <v>106</v>
      </c>
      <c r="C31" s="169">
        <f>销量!C8</f>
        <v>473.451327433628</v>
      </c>
      <c r="D31" s="169">
        <f>销量!D8</f>
        <v>473.451327433628</v>
      </c>
      <c r="E31" s="169">
        <f>销量!E8</f>
        <v>4.42477876106195</v>
      </c>
      <c r="F31" s="164"/>
      <c r="G31" s="2"/>
      <c r="H31" s="2"/>
      <c r="I31" s="2"/>
      <c r="K31" s="2"/>
      <c r="Q31" s="153" t="s">
        <v>106</v>
      </c>
      <c r="AG31" s="153" t="s">
        <v>60</v>
      </c>
      <c r="AH31" s="153" t="s">
        <v>106</v>
      </c>
    </row>
    <row r="32" spans="1:34">
      <c r="A32" s="145">
        <v>2</v>
      </c>
      <c r="B32" s="153" t="s">
        <v>167</v>
      </c>
      <c r="C32" s="156">
        <f>C31*1</f>
        <v>473.451327433628</v>
      </c>
      <c r="D32" s="156">
        <f>D31*1</f>
        <v>473.451327433628</v>
      </c>
      <c r="E32" s="156">
        <f>E31*1</f>
        <v>4.42477876106195</v>
      </c>
      <c r="F32" s="164"/>
      <c r="G32" s="2"/>
      <c r="H32" s="2"/>
      <c r="I32" s="2"/>
      <c r="J32" s="2"/>
      <c r="K32" s="2"/>
      <c r="L32" s="2"/>
      <c r="M32" s="2"/>
      <c r="AG32" s="153"/>
      <c r="AH32" s="153"/>
    </row>
    <row r="33" spans="1:34">
      <c r="A33" s="145">
        <v>3</v>
      </c>
      <c r="B33" s="161" t="s">
        <v>107</v>
      </c>
      <c r="C33" s="156">
        <f>材料成本!D24</f>
        <v>370</v>
      </c>
      <c r="D33" s="156">
        <f>材料成本!E24</f>
        <v>370</v>
      </c>
      <c r="E33" s="156">
        <f>材料成本!F24</f>
        <v>0.4439</v>
      </c>
      <c r="F33" s="164"/>
      <c r="H33" s="2"/>
      <c r="I33" s="2"/>
      <c r="J33" s="2"/>
      <c r="K33" s="2"/>
      <c r="L33" s="2"/>
      <c r="M33" s="2"/>
      <c r="Q33" s="153" t="s">
        <v>107</v>
      </c>
      <c r="AG33" s="153" t="s">
        <v>62</v>
      </c>
      <c r="AH33" s="153" t="s">
        <v>107</v>
      </c>
    </row>
    <row r="34" ht="17.25" customHeight="1" spans="1:34">
      <c r="A34" s="145">
        <v>4</v>
      </c>
      <c r="B34" s="153" t="s">
        <v>109</v>
      </c>
      <c r="C34" s="170">
        <f>C32-C33</f>
        <v>103.451327433628</v>
      </c>
      <c r="D34" s="170">
        <f>D32-D33</f>
        <v>103.451327433628</v>
      </c>
      <c r="E34" s="170">
        <f>E32-E33</f>
        <v>3.98087876106195</v>
      </c>
      <c r="F34" s="164"/>
      <c r="H34" s="2"/>
      <c r="I34" s="2"/>
      <c r="J34" s="2"/>
      <c r="K34" s="2"/>
      <c r="L34" s="2"/>
      <c r="M34" s="2"/>
      <c r="Q34" s="153" t="s">
        <v>109</v>
      </c>
      <c r="AG34" s="153" t="s">
        <v>108</v>
      </c>
      <c r="AH34" s="153" t="s">
        <v>109</v>
      </c>
    </row>
    <row r="35" spans="1:34">
      <c r="A35" s="153" t="s">
        <v>105</v>
      </c>
      <c r="B35" s="158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8" t="s">
        <v>10</v>
      </c>
      <c r="AG35" s="153" t="s">
        <v>111</v>
      </c>
      <c r="AH35" s="158" t="s">
        <v>10</v>
      </c>
    </row>
    <row r="36" spans="1:34">
      <c r="A36" s="145">
        <v>1</v>
      </c>
      <c r="B36" s="153" t="s">
        <v>112</v>
      </c>
      <c r="C36" s="162">
        <f>标准成本!E4</f>
        <v>15.6712389380531</v>
      </c>
      <c r="D36" s="162">
        <f>标准成本!E16</f>
        <v>15.6712389380531</v>
      </c>
      <c r="E36" s="162">
        <f>标准成本!E29</f>
        <v>0.146460176991151</v>
      </c>
      <c r="F36" s="169"/>
      <c r="G36" s="2"/>
      <c r="H36" s="2"/>
      <c r="I36" s="2"/>
      <c r="J36" s="2"/>
      <c r="K36" s="2"/>
      <c r="L36" s="2"/>
      <c r="M36" s="2"/>
      <c r="N36" s="2"/>
      <c r="O36" s="2"/>
      <c r="P36" s="2"/>
      <c r="Q36" s="153" t="s">
        <v>112</v>
      </c>
      <c r="AG36" s="153" t="s">
        <v>108</v>
      </c>
      <c r="AH36" s="153" t="s">
        <v>112</v>
      </c>
    </row>
    <row r="37" spans="1:34">
      <c r="A37" s="145">
        <v>2</v>
      </c>
      <c r="B37" s="153" t="s">
        <v>113</v>
      </c>
      <c r="C37" s="162">
        <f>标准成本!E6</f>
        <v>10.2738938053097</v>
      </c>
      <c r="D37" s="162">
        <f>标准成本!E18</f>
        <v>10.2738938053097</v>
      </c>
      <c r="E37" s="162">
        <f>标准成本!E31</f>
        <v>0.0960176991150443</v>
      </c>
      <c r="F37" s="169"/>
      <c r="G37" s="2"/>
      <c r="H37" s="2"/>
      <c r="I37" s="2"/>
      <c r="J37" s="2"/>
      <c r="K37" s="2"/>
      <c r="L37" s="2"/>
      <c r="M37" s="2"/>
      <c r="N37" s="2"/>
      <c r="O37" s="2"/>
      <c r="P37" s="2"/>
      <c r="Q37" s="153" t="s">
        <v>113</v>
      </c>
      <c r="AG37" s="153" t="s">
        <v>65</v>
      </c>
      <c r="AH37" s="153" t="s">
        <v>113</v>
      </c>
    </row>
    <row r="38" spans="1:34">
      <c r="A38" s="145">
        <v>3</v>
      </c>
      <c r="B38" s="153" t="s">
        <v>114</v>
      </c>
      <c r="C38" s="162">
        <f>标准成本!E10</f>
        <v>28.7345132743363</v>
      </c>
      <c r="D38" s="162">
        <f>标准成本!E22</f>
        <v>28.7345132743363</v>
      </c>
      <c r="E38" s="162">
        <f>标准成本!E35</f>
        <v>0.0442477876106195</v>
      </c>
      <c r="F38" s="169"/>
      <c r="G38" s="2"/>
      <c r="H38" s="2"/>
      <c r="I38" s="2"/>
      <c r="J38" s="2"/>
      <c r="K38" s="2"/>
      <c r="L38" s="2"/>
      <c r="M38" s="2"/>
      <c r="N38" s="2"/>
      <c r="O38" s="2"/>
      <c r="P38" s="2"/>
      <c r="Q38" s="153" t="s">
        <v>114</v>
      </c>
      <c r="AG38" s="153" t="s">
        <v>72</v>
      </c>
      <c r="AH38" s="153" t="s">
        <v>114</v>
      </c>
    </row>
    <row r="39" spans="1:34">
      <c r="A39" s="153" t="s">
        <v>111</v>
      </c>
      <c r="B39" s="158" t="s">
        <v>116</v>
      </c>
      <c r="C39" s="164"/>
      <c r="D39" s="164"/>
      <c r="E39" s="164"/>
      <c r="F39" s="164"/>
      <c r="Q39" s="158" t="s">
        <v>116</v>
      </c>
      <c r="AG39" s="153" t="s">
        <v>115</v>
      </c>
      <c r="AH39" s="158" t="s">
        <v>116</v>
      </c>
    </row>
    <row r="40" spans="1:34">
      <c r="A40" s="145">
        <v>1</v>
      </c>
      <c r="B40" s="153" t="s">
        <v>118</v>
      </c>
      <c r="C40" s="164">
        <f>C34-C36-C37-C38</f>
        <v>48.7716814159289</v>
      </c>
      <c r="D40" s="164">
        <f>D34-D36-D37-D38</f>
        <v>48.7716814159289</v>
      </c>
      <c r="E40" s="164">
        <f>E34-E36-E37-E38</f>
        <v>3.69415309734514</v>
      </c>
      <c r="F40" s="164"/>
      <c r="Q40" s="153" t="s">
        <v>118</v>
      </c>
      <c r="AG40" s="153" t="s">
        <v>60</v>
      </c>
      <c r="AH40" s="153" t="s">
        <v>118</v>
      </c>
    </row>
    <row r="41" spans="1:34">
      <c r="A41" s="145">
        <v>2</v>
      </c>
      <c r="B41" s="153" t="s">
        <v>119</v>
      </c>
      <c r="C41" s="164"/>
      <c r="D41" s="164"/>
      <c r="E41" s="164"/>
      <c r="F41" s="164"/>
      <c r="Q41" s="153" t="s">
        <v>119</v>
      </c>
      <c r="AG41" s="153" t="s">
        <v>62</v>
      </c>
      <c r="AH41" s="153" t="s">
        <v>119</v>
      </c>
    </row>
    <row r="42" spans="1:34">
      <c r="A42" s="153" t="s">
        <v>115</v>
      </c>
      <c r="B42" s="158" t="s">
        <v>121</v>
      </c>
      <c r="C42" s="164"/>
      <c r="D42" s="164"/>
      <c r="E42" s="164"/>
      <c r="F42" s="164"/>
      <c r="Q42" s="158" t="s">
        <v>121</v>
      </c>
      <c r="AG42" s="153" t="s">
        <v>120</v>
      </c>
      <c r="AH42" s="158" t="s">
        <v>121</v>
      </c>
    </row>
    <row r="43" spans="1:34">
      <c r="A43" s="145">
        <v>1</v>
      </c>
      <c r="B43" s="165" t="s">
        <v>122</v>
      </c>
      <c r="C43" s="162">
        <f>标准成本!E5</f>
        <v>16.6654867256637</v>
      </c>
      <c r="D43" s="162">
        <f>标准成本!E17</f>
        <v>16.6654867256637</v>
      </c>
      <c r="E43" s="162">
        <f>标准成本!E30</f>
        <v>0.155752212389381</v>
      </c>
      <c r="F43" s="164"/>
      <c r="Q43" s="153" t="s">
        <v>122</v>
      </c>
      <c r="AG43" s="153" t="s">
        <v>60</v>
      </c>
      <c r="AH43" s="153" t="s">
        <v>122</v>
      </c>
    </row>
    <row r="44" spans="1:34">
      <c r="A44" s="145">
        <v>2</v>
      </c>
      <c r="B44" s="165" t="s">
        <v>123</v>
      </c>
      <c r="C44" s="162">
        <f>标准成本!E9</f>
        <v>4.73451327433628</v>
      </c>
      <c r="D44" s="162">
        <f>标准成本!E21</f>
        <v>4.73451327433628</v>
      </c>
      <c r="E44" s="162">
        <f>标准成本!E34</f>
        <v>0.0442477876106195</v>
      </c>
      <c r="F44" s="164"/>
      <c r="Q44" s="153" t="s">
        <v>123</v>
      </c>
      <c r="AG44" s="153" t="s">
        <v>62</v>
      </c>
      <c r="AH44" s="153" t="s">
        <v>123</v>
      </c>
    </row>
    <row r="45" spans="1:34">
      <c r="A45" s="145">
        <v>3</v>
      </c>
      <c r="B45" s="165" t="s">
        <v>124</v>
      </c>
      <c r="C45" s="162">
        <f>标准成本!E8</f>
        <v>4.73451327433628</v>
      </c>
      <c r="D45" s="162">
        <f>标准成本!E20</f>
        <v>4.73451327433628</v>
      </c>
      <c r="E45" s="162">
        <f>标准成本!E33</f>
        <v>0.0442477876106195</v>
      </c>
      <c r="F45" s="164"/>
      <c r="Q45" s="153" t="s">
        <v>124</v>
      </c>
      <c r="AG45" s="153" t="s">
        <v>108</v>
      </c>
      <c r="AH45" s="153" t="s">
        <v>124</v>
      </c>
    </row>
    <row r="46" s="142" customFormat="1" spans="1:34">
      <c r="A46" s="145">
        <v>4</v>
      </c>
      <c r="B46" s="165" t="s">
        <v>125</v>
      </c>
      <c r="C46" s="171">
        <f>C21/C6</f>
        <v>0.952380952380952</v>
      </c>
      <c r="D46" s="171">
        <f>D21/D6</f>
        <v>0.952380952380952</v>
      </c>
      <c r="E46" s="171">
        <f>E21/E6</f>
        <v>0.952380952380952</v>
      </c>
      <c r="F46" s="171"/>
      <c r="Q46" s="165" t="s">
        <v>127</v>
      </c>
      <c r="AG46" s="165" t="s">
        <v>68</v>
      </c>
      <c r="AH46" s="165" t="s">
        <v>127</v>
      </c>
    </row>
    <row r="47" s="142" customFormat="1" spans="1:34">
      <c r="A47" s="145">
        <v>5</v>
      </c>
      <c r="B47" s="165" t="s">
        <v>127</v>
      </c>
      <c r="C47" s="171">
        <f>标准成本!E11</f>
        <v>4.73451327433628</v>
      </c>
      <c r="D47" s="171">
        <f>标准成本!E23</f>
        <v>4.73451327433628</v>
      </c>
      <c r="E47" s="171">
        <f>标准成本!E36</f>
        <v>0.0442477876106195</v>
      </c>
      <c r="F47" s="171"/>
      <c r="Q47" s="165" t="s">
        <v>127</v>
      </c>
      <c r="AG47" s="165" t="s">
        <v>68</v>
      </c>
      <c r="AH47" s="165" t="s">
        <v>127</v>
      </c>
    </row>
    <row r="48" spans="1:34">
      <c r="A48" s="153" t="s">
        <v>120</v>
      </c>
      <c r="B48" s="158" t="s">
        <v>138</v>
      </c>
      <c r="C48" s="164">
        <f>C40-C43-C44-C45-C47-C46</f>
        <v>16.9502739148754</v>
      </c>
      <c r="D48" s="164">
        <f>D40-D43-D44-D45-D47-D46</f>
        <v>16.9502739148754</v>
      </c>
      <c r="E48" s="164">
        <f>E40-E43-E44-E45-E47-E46</f>
        <v>2.45327656974294</v>
      </c>
      <c r="F48" s="164"/>
      <c r="Q48" s="158" t="s">
        <v>138</v>
      </c>
      <c r="AG48" s="153" t="s">
        <v>137</v>
      </c>
      <c r="AH48" s="158" t="s">
        <v>138</v>
      </c>
    </row>
    <row r="51" spans="3:5">
      <c r="C51" s="172"/>
      <c r="D51" s="172"/>
      <c r="E51" s="172"/>
    </row>
    <row r="54" spans="2:11">
      <c r="B54" s="2"/>
      <c r="C54" s="173"/>
      <c r="D54" s="173"/>
      <c r="E54" s="173"/>
      <c r="F54" s="173"/>
      <c r="G54" s="2"/>
      <c r="H54" s="2"/>
      <c r="I54" s="2"/>
      <c r="J54" s="2"/>
      <c r="K54" s="2"/>
    </row>
    <row r="55" spans="2:11">
      <c r="B55" s="2"/>
      <c r="C55" s="173"/>
      <c r="D55" s="173"/>
      <c r="E55" s="173"/>
      <c r="F55" s="173"/>
      <c r="G55" s="2"/>
      <c r="H55" s="2"/>
      <c r="I55" s="2"/>
      <c r="J55" s="2"/>
      <c r="K55" s="2"/>
    </row>
    <row r="56" spans="2:11">
      <c r="B56" s="2"/>
      <c r="C56" s="173"/>
      <c r="D56" s="173"/>
      <c r="E56" s="173"/>
      <c r="F56" s="173"/>
      <c r="G56" s="2"/>
      <c r="H56" s="2"/>
      <c r="I56" s="2"/>
      <c r="J56" s="2"/>
      <c r="K56" s="2"/>
    </row>
    <row r="57" spans="2:11">
      <c r="B57" s="2"/>
      <c r="C57" s="173"/>
      <c r="D57" s="173"/>
      <c r="E57" s="173"/>
      <c r="F57" s="173"/>
      <c r="G57" s="2"/>
      <c r="H57" s="2"/>
      <c r="I57" s="2"/>
      <c r="J57" s="2"/>
      <c r="K57" s="2"/>
    </row>
    <row r="58" spans="2:11">
      <c r="B58" s="2"/>
      <c r="C58" s="173"/>
      <c r="D58" s="173"/>
      <c r="E58" s="173"/>
      <c r="F58" s="173"/>
      <c r="G58" s="2"/>
      <c r="H58" s="2"/>
      <c r="I58" s="2"/>
      <c r="J58" s="2"/>
      <c r="K58" s="2"/>
    </row>
    <row r="59" spans="2:11">
      <c r="B59" s="2"/>
      <c r="C59" s="173"/>
      <c r="D59" s="173"/>
      <c r="E59" s="173"/>
      <c r="F59" s="173"/>
      <c r="G59" s="2"/>
      <c r="H59" s="2"/>
      <c r="I59" s="2"/>
      <c r="J59" s="2"/>
      <c r="K59" s="2"/>
    </row>
    <row r="60" spans="2:11">
      <c r="B60" s="2"/>
      <c r="C60" s="173"/>
      <c r="D60" s="173"/>
      <c r="E60" s="173"/>
      <c r="F60" s="173"/>
      <c r="G60" s="2"/>
      <c r="H60" s="2"/>
      <c r="I60" s="2"/>
      <c r="J60" s="2"/>
      <c r="K60" s="2"/>
    </row>
    <row r="61" spans="2:11">
      <c r="B61" s="2"/>
      <c r="C61" s="173"/>
      <c r="D61" s="173"/>
      <c r="E61" s="173"/>
      <c r="F61" s="173"/>
      <c r="G61" s="2"/>
      <c r="H61" s="2"/>
      <c r="I61" s="2"/>
      <c r="J61" s="2"/>
      <c r="K61" s="2"/>
    </row>
    <row r="62" spans="2:11">
      <c r="B62" s="2"/>
      <c r="C62" s="173"/>
      <c r="D62" s="173"/>
      <c r="E62" s="173"/>
      <c r="F62" s="173"/>
      <c r="G62" s="2"/>
      <c r="H62" s="2"/>
      <c r="I62" s="2"/>
      <c r="J62" s="2"/>
      <c r="K62" s="2"/>
    </row>
    <row r="63" spans="2:11">
      <c r="B63" s="2"/>
      <c r="C63" s="173"/>
      <c r="D63" s="173"/>
      <c r="E63" s="173"/>
      <c r="F63" s="173"/>
      <c r="G63" s="2"/>
      <c r="H63" s="2"/>
      <c r="I63" s="2"/>
      <c r="J63" s="2"/>
      <c r="K63" s="2"/>
    </row>
    <row r="64" spans="2:11">
      <c r="B64" s="2"/>
      <c r="C64" s="173"/>
      <c r="D64" s="173"/>
      <c r="E64" s="173"/>
      <c r="F64" s="173"/>
      <c r="G64" s="2"/>
      <c r="H64" s="2"/>
      <c r="I64" s="2"/>
      <c r="J64" s="2"/>
      <c r="K64" s="2"/>
    </row>
    <row r="65" spans="2:11">
      <c r="B65" s="2"/>
      <c r="C65" s="173"/>
      <c r="D65" s="173"/>
      <c r="E65" s="173"/>
      <c r="F65" s="173"/>
      <c r="G65" s="2"/>
      <c r="H65" s="2"/>
      <c r="I65" s="2"/>
      <c r="J65" s="2"/>
      <c r="K65" s="2"/>
    </row>
    <row r="66" spans="2:11">
      <c r="B66" s="2"/>
      <c r="C66" s="173"/>
      <c r="D66" s="173"/>
      <c r="E66" s="173"/>
      <c r="F66" s="173"/>
      <c r="G66" s="2"/>
      <c r="H66" s="2"/>
      <c r="I66" s="2"/>
      <c r="J66" s="2"/>
      <c r="K66" s="2"/>
    </row>
    <row r="67" spans="2:7">
      <c r="B67" s="2"/>
      <c r="C67" s="173"/>
      <c r="D67" s="173"/>
      <c r="E67" s="173"/>
      <c r="F67" s="173"/>
      <c r="G67" s="2"/>
    </row>
    <row r="68" spans="2:7">
      <c r="B68" s="2"/>
      <c r="C68" s="173"/>
      <c r="D68" s="173"/>
      <c r="E68" s="173"/>
      <c r="F68" s="173"/>
      <c r="G68" s="2"/>
    </row>
    <row r="69" spans="2:7">
      <c r="B69" s="2"/>
      <c r="C69" s="173"/>
      <c r="D69" s="173"/>
      <c r="E69" s="173"/>
      <c r="F69" s="173"/>
      <c r="G69" s="2"/>
    </row>
    <row r="70" spans="2:7">
      <c r="B70" s="2"/>
      <c r="C70" s="173"/>
      <c r="D70" s="173"/>
      <c r="E70" s="173"/>
      <c r="F70" s="173"/>
      <c r="G70" s="2"/>
    </row>
    <row r="71" spans="2:7">
      <c r="B71" s="2"/>
      <c r="C71" s="173"/>
      <c r="D71" s="173"/>
      <c r="E71" s="173"/>
      <c r="F71" s="173"/>
      <c r="G71" s="2"/>
    </row>
    <row r="72" spans="2:7">
      <c r="B72" s="2"/>
      <c r="C72" s="173"/>
      <c r="D72" s="173"/>
      <c r="E72" s="173"/>
      <c r="F72" s="173"/>
      <c r="G72" s="2"/>
    </row>
    <row r="73" spans="2:7">
      <c r="B73" s="2"/>
      <c r="C73" s="173"/>
      <c r="D73" s="173"/>
      <c r="E73" s="173"/>
      <c r="F73" s="173"/>
      <c r="G73" s="2"/>
    </row>
    <row r="74" spans="2:7">
      <c r="B74" s="2"/>
      <c r="C74" s="173"/>
      <c r="D74" s="173"/>
      <c r="E74" s="173"/>
      <c r="F74" s="17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4.5"/>
  <cols>
    <col min="1" max="1" width="5.12727272727273" style="143" customWidth="1"/>
    <col min="2" max="2" width="17.5" style="143" customWidth="1"/>
    <col min="3" max="5" width="15.5454545454545" style="144" customWidth="1"/>
    <col min="6" max="6" width="18.7545454545455" style="144" customWidth="1"/>
    <col min="7" max="7" width="12.3727272727273" style="143" customWidth="1"/>
    <col min="8" max="8" width="10.1272727272727" style="143" customWidth="1"/>
    <col min="9" max="15" width="9" style="143" customWidth="1"/>
    <col min="16" max="32" width="9" style="143"/>
    <col min="33" max="33" width="4.37272727272727" style="143" customWidth="1"/>
    <col min="34" max="34" width="13.8727272727273" style="143" customWidth="1"/>
    <col min="35" max="16384" width="9" style="143"/>
  </cols>
  <sheetData>
    <row r="1" spans="1:6">
      <c r="A1" s="145" t="s">
        <v>148</v>
      </c>
      <c r="B1" s="145"/>
      <c r="C1" s="146" t="s">
        <v>168</v>
      </c>
      <c r="D1" s="147"/>
      <c r="E1" s="147"/>
      <c r="F1" s="148"/>
    </row>
    <row r="2" spans="1:6">
      <c r="A2" s="145" t="s">
        <v>150</v>
      </c>
      <c r="B2" s="145"/>
      <c r="C2" s="149" t="s">
        <v>151</v>
      </c>
      <c r="D2" s="149"/>
      <c r="E2" s="149"/>
      <c r="F2" s="149"/>
    </row>
    <row r="3" ht="16.5" spans="1:6">
      <c r="A3" s="145" t="s">
        <v>152</v>
      </c>
      <c r="B3" s="145"/>
      <c r="C3" s="21" t="s">
        <v>153</v>
      </c>
      <c r="D3" s="21" t="s">
        <v>154</v>
      </c>
      <c r="E3" s="21" t="s">
        <v>153</v>
      </c>
      <c r="F3" s="150" t="s">
        <v>56</v>
      </c>
    </row>
    <row r="4" ht="33" spans="1:6">
      <c r="A4" s="145" t="s">
        <v>155</v>
      </c>
      <c r="B4" s="145"/>
      <c r="C4" s="21" t="s">
        <v>156</v>
      </c>
      <c r="D4" s="24" t="s">
        <v>157</v>
      </c>
      <c r="E4" s="24" t="s">
        <v>158</v>
      </c>
      <c r="F4" s="151"/>
    </row>
    <row r="5" ht="16.5" spans="1:35">
      <c r="A5" s="145" t="s">
        <v>159</v>
      </c>
      <c r="B5" s="145"/>
      <c r="C5" s="80" t="s">
        <v>160</v>
      </c>
      <c r="D5" s="80" t="s">
        <v>160</v>
      </c>
      <c r="E5" s="24" t="s">
        <v>161</v>
      </c>
      <c r="F5" s="152"/>
      <c r="AI5" s="143" t="s">
        <v>57</v>
      </c>
    </row>
    <row r="6" ht="16.5" spans="1:35">
      <c r="A6" s="153" t="s">
        <v>21</v>
      </c>
      <c r="B6" s="154" t="s">
        <v>162</v>
      </c>
      <c r="C6" s="155">
        <f>销量!C10</f>
        <v>15000</v>
      </c>
      <c r="D6" s="155">
        <f>销量!D10</f>
        <v>15000</v>
      </c>
      <c r="E6" s="155">
        <f>销量!E10</f>
        <v>30000</v>
      </c>
      <c r="F6" s="156">
        <f t="shared" ref="F6:F15" si="0">+SUM(C6:E6)</f>
        <v>60000</v>
      </c>
      <c r="Q6" s="154" t="s">
        <v>3</v>
      </c>
      <c r="AG6" s="153" t="s">
        <v>21</v>
      </c>
      <c r="AH6" s="154" t="s">
        <v>3</v>
      </c>
      <c r="AI6" s="143" t="s">
        <v>58</v>
      </c>
    </row>
    <row r="7" spans="1:35">
      <c r="A7" s="145">
        <v>1</v>
      </c>
      <c r="B7" s="154" t="s">
        <v>59</v>
      </c>
      <c r="C7" s="156">
        <f>C6*销量!C8</f>
        <v>7101769.91150443</v>
      </c>
      <c r="D7" s="156">
        <f>D6*销量!D8</f>
        <v>7101769.91150443</v>
      </c>
      <c r="E7" s="156">
        <f>E6*销量!E8</f>
        <v>132743.362831858</v>
      </c>
      <c r="F7" s="156">
        <f t="shared" si="0"/>
        <v>14336283.1858407</v>
      </c>
      <c r="G7" s="144"/>
      <c r="Q7" s="154" t="s">
        <v>59</v>
      </c>
      <c r="AG7" s="153" t="s">
        <v>60</v>
      </c>
      <c r="AH7" s="154" t="s">
        <v>59</v>
      </c>
      <c r="AI7" s="143" t="s">
        <v>58</v>
      </c>
    </row>
    <row r="8" spans="1:35">
      <c r="A8" s="145">
        <v>2</v>
      </c>
      <c r="B8" s="145" t="s">
        <v>61</v>
      </c>
      <c r="C8" s="156">
        <f>C7*(1-销量!$L$7)</f>
        <v>0</v>
      </c>
      <c r="D8" s="156">
        <f>D7*(1-销量!$L$7)</f>
        <v>0</v>
      </c>
      <c r="E8" s="156">
        <f>E7*(1-销量!$L$7)</f>
        <v>0</v>
      </c>
      <c r="F8" s="156">
        <f t="shared" si="0"/>
        <v>0</v>
      </c>
      <c r="G8" s="157"/>
      <c r="Q8" s="145" t="s">
        <v>63</v>
      </c>
      <c r="AG8" s="153" t="s">
        <v>62</v>
      </c>
      <c r="AH8" s="145" t="s">
        <v>63</v>
      </c>
      <c r="AI8" s="143" t="s">
        <v>58</v>
      </c>
    </row>
    <row r="9" spans="1:35">
      <c r="A9" s="145">
        <v>3</v>
      </c>
      <c r="B9" s="154" t="s">
        <v>64</v>
      </c>
      <c r="C9" s="156">
        <f>+C7-C8</f>
        <v>7101769.91150443</v>
      </c>
      <c r="D9" s="156">
        <f>+D7-D8</f>
        <v>7101769.91150443</v>
      </c>
      <c r="E9" s="156">
        <f>+E7-E8</f>
        <v>132743.362831858</v>
      </c>
      <c r="F9" s="156">
        <f t="shared" si="0"/>
        <v>14336283.1858407</v>
      </c>
      <c r="Q9" s="154" t="s">
        <v>64</v>
      </c>
      <c r="AG9" s="153" t="s">
        <v>65</v>
      </c>
      <c r="AH9" s="154" t="s">
        <v>64</v>
      </c>
      <c r="AI9" s="143" t="s">
        <v>66</v>
      </c>
    </row>
    <row r="10" spans="1:35">
      <c r="A10" s="145">
        <v>4</v>
      </c>
      <c r="B10" s="153" t="s">
        <v>69</v>
      </c>
      <c r="C10" s="156">
        <f>C6*C33</f>
        <v>5550000</v>
      </c>
      <c r="D10" s="156">
        <f>D6*D33</f>
        <v>5550000</v>
      </c>
      <c r="E10" s="156">
        <f>E6*E33</f>
        <v>13317</v>
      </c>
      <c r="F10" s="156">
        <f t="shared" si="0"/>
        <v>11113317</v>
      </c>
      <c r="Q10" s="153" t="s">
        <v>69</v>
      </c>
      <c r="AG10" s="153" t="s">
        <v>68</v>
      </c>
      <c r="AH10" s="153" t="s">
        <v>69</v>
      </c>
      <c r="AI10" s="143" t="s">
        <v>70</v>
      </c>
    </row>
    <row r="11" spans="1:34">
      <c r="A11" s="145">
        <v>5</v>
      </c>
      <c r="B11" s="153" t="s">
        <v>71</v>
      </c>
      <c r="C11" s="156">
        <f>+C6*C36</f>
        <v>235068.584070796</v>
      </c>
      <c r="D11" s="156">
        <f>+D6*D36</f>
        <v>235068.584070796</v>
      </c>
      <c r="E11" s="156">
        <f>+E6*E36</f>
        <v>4393.80530973452</v>
      </c>
      <c r="F11" s="156">
        <f t="shared" si="0"/>
        <v>474530.973451327</v>
      </c>
      <c r="Q11" s="153" t="s">
        <v>71</v>
      </c>
      <c r="AG11" s="153" t="s">
        <v>72</v>
      </c>
      <c r="AH11" s="153" t="s">
        <v>71</v>
      </c>
    </row>
    <row r="12" spans="1:34">
      <c r="A12" s="145">
        <v>6</v>
      </c>
      <c r="B12" s="153" t="s">
        <v>73</v>
      </c>
      <c r="C12" s="156">
        <f>+C6*C37</f>
        <v>154108.407079646</v>
      </c>
      <c r="D12" s="156">
        <f>+D6*D37</f>
        <v>154108.407079646</v>
      </c>
      <c r="E12" s="156">
        <f>+E6*E37</f>
        <v>2880.53097345133</v>
      </c>
      <c r="F12" s="156">
        <f t="shared" si="0"/>
        <v>311097.345132743</v>
      </c>
      <c r="Q12" s="153" t="s">
        <v>73</v>
      </c>
      <c r="AG12" s="153" t="s">
        <v>74</v>
      </c>
      <c r="AH12" s="153" t="s">
        <v>73</v>
      </c>
    </row>
    <row r="13" spans="1:35">
      <c r="A13" s="145">
        <v>7</v>
      </c>
      <c r="B13" s="153" t="s">
        <v>75</v>
      </c>
      <c r="C13" s="156">
        <f>+C6*C38</f>
        <v>431017.699115044</v>
      </c>
      <c r="D13" s="156">
        <f>+D6*D38</f>
        <v>431017.699115044</v>
      </c>
      <c r="E13" s="156">
        <f>+E6*E38</f>
        <v>1327.43362831859</v>
      </c>
      <c r="F13" s="156">
        <f t="shared" si="0"/>
        <v>863362.831858407</v>
      </c>
      <c r="Q13" s="153" t="s">
        <v>75</v>
      </c>
      <c r="AG13" s="153" t="s">
        <v>76</v>
      </c>
      <c r="AH13" s="153" t="s">
        <v>75</v>
      </c>
      <c r="AI13" s="143" t="s">
        <v>58</v>
      </c>
    </row>
    <row r="14" spans="1:34">
      <c r="A14" s="145">
        <v>8</v>
      </c>
      <c r="B14" s="158" t="s">
        <v>77</v>
      </c>
      <c r="C14" s="156">
        <f>SUM(C11:C13)</f>
        <v>820194.690265486</v>
      </c>
      <c r="D14" s="156">
        <f>SUM(D11:D13)</f>
        <v>820194.690265486</v>
      </c>
      <c r="E14" s="156">
        <f>SUM(E11:E13)</f>
        <v>8601.76991150443</v>
      </c>
      <c r="F14" s="156">
        <f t="shared" si="0"/>
        <v>1648991.15044248</v>
      </c>
      <c r="Q14" s="158" t="s">
        <v>77</v>
      </c>
      <c r="AG14" s="153" t="s">
        <v>78</v>
      </c>
      <c r="AH14" s="158" t="s">
        <v>77</v>
      </c>
    </row>
    <row r="15" spans="1:34">
      <c r="A15" s="145">
        <v>9</v>
      </c>
      <c r="B15" s="158" t="s">
        <v>79</v>
      </c>
      <c r="C15" s="156">
        <f>+C9-C10-C14</f>
        <v>731575.221238944</v>
      </c>
      <c r="D15" s="156">
        <f>+D9-D10-D14</f>
        <v>731575.221238944</v>
      </c>
      <c r="E15" s="156">
        <f>+E9-E10-E14</f>
        <v>110824.592920354</v>
      </c>
      <c r="F15" s="156">
        <f t="shared" si="0"/>
        <v>1573975.03539824</v>
      </c>
      <c r="Q15" s="158" t="s">
        <v>79</v>
      </c>
      <c r="AG15" s="153" t="s">
        <v>80</v>
      </c>
      <c r="AH15" s="158" t="s">
        <v>79</v>
      </c>
    </row>
    <row r="16" spans="1:34">
      <c r="A16" s="145">
        <v>10</v>
      </c>
      <c r="B16" s="153" t="s">
        <v>81</v>
      </c>
      <c r="C16" s="159">
        <f>+C15/C9</f>
        <v>0.10301308411215</v>
      </c>
      <c r="D16" s="159">
        <f>+D15/D9</f>
        <v>0.10301308411215</v>
      </c>
      <c r="E16" s="159">
        <f>+E15/E9</f>
        <v>0.834878599999999</v>
      </c>
      <c r="F16" s="159">
        <f>+F15/F9</f>
        <v>0.109789616666668</v>
      </c>
      <c r="Q16" s="153" t="s">
        <v>81</v>
      </c>
      <c r="AG16" s="153" t="s">
        <v>82</v>
      </c>
      <c r="AH16" s="153" t="s">
        <v>81</v>
      </c>
    </row>
    <row r="17" spans="1:34">
      <c r="A17" s="145">
        <v>11</v>
      </c>
      <c r="B17" s="153" t="s">
        <v>83</v>
      </c>
      <c r="C17" s="156">
        <f>C6*C43+C18</f>
        <v>254732.300884956</v>
      </c>
      <c r="D17" s="156">
        <f>D6*D43+D18</f>
        <v>254732.300884956</v>
      </c>
      <c r="E17" s="156">
        <f>E6*E43+E18</f>
        <v>14172.5663716814</v>
      </c>
      <c r="F17" s="156">
        <f>+SUM(C17:E17)</f>
        <v>523637.168141593</v>
      </c>
      <c r="G17" s="157"/>
      <c r="Q17" s="153" t="s">
        <v>83</v>
      </c>
      <c r="AG17" s="153" t="s">
        <v>84</v>
      </c>
      <c r="AH17" s="153" t="s">
        <v>83</v>
      </c>
    </row>
    <row r="18" s="141" customFormat="1" spans="1:9">
      <c r="A18" s="145">
        <v>12</v>
      </c>
      <c r="B18" s="161" t="s">
        <v>163</v>
      </c>
      <c r="C18" s="162">
        <f>$F$18/$F$6*C6</f>
        <v>4750</v>
      </c>
      <c r="D18" s="162">
        <f>$F$18/$F$6*D6</f>
        <v>4750</v>
      </c>
      <c r="E18" s="162">
        <f>$F$18/$F$6*E6</f>
        <v>9500</v>
      </c>
      <c r="F18" s="156">
        <f>项目投资!E26</f>
        <v>19000</v>
      </c>
      <c r="G18" s="163" t="s">
        <v>164</v>
      </c>
      <c r="H18" s="163"/>
      <c r="I18" s="163"/>
    </row>
    <row r="19" spans="1:35">
      <c r="A19" s="145">
        <v>13</v>
      </c>
      <c r="B19" s="153" t="s">
        <v>85</v>
      </c>
      <c r="C19" s="156">
        <f>C6*C44</f>
        <v>71017.6991150442</v>
      </c>
      <c r="D19" s="156">
        <f>D6*D44</f>
        <v>71017.6991150442</v>
      </c>
      <c r="E19" s="156">
        <f>E6*E44</f>
        <v>1327.43362831859</v>
      </c>
      <c r="F19" s="156">
        <f>+SUM(C19:E19)</f>
        <v>143362.831858407</v>
      </c>
      <c r="G19" s="141"/>
      <c r="Q19" s="153" t="s">
        <v>85</v>
      </c>
      <c r="AG19" s="153" t="s">
        <v>86</v>
      </c>
      <c r="AH19" s="153" t="s">
        <v>85</v>
      </c>
      <c r="AI19" s="143" t="s">
        <v>58</v>
      </c>
    </row>
    <row r="20" spans="1:34">
      <c r="A20" s="145">
        <v>14</v>
      </c>
      <c r="B20" s="153" t="s">
        <v>87</v>
      </c>
      <c r="C20" s="156">
        <f>C6*C45</f>
        <v>71017.6991150442</v>
      </c>
      <c r="D20" s="156">
        <f>D6*D45</f>
        <v>71017.6991150442</v>
      </c>
      <c r="E20" s="156">
        <f>E6*E45</f>
        <v>1327.43362831859</v>
      </c>
      <c r="F20" s="156">
        <f>+SUM(C20:E20)</f>
        <v>143362.831858407</v>
      </c>
      <c r="Q20" s="153" t="s">
        <v>87</v>
      </c>
      <c r="AG20" s="153" t="s">
        <v>88</v>
      </c>
      <c r="AH20" s="153" t="s">
        <v>87</v>
      </c>
    </row>
    <row r="21" spans="1:34">
      <c r="A21" s="145">
        <v>15</v>
      </c>
      <c r="B21" s="153" t="s">
        <v>89</v>
      </c>
      <c r="C21" s="164">
        <f>$F$21/$F$6*C6</f>
        <v>6666.66666666667</v>
      </c>
      <c r="D21" s="164">
        <f>$F$21/$F$6*D6</f>
        <v>6666.66666666667</v>
      </c>
      <c r="E21" s="164">
        <f>$F$21/$F$6*E6</f>
        <v>13333.3333333333</v>
      </c>
      <c r="F21" s="156">
        <f>项目投资!E27</f>
        <v>26666.6666666667</v>
      </c>
      <c r="Q21" s="153" t="s">
        <v>89</v>
      </c>
      <c r="AG21" s="153"/>
      <c r="AH21" s="153"/>
    </row>
    <row r="22" spans="1:34">
      <c r="A22" s="145">
        <v>16</v>
      </c>
      <c r="B22" s="153" t="s">
        <v>90</v>
      </c>
      <c r="C22" s="156">
        <f>C6*C47</f>
        <v>71017.6991150442</v>
      </c>
      <c r="D22" s="156">
        <f>D6*D47</f>
        <v>71017.6991150442</v>
      </c>
      <c r="E22" s="156">
        <f>E6*E47</f>
        <v>1327.43362831859</v>
      </c>
      <c r="F22" s="156">
        <f>+SUM(C22:E22)</f>
        <v>143362.831858407</v>
      </c>
      <c r="Q22" s="153" t="s">
        <v>90</v>
      </c>
      <c r="AG22" s="153" t="s">
        <v>91</v>
      </c>
      <c r="AH22" s="153" t="s">
        <v>90</v>
      </c>
    </row>
    <row r="23" spans="1:34">
      <c r="A23" s="145">
        <v>17</v>
      </c>
      <c r="B23" s="158" t="s">
        <v>92</v>
      </c>
      <c r="C23" s="164">
        <f>+C22+C21+C20+C19+C17</f>
        <v>474452.064896755</v>
      </c>
      <c r="D23" s="164">
        <f>+D22+D21+D20+D19+D17</f>
        <v>474452.064896755</v>
      </c>
      <c r="E23" s="164">
        <f>+E22+E21+E20+E19+E17</f>
        <v>31488.2005899705</v>
      </c>
      <c r="F23" s="164">
        <f t="shared" ref="F23:K23" si="1">+F22+F21+F20+F19+F17</f>
        <v>980392.330383481</v>
      </c>
      <c r="Q23" s="158" t="s">
        <v>92</v>
      </c>
      <c r="AG23" s="153" t="s">
        <v>93</v>
      </c>
      <c r="AH23" s="158" t="s">
        <v>92</v>
      </c>
    </row>
    <row r="24" spans="1:34">
      <c r="A24" s="145">
        <v>18</v>
      </c>
      <c r="B24" s="165" t="s">
        <v>94</v>
      </c>
      <c r="C24" s="164">
        <f>+C15-C23</f>
        <v>257123.156342188</v>
      </c>
      <c r="D24" s="164">
        <f>+D15-D23</f>
        <v>257123.156342188</v>
      </c>
      <c r="E24" s="164">
        <f>+E15-E23</f>
        <v>79336.3923303831</v>
      </c>
      <c r="F24" s="164">
        <f t="shared" ref="F24:K24" si="2">+F15-F23</f>
        <v>593582.70501476</v>
      </c>
      <c r="H24" s="166"/>
      <c r="Q24" s="153" t="s">
        <v>94</v>
      </c>
      <c r="AG24" s="153" t="s">
        <v>95</v>
      </c>
      <c r="AH24" s="153" t="s">
        <v>94</v>
      </c>
    </row>
    <row r="25" spans="1:34">
      <c r="A25" s="145">
        <v>19</v>
      </c>
      <c r="B25" s="153" t="s">
        <v>165</v>
      </c>
      <c r="C25" s="164"/>
      <c r="D25" s="164"/>
      <c r="E25" s="164"/>
      <c r="F25" s="164">
        <f>IF(F24&lt;0,0,F24*0.25)</f>
        <v>148395.67625369</v>
      </c>
      <c r="G25" s="2"/>
      <c r="H25" s="2"/>
      <c r="I25" s="2"/>
      <c r="Q25" s="153" t="s">
        <v>38</v>
      </c>
      <c r="AG25" s="153" t="s">
        <v>96</v>
      </c>
      <c r="AH25" s="153" t="s">
        <v>38</v>
      </c>
    </row>
    <row r="26" spans="1:34">
      <c r="A26" s="145">
        <v>20</v>
      </c>
      <c r="B26" s="153" t="s">
        <v>97</v>
      </c>
      <c r="C26" s="164">
        <f>C24-C25</f>
        <v>257123.156342188</v>
      </c>
      <c r="D26" s="164">
        <f>D24-D25</f>
        <v>257123.156342188</v>
      </c>
      <c r="E26" s="164">
        <f>E24-E25</f>
        <v>79336.3923303831</v>
      </c>
      <c r="F26" s="156">
        <f>+SUM(C26:E26)</f>
        <v>593582.70501476</v>
      </c>
      <c r="G26" s="2"/>
      <c r="H26" s="2"/>
      <c r="I26" s="2"/>
      <c r="Q26" s="153" t="s">
        <v>97</v>
      </c>
      <c r="AG26" s="153" t="s">
        <v>98</v>
      </c>
      <c r="AH26" s="153" t="s">
        <v>97</v>
      </c>
    </row>
    <row r="27" spans="1:34">
      <c r="A27" s="145">
        <v>21</v>
      </c>
      <c r="B27" s="153" t="s">
        <v>101</v>
      </c>
      <c r="C27" s="167">
        <f>C26/C7</f>
        <v>0.0362055036344763</v>
      </c>
      <c r="D27" s="167">
        <f>D26/D7</f>
        <v>0.0362055036344763</v>
      </c>
      <c r="E27" s="167">
        <f>E26/E7</f>
        <v>0.597667488888888</v>
      </c>
      <c r="F27" s="168">
        <f t="shared" ref="F27:K27" si="3">F26/F7</f>
        <v>0.0414042257201654</v>
      </c>
      <c r="G27" s="2"/>
      <c r="H27" s="2"/>
      <c r="I27" s="2"/>
      <c r="Q27" s="153" t="s">
        <v>101</v>
      </c>
      <c r="AG27" s="153" t="s">
        <v>100</v>
      </c>
      <c r="AH27" s="153" t="s">
        <v>101</v>
      </c>
    </row>
    <row r="28" spans="7:17">
      <c r="G28" s="2"/>
      <c r="H28" s="2"/>
      <c r="I28" s="2"/>
      <c r="Q28" s="153"/>
    </row>
    <row r="29" spans="1:33">
      <c r="A29" s="143" t="s">
        <v>102</v>
      </c>
      <c r="F29" s="144" t="s">
        <v>166</v>
      </c>
      <c r="G29" s="2"/>
      <c r="H29" s="2"/>
      <c r="I29" s="2"/>
      <c r="Q29" s="153"/>
      <c r="AG29" s="143" t="s">
        <v>102</v>
      </c>
    </row>
    <row r="30" spans="1:34">
      <c r="A30" s="153" t="s">
        <v>103</v>
      </c>
      <c r="B30" s="158" t="s">
        <v>104</v>
      </c>
      <c r="C30" s="164"/>
      <c r="D30" s="164"/>
      <c r="E30" s="164"/>
      <c r="F30" s="164"/>
      <c r="G30" s="2"/>
      <c r="H30" s="2"/>
      <c r="I30" s="2"/>
      <c r="K30" s="2"/>
      <c r="Q30" s="158" t="s">
        <v>104</v>
      </c>
      <c r="AG30" s="153" t="s">
        <v>105</v>
      </c>
      <c r="AH30" s="158" t="s">
        <v>104</v>
      </c>
    </row>
    <row r="31" spans="1:34">
      <c r="A31" s="145">
        <v>1</v>
      </c>
      <c r="B31" s="161" t="s">
        <v>106</v>
      </c>
      <c r="C31" s="169">
        <f>销量!C8</f>
        <v>473.451327433628</v>
      </c>
      <c r="D31" s="169">
        <f>销量!D8</f>
        <v>473.451327433628</v>
      </c>
      <c r="E31" s="169">
        <f>销量!E8</f>
        <v>4.42477876106195</v>
      </c>
      <c r="F31" s="164"/>
      <c r="G31" s="2"/>
      <c r="H31" s="2"/>
      <c r="I31" s="2"/>
      <c r="K31" s="2"/>
      <c r="Q31" s="153" t="s">
        <v>106</v>
      </c>
      <c r="AG31" s="153" t="s">
        <v>60</v>
      </c>
      <c r="AH31" s="153" t="s">
        <v>106</v>
      </c>
    </row>
    <row r="32" spans="1:34">
      <c r="A32" s="145">
        <v>2</v>
      </c>
      <c r="B32" s="153" t="s">
        <v>167</v>
      </c>
      <c r="C32" s="156">
        <f>C31*1</f>
        <v>473.451327433628</v>
      </c>
      <c r="D32" s="156">
        <f>D31*1</f>
        <v>473.451327433628</v>
      </c>
      <c r="E32" s="156">
        <f>E31*1</f>
        <v>4.42477876106195</v>
      </c>
      <c r="F32" s="164"/>
      <c r="G32" s="2"/>
      <c r="H32" s="2"/>
      <c r="I32" s="2"/>
      <c r="J32" s="2"/>
      <c r="K32" s="2"/>
      <c r="L32" s="2"/>
      <c r="M32" s="2"/>
      <c r="AG32" s="153"/>
      <c r="AH32" s="153"/>
    </row>
    <row r="33" spans="1:34">
      <c r="A33" s="145">
        <v>3</v>
      </c>
      <c r="B33" s="161" t="s">
        <v>107</v>
      </c>
      <c r="C33" s="156">
        <f>材料成本!D27</f>
        <v>370</v>
      </c>
      <c r="D33" s="156">
        <f>材料成本!E27</f>
        <v>370</v>
      </c>
      <c r="E33" s="156">
        <f>材料成本!F27</f>
        <v>0.4439</v>
      </c>
      <c r="F33" s="164"/>
      <c r="H33" s="2"/>
      <c r="I33" s="2"/>
      <c r="J33" s="2"/>
      <c r="K33" s="2"/>
      <c r="L33" s="2"/>
      <c r="M33" s="2"/>
      <c r="Q33" s="153" t="s">
        <v>107</v>
      </c>
      <c r="AG33" s="153" t="s">
        <v>62</v>
      </c>
      <c r="AH33" s="153" t="s">
        <v>107</v>
      </c>
    </row>
    <row r="34" ht="17.25" customHeight="1" spans="1:34">
      <c r="A34" s="145">
        <v>4</v>
      </c>
      <c r="B34" s="153" t="s">
        <v>109</v>
      </c>
      <c r="C34" s="170">
        <f>C32-C33</f>
        <v>103.451327433628</v>
      </c>
      <c r="D34" s="170">
        <f>D32-D33</f>
        <v>103.451327433628</v>
      </c>
      <c r="E34" s="170">
        <f>E32-E33</f>
        <v>3.98087876106195</v>
      </c>
      <c r="F34" s="164"/>
      <c r="H34" s="2"/>
      <c r="I34" s="2"/>
      <c r="J34" s="2"/>
      <c r="K34" s="2"/>
      <c r="L34" s="2"/>
      <c r="M34" s="2"/>
      <c r="Q34" s="153" t="s">
        <v>109</v>
      </c>
      <c r="AG34" s="153" t="s">
        <v>108</v>
      </c>
      <c r="AH34" s="153" t="s">
        <v>109</v>
      </c>
    </row>
    <row r="35" spans="1:34">
      <c r="A35" s="153" t="s">
        <v>105</v>
      </c>
      <c r="B35" s="158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8" t="s">
        <v>10</v>
      </c>
      <c r="AG35" s="153" t="s">
        <v>111</v>
      </c>
      <c r="AH35" s="158" t="s">
        <v>10</v>
      </c>
    </row>
    <row r="36" spans="1:34">
      <c r="A36" s="145">
        <v>1</v>
      </c>
      <c r="B36" s="153" t="s">
        <v>112</v>
      </c>
      <c r="C36" s="162">
        <f>标准成本!E4</f>
        <v>15.6712389380531</v>
      </c>
      <c r="D36" s="162">
        <f>标准成本!E16</f>
        <v>15.6712389380531</v>
      </c>
      <c r="E36" s="162">
        <f>标准成本!E29</f>
        <v>0.146460176991151</v>
      </c>
      <c r="F36" s="169"/>
      <c r="G36" s="2"/>
      <c r="H36" s="2"/>
      <c r="I36" s="2"/>
      <c r="J36" s="2"/>
      <c r="K36" s="2"/>
      <c r="L36" s="2"/>
      <c r="M36" s="2"/>
      <c r="N36" s="2"/>
      <c r="O36" s="2"/>
      <c r="P36" s="2"/>
      <c r="Q36" s="153" t="s">
        <v>112</v>
      </c>
      <c r="AG36" s="153" t="s">
        <v>108</v>
      </c>
      <c r="AH36" s="153" t="s">
        <v>112</v>
      </c>
    </row>
    <row r="37" spans="1:34">
      <c r="A37" s="145">
        <v>2</v>
      </c>
      <c r="B37" s="153" t="s">
        <v>113</v>
      </c>
      <c r="C37" s="162">
        <f>标准成本!E6</f>
        <v>10.2738938053097</v>
      </c>
      <c r="D37" s="162">
        <f>标准成本!E18</f>
        <v>10.2738938053097</v>
      </c>
      <c r="E37" s="162">
        <f>标准成本!E31</f>
        <v>0.0960176991150443</v>
      </c>
      <c r="F37" s="169"/>
      <c r="G37" s="2"/>
      <c r="H37" s="2"/>
      <c r="I37" s="2"/>
      <c r="J37" s="2"/>
      <c r="K37" s="2"/>
      <c r="L37" s="2"/>
      <c r="M37" s="2"/>
      <c r="N37" s="2"/>
      <c r="O37" s="2"/>
      <c r="P37" s="2"/>
      <c r="Q37" s="153" t="s">
        <v>113</v>
      </c>
      <c r="AG37" s="153" t="s">
        <v>65</v>
      </c>
      <c r="AH37" s="153" t="s">
        <v>113</v>
      </c>
    </row>
    <row r="38" spans="1:34">
      <c r="A38" s="145">
        <v>3</v>
      </c>
      <c r="B38" s="153" t="s">
        <v>114</v>
      </c>
      <c r="C38" s="162">
        <f>标准成本!E10</f>
        <v>28.7345132743363</v>
      </c>
      <c r="D38" s="162">
        <f>标准成本!E22</f>
        <v>28.7345132743363</v>
      </c>
      <c r="E38" s="162">
        <f>标准成本!E35</f>
        <v>0.0442477876106195</v>
      </c>
      <c r="F38" s="169"/>
      <c r="G38" s="2"/>
      <c r="H38" s="2"/>
      <c r="I38" s="2"/>
      <c r="J38" s="2"/>
      <c r="K38" s="2"/>
      <c r="L38" s="2"/>
      <c r="M38" s="2"/>
      <c r="N38" s="2"/>
      <c r="O38" s="2"/>
      <c r="P38" s="2"/>
      <c r="Q38" s="153" t="s">
        <v>114</v>
      </c>
      <c r="AG38" s="153" t="s">
        <v>72</v>
      </c>
      <c r="AH38" s="153" t="s">
        <v>114</v>
      </c>
    </row>
    <row r="39" spans="1:34">
      <c r="A39" s="153" t="s">
        <v>111</v>
      </c>
      <c r="B39" s="158" t="s">
        <v>116</v>
      </c>
      <c r="C39" s="164"/>
      <c r="D39" s="164"/>
      <c r="E39" s="164"/>
      <c r="F39" s="164"/>
      <c r="Q39" s="158" t="s">
        <v>116</v>
      </c>
      <c r="AG39" s="153" t="s">
        <v>115</v>
      </c>
      <c r="AH39" s="158" t="s">
        <v>116</v>
      </c>
    </row>
    <row r="40" spans="1:34">
      <c r="A40" s="145">
        <v>1</v>
      </c>
      <c r="B40" s="153" t="s">
        <v>118</v>
      </c>
      <c r="C40" s="164">
        <f>C34-C36-C37-C38</f>
        <v>48.7716814159289</v>
      </c>
      <c r="D40" s="164">
        <f>D34-D36-D37-D38</f>
        <v>48.7716814159289</v>
      </c>
      <c r="E40" s="164">
        <f>E34-E36-E37-E38</f>
        <v>3.69415309734514</v>
      </c>
      <c r="F40" s="164"/>
      <c r="Q40" s="153" t="s">
        <v>118</v>
      </c>
      <c r="AG40" s="153" t="s">
        <v>60</v>
      </c>
      <c r="AH40" s="153" t="s">
        <v>118</v>
      </c>
    </row>
    <row r="41" spans="1:34">
      <c r="A41" s="145">
        <v>2</v>
      </c>
      <c r="B41" s="153" t="s">
        <v>119</v>
      </c>
      <c r="C41" s="164"/>
      <c r="D41" s="164"/>
      <c r="E41" s="164"/>
      <c r="F41" s="164"/>
      <c r="Q41" s="153" t="s">
        <v>119</v>
      </c>
      <c r="AG41" s="153" t="s">
        <v>62</v>
      </c>
      <c r="AH41" s="153" t="s">
        <v>119</v>
      </c>
    </row>
    <row r="42" spans="1:34">
      <c r="A42" s="153" t="s">
        <v>115</v>
      </c>
      <c r="B42" s="158" t="s">
        <v>121</v>
      </c>
      <c r="C42" s="164"/>
      <c r="D42" s="164"/>
      <c r="E42" s="164"/>
      <c r="F42" s="164"/>
      <c r="Q42" s="158" t="s">
        <v>121</v>
      </c>
      <c r="AG42" s="153" t="s">
        <v>120</v>
      </c>
      <c r="AH42" s="158" t="s">
        <v>121</v>
      </c>
    </row>
    <row r="43" spans="1:34">
      <c r="A43" s="145">
        <v>1</v>
      </c>
      <c r="B43" s="165" t="s">
        <v>122</v>
      </c>
      <c r="C43" s="162">
        <f>标准成本!E5</f>
        <v>16.6654867256637</v>
      </c>
      <c r="D43" s="162">
        <f>标准成本!E17</f>
        <v>16.6654867256637</v>
      </c>
      <c r="E43" s="162">
        <f>标准成本!E30</f>
        <v>0.155752212389381</v>
      </c>
      <c r="F43" s="164"/>
      <c r="Q43" s="153" t="s">
        <v>122</v>
      </c>
      <c r="AG43" s="153" t="s">
        <v>60</v>
      </c>
      <c r="AH43" s="153" t="s">
        <v>122</v>
      </c>
    </row>
    <row r="44" spans="1:34">
      <c r="A44" s="145">
        <v>2</v>
      </c>
      <c r="B44" s="165" t="s">
        <v>123</v>
      </c>
      <c r="C44" s="162">
        <f>标准成本!E9</f>
        <v>4.73451327433628</v>
      </c>
      <c r="D44" s="162">
        <f>标准成本!E21</f>
        <v>4.73451327433628</v>
      </c>
      <c r="E44" s="162">
        <f>标准成本!E34</f>
        <v>0.0442477876106195</v>
      </c>
      <c r="F44" s="164"/>
      <c r="Q44" s="153" t="s">
        <v>123</v>
      </c>
      <c r="AG44" s="153" t="s">
        <v>62</v>
      </c>
      <c r="AH44" s="153" t="s">
        <v>123</v>
      </c>
    </row>
    <row r="45" spans="1:34">
      <c r="A45" s="145">
        <v>3</v>
      </c>
      <c r="B45" s="165" t="s">
        <v>124</v>
      </c>
      <c r="C45" s="162">
        <f>标准成本!E8</f>
        <v>4.73451327433628</v>
      </c>
      <c r="D45" s="162">
        <f>标准成本!E20</f>
        <v>4.73451327433628</v>
      </c>
      <c r="E45" s="162">
        <f>标准成本!E33</f>
        <v>0.0442477876106195</v>
      </c>
      <c r="F45" s="164"/>
      <c r="Q45" s="153" t="s">
        <v>124</v>
      </c>
      <c r="AG45" s="153" t="s">
        <v>108</v>
      </c>
      <c r="AH45" s="153" t="s">
        <v>124</v>
      </c>
    </row>
    <row r="46" s="142" customFormat="1" spans="1:34">
      <c r="A46" s="145">
        <v>4</v>
      </c>
      <c r="B46" s="165" t="s">
        <v>125</v>
      </c>
      <c r="C46" s="171">
        <f>C21/C6</f>
        <v>0.444444444444444</v>
      </c>
      <c r="D46" s="171">
        <f>D21/D6</f>
        <v>0.444444444444444</v>
      </c>
      <c r="E46" s="171">
        <f>E21/E6</f>
        <v>0.444444444444444</v>
      </c>
      <c r="F46" s="171"/>
      <c r="Q46" s="165" t="s">
        <v>127</v>
      </c>
      <c r="AG46" s="165" t="s">
        <v>68</v>
      </c>
      <c r="AH46" s="165" t="s">
        <v>127</v>
      </c>
    </row>
    <row r="47" s="142" customFormat="1" spans="1:34">
      <c r="A47" s="145">
        <v>5</v>
      </c>
      <c r="B47" s="165" t="s">
        <v>127</v>
      </c>
      <c r="C47" s="171">
        <f>标准成本!E11</f>
        <v>4.73451327433628</v>
      </c>
      <c r="D47" s="171">
        <f>标准成本!E23</f>
        <v>4.73451327433628</v>
      </c>
      <c r="E47" s="171">
        <f>标准成本!E36</f>
        <v>0.0442477876106195</v>
      </c>
      <c r="F47" s="171"/>
      <c r="Q47" s="165" t="s">
        <v>127</v>
      </c>
      <c r="AG47" s="165" t="s">
        <v>68</v>
      </c>
      <c r="AH47" s="165" t="s">
        <v>127</v>
      </c>
    </row>
    <row r="48" spans="1:34">
      <c r="A48" s="153" t="s">
        <v>120</v>
      </c>
      <c r="B48" s="158" t="s">
        <v>138</v>
      </c>
      <c r="C48" s="164">
        <f>C40-C43-C44-C45-C47-C46</f>
        <v>17.458210422812</v>
      </c>
      <c r="D48" s="164">
        <f>D40-D43-D44-D45-D47-D46</f>
        <v>17.4582104228119</v>
      </c>
      <c r="E48" s="164">
        <f>E40-E43-E44-E45-E47-E46</f>
        <v>2.96121307767945</v>
      </c>
      <c r="F48" s="164"/>
      <c r="Q48" s="158" t="s">
        <v>138</v>
      </c>
      <c r="AG48" s="153" t="s">
        <v>137</v>
      </c>
      <c r="AH48" s="158" t="s">
        <v>138</v>
      </c>
    </row>
    <row r="51" spans="3:5">
      <c r="C51" s="172"/>
      <c r="D51" s="172"/>
      <c r="E51" s="172"/>
    </row>
    <row r="54" spans="2:11">
      <c r="B54" s="2"/>
      <c r="C54" s="173"/>
      <c r="D54" s="173"/>
      <c r="E54" s="173"/>
      <c r="F54" s="173"/>
      <c r="G54" s="2"/>
      <c r="H54" s="2"/>
      <c r="I54" s="2"/>
      <c r="J54" s="2"/>
      <c r="K54" s="2"/>
    </row>
    <row r="55" spans="2:11">
      <c r="B55" s="2"/>
      <c r="C55" s="173"/>
      <c r="D55" s="173"/>
      <c r="E55" s="173"/>
      <c r="F55" s="173"/>
      <c r="G55" s="2"/>
      <c r="H55" s="2"/>
      <c r="I55" s="2"/>
      <c r="J55" s="2"/>
      <c r="K55" s="2"/>
    </row>
    <row r="56" spans="2:11">
      <c r="B56" s="2"/>
      <c r="C56" s="173"/>
      <c r="D56" s="173"/>
      <c r="E56" s="173"/>
      <c r="F56" s="173"/>
      <c r="G56" s="2"/>
      <c r="H56" s="2"/>
      <c r="I56" s="2"/>
      <c r="J56" s="2"/>
      <c r="K56" s="2"/>
    </row>
    <row r="57" spans="2:11">
      <c r="B57" s="2"/>
      <c r="C57" s="173"/>
      <c r="D57" s="173"/>
      <c r="E57" s="173"/>
      <c r="F57" s="173"/>
      <c r="G57" s="2"/>
      <c r="H57" s="2"/>
      <c r="I57" s="2"/>
      <c r="J57" s="2"/>
      <c r="K57" s="2"/>
    </row>
    <row r="58" spans="2:11">
      <c r="B58" s="2"/>
      <c r="C58" s="173"/>
      <c r="D58" s="173"/>
      <c r="E58" s="173"/>
      <c r="F58" s="173"/>
      <c r="G58" s="2"/>
      <c r="H58" s="2"/>
      <c r="I58" s="2"/>
      <c r="J58" s="2"/>
      <c r="K58" s="2"/>
    </row>
    <row r="59" spans="2:11">
      <c r="B59" s="2"/>
      <c r="C59" s="173"/>
      <c r="D59" s="173"/>
      <c r="E59" s="173"/>
      <c r="F59" s="173"/>
      <c r="G59" s="2"/>
      <c r="H59" s="2"/>
      <c r="I59" s="2"/>
      <c r="J59" s="2"/>
      <c r="K59" s="2"/>
    </row>
    <row r="60" spans="2:11">
      <c r="B60" s="2"/>
      <c r="C60" s="173"/>
      <c r="D60" s="173"/>
      <c r="E60" s="173"/>
      <c r="F60" s="173"/>
      <c r="G60" s="2"/>
      <c r="H60" s="2"/>
      <c r="I60" s="2"/>
      <c r="J60" s="2"/>
      <c r="K60" s="2"/>
    </row>
    <row r="61" spans="2:11">
      <c r="B61" s="2"/>
      <c r="C61" s="173"/>
      <c r="D61" s="173"/>
      <c r="E61" s="173"/>
      <c r="F61" s="173"/>
      <c r="G61" s="2"/>
      <c r="H61" s="2"/>
      <c r="I61" s="2"/>
      <c r="J61" s="2"/>
      <c r="K61" s="2"/>
    </row>
    <row r="62" spans="2:11">
      <c r="B62" s="2"/>
      <c r="C62" s="173"/>
      <c r="D62" s="173"/>
      <c r="E62" s="173"/>
      <c r="F62" s="173"/>
      <c r="G62" s="2"/>
      <c r="H62" s="2"/>
      <c r="I62" s="2"/>
      <c r="J62" s="2"/>
      <c r="K62" s="2"/>
    </row>
    <row r="63" spans="2:11">
      <c r="B63" s="2"/>
      <c r="C63" s="173"/>
      <c r="D63" s="173"/>
      <c r="E63" s="173"/>
      <c r="F63" s="173"/>
      <c r="G63" s="2"/>
      <c r="H63" s="2"/>
      <c r="I63" s="2"/>
      <c r="J63" s="2"/>
      <c r="K63" s="2"/>
    </row>
    <row r="64" spans="2:11">
      <c r="B64" s="2"/>
      <c r="C64" s="173"/>
      <c r="D64" s="173"/>
      <c r="E64" s="173"/>
      <c r="F64" s="173"/>
      <c r="G64" s="2"/>
      <c r="H64" s="2"/>
      <c r="I64" s="2"/>
      <c r="J64" s="2"/>
      <c r="K64" s="2"/>
    </row>
    <row r="65" spans="2:11">
      <c r="B65" s="2"/>
      <c r="C65" s="173"/>
      <c r="D65" s="173"/>
      <c r="E65" s="173"/>
      <c r="F65" s="173"/>
      <c r="G65" s="2"/>
      <c r="H65" s="2"/>
      <c r="I65" s="2"/>
      <c r="J65" s="2"/>
      <c r="K65" s="2"/>
    </row>
    <row r="66" spans="2:11">
      <c r="B66" s="2"/>
      <c r="C66" s="173"/>
      <c r="D66" s="173"/>
      <c r="E66" s="173"/>
      <c r="F66" s="173"/>
      <c r="G66" s="2"/>
      <c r="H66" s="2"/>
      <c r="I66" s="2"/>
      <c r="J66" s="2"/>
      <c r="K66" s="2"/>
    </row>
    <row r="67" spans="2:7">
      <c r="B67" s="2"/>
      <c r="C67" s="173"/>
      <c r="D67" s="173"/>
      <c r="E67" s="173"/>
      <c r="F67" s="173"/>
      <c r="G67" s="2"/>
    </row>
    <row r="68" spans="2:7">
      <c r="B68" s="2"/>
      <c r="C68" s="173"/>
      <c r="D68" s="173"/>
      <c r="E68" s="173"/>
      <c r="F68" s="173"/>
      <c r="G68" s="2"/>
    </row>
    <row r="69" spans="2:7">
      <c r="B69" s="2"/>
      <c r="C69" s="173"/>
      <c r="D69" s="173"/>
      <c r="E69" s="173"/>
      <c r="F69" s="173"/>
      <c r="G69" s="2"/>
    </row>
    <row r="70" spans="2:7">
      <c r="B70" s="2"/>
      <c r="C70" s="173"/>
      <c r="D70" s="173"/>
      <c r="E70" s="173"/>
      <c r="F70" s="173"/>
      <c r="G70" s="2"/>
    </row>
    <row r="71" spans="2:7">
      <c r="B71" s="2"/>
      <c r="C71" s="173"/>
      <c r="D71" s="173"/>
      <c r="E71" s="173"/>
      <c r="F71" s="173"/>
      <c r="G71" s="2"/>
    </row>
    <row r="72" spans="2:7">
      <c r="B72" s="2"/>
      <c r="C72" s="173"/>
      <c r="D72" s="173"/>
      <c r="E72" s="173"/>
      <c r="F72" s="173"/>
      <c r="G72" s="2"/>
    </row>
    <row r="73" spans="2:7">
      <c r="B73" s="2"/>
      <c r="C73" s="173"/>
      <c r="D73" s="173"/>
      <c r="E73" s="173"/>
      <c r="F73" s="173"/>
      <c r="G73" s="2"/>
    </row>
    <row r="74" spans="2:7">
      <c r="B74" s="2"/>
      <c r="C74" s="173"/>
      <c r="D74" s="173"/>
      <c r="E74" s="173"/>
      <c r="F74" s="17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B20" sqref="B20:F21"/>
    </sheetView>
  </sheetViews>
  <sheetFormatPr defaultColWidth="9" defaultRowHeight="14.5"/>
  <cols>
    <col min="1" max="1" width="5.12727272727273" style="143" customWidth="1"/>
    <col min="2" max="2" width="17.5" style="143" customWidth="1"/>
    <col min="3" max="5" width="15.5454545454545" style="144" customWidth="1"/>
    <col min="6" max="6" width="18.7545454545455" style="144" customWidth="1"/>
    <col min="7" max="7" width="12.3727272727273" style="143" customWidth="1"/>
    <col min="8" max="8" width="10.1272727272727" style="143" customWidth="1"/>
    <col min="9" max="15" width="9" style="143" customWidth="1"/>
    <col min="16" max="32" width="9" style="143"/>
    <col min="33" max="33" width="4.37272727272727" style="143" customWidth="1"/>
    <col min="34" max="34" width="13.8727272727273" style="143" customWidth="1"/>
    <col min="35" max="16384" width="9" style="143"/>
  </cols>
  <sheetData>
    <row r="1" spans="1:6">
      <c r="A1" s="145" t="s">
        <v>148</v>
      </c>
      <c r="B1" s="145"/>
      <c r="C1" s="146" t="s">
        <v>169</v>
      </c>
      <c r="D1" s="147"/>
      <c r="E1" s="147"/>
      <c r="F1" s="148"/>
    </row>
    <row r="2" spans="1:6">
      <c r="A2" s="145" t="s">
        <v>150</v>
      </c>
      <c r="B2" s="145"/>
      <c r="C2" s="149" t="s">
        <v>151</v>
      </c>
      <c r="D2" s="149"/>
      <c r="E2" s="149"/>
      <c r="F2" s="149"/>
    </row>
    <row r="3" ht="16.5" spans="1:6">
      <c r="A3" s="145" t="s">
        <v>152</v>
      </c>
      <c r="B3" s="145"/>
      <c r="C3" s="21" t="s">
        <v>153</v>
      </c>
      <c r="D3" s="21" t="s">
        <v>154</v>
      </c>
      <c r="E3" s="21" t="s">
        <v>153</v>
      </c>
      <c r="F3" s="150" t="s">
        <v>56</v>
      </c>
    </row>
    <row r="4" ht="33" spans="1:6">
      <c r="A4" s="145" t="s">
        <v>155</v>
      </c>
      <c r="B4" s="145"/>
      <c r="C4" s="21" t="s">
        <v>156</v>
      </c>
      <c r="D4" s="24" t="s">
        <v>157</v>
      </c>
      <c r="E4" s="24" t="s">
        <v>158</v>
      </c>
      <c r="F4" s="151"/>
    </row>
    <row r="5" ht="16.5" spans="1:35">
      <c r="A5" s="145" t="s">
        <v>159</v>
      </c>
      <c r="B5" s="145"/>
      <c r="C5" s="80" t="s">
        <v>160</v>
      </c>
      <c r="D5" s="80" t="s">
        <v>160</v>
      </c>
      <c r="E5" s="24" t="s">
        <v>161</v>
      </c>
      <c r="F5" s="152"/>
      <c r="AI5" s="143" t="s">
        <v>57</v>
      </c>
    </row>
    <row r="6" ht="16.5" spans="1:35">
      <c r="A6" s="153" t="s">
        <v>21</v>
      </c>
      <c r="B6" s="154" t="s">
        <v>162</v>
      </c>
      <c r="C6" s="155">
        <f>销量!C11</f>
        <v>15000</v>
      </c>
      <c r="D6" s="155">
        <f>销量!D11</f>
        <v>15000</v>
      </c>
      <c r="E6" s="155">
        <f>销量!E11</f>
        <v>30000</v>
      </c>
      <c r="F6" s="156">
        <f>+SUM(C6:E6)</f>
        <v>60000</v>
      </c>
      <c r="Q6" s="154" t="s">
        <v>3</v>
      </c>
      <c r="AG6" s="153" t="s">
        <v>21</v>
      </c>
      <c r="AH6" s="154" t="s">
        <v>3</v>
      </c>
      <c r="AI6" s="143" t="s">
        <v>58</v>
      </c>
    </row>
    <row r="7" spans="1:35">
      <c r="A7" s="145">
        <v>1</v>
      </c>
      <c r="B7" s="154" t="s">
        <v>59</v>
      </c>
      <c r="C7" s="156">
        <f>C6*销量!C8</f>
        <v>7101769.91150443</v>
      </c>
      <c r="D7" s="156">
        <f>D6*销量!D8</f>
        <v>7101769.91150443</v>
      </c>
      <c r="E7" s="156">
        <f>E6*销量!E8</f>
        <v>132743.362831858</v>
      </c>
      <c r="F7" s="156">
        <f t="shared" ref="F6:F15" si="0">+SUM(C7:E7)</f>
        <v>14336283.1858407</v>
      </c>
      <c r="G7" s="144"/>
      <c r="Q7" s="154" t="s">
        <v>59</v>
      </c>
      <c r="AG7" s="153" t="s">
        <v>60</v>
      </c>
      <c r="AH7" s="154" t="s">
        <v>59</v>
      </c>
      <c r="AI7" s="143" t="s">
        <v>58</v>
      </c>
    </row>
    <row r="8" spans="1:35">
      <c r="A8" s="145">
        <v>2</v>
      </c>
      <c r="B8" s="145" t="s">
        <v>61</v>
      </c>
      <c r="C8" s="156">
        <f>C7*(1-销量!$L$8)</f>
        <v>0</v>
      </c>
      <c r="D8" s="156">
        <f>D7*(1-销量!$L$8)</f>
        <v>0</v>
      </c>
      <c r="E8" s="156">
        <f>E7*(1-销量!$L$8)</f>
        <v>0</v>
      </c>
      <c r="F8" s="156">
        <f t="shared" si="0"/>
        <v>0</v>
      </c>
      <c r="G8" s="157"/>
      <c r="Q8" s="145" t="s">
        <v>63</v>
      </c>
      <c r="AG8" s="153" t="s">
        <v>62</v>
      </c>
      <c r="AH8" s="145" t="s">
        <v>63</v>
      </c>
      <c r="AI8" s="143" t="s">
        <v>58</v>
      </c>
    </row>
    <row r="9" spans="1:35">
      <c r="A9" s="145">
        <v>3</v>
      </c>
      <c r="B9" s="154" t="s">
        <v>64</v>
      </c>
      <c r="C9" s="156">
        <f>+C7-C8</f>
        <v>7101769.91150443</v>
      </c>
      <c r="D9" s="156">
        <f>+D7-D8</f>
        <v>7101769.91150443</v>
      </c>
      <c r="E9" s="156">
        <f>+E7-E8</f>
        <v>132743.362831858</v>
      </c>
      <c r="F9" s="156">
        <f t="shared" si="0"/>
        <v>14336283.1858407</v>
      </c>
      <c r="Q9" s="154" t="s">
        <v>64</v>
      </c>
      <c r="AG9" s="153" t="s">
        <v>65</v>
      </c>
      <c r="AH9" s="154" t="s">
        <v>64</v>
      </c>
      <c r="AI9" s="143" t="s">
        <v>66</v>
      </c>
    </row>
    <row r="10" spans="1:35">
      <c r="A10" s="145">
        <v>4</v>
      </c>
      <c r="B10" s="153" t="s">
        <v>69</v>
      </c>
      <c r="C10" s="156">
        <f>C6*C33</f>
        <v>5550000</v>
      </c>
      <c r="D10" s="156">
        <f>D6*D33</f>
        <v>5550000</v>
      </c>
      <c r="E10" s="156">
        <f>E6*E33</f>
        <v>13317</v>
      </c>
      <c r="F10" s="156">
        <f t="shared" si="0"/>
        <v>11113317</v>
      </c>
      <c r="Q10" s="153" t="s">
        <v>69</v>
      </c>
      <c r="AG10" s="153" t="s">
        <v>68</v>
      </c>
      <c r="AH10" s="153" t="s">
        <v>69</v>
      </c>
      <c r="AI10" s="143" t="s">
        <v>70</v>
      </c>
    </row>
    <row r="11" spans="1:34">
      <c r="A11" s="145">
        <v>5</v>
      </c>
      <c r="B11" s="153" t="s">
        <v>71</v>
      </c>
      <c r="C11" s="156">
        <f>+C6*C36</f>
        <v>235068.584070796</v>
      </c>
      <c r="D11" s="156">
        <f>+D6*D36</f>
        <v>235068.584070796</v>
      </c>
      <c r="E11" s="156">
        <f>+E6*E36</f>
        <v>4393.80530973452</v>
      </c>
      <c r="F11" s="156">
        <f t="shared" si="0"/>
        <v>474530.973451327</v>
      </c>
      <c r="Q11" s="153" t="s">
        <v>71</v>
      </c>
      <c r="AG11" s="153" t="s">
        <v>72</v>
      </c>
      <c r="AH11" s="153" t="s">
        <v>71</v>
      </c>
    </row>
    <row r="12" spans="1:34">
      <c r="A12" s="145">
        <v>6</v>
      </c>
      <c r="B12" s="153" t="s">
        <v>73</v>
      </c>
      <c r="C12" s="156">
        <f>+C6*C37</f>
        <v>154108.407079646</v>
      </c>
      <c r="D12" s="156">
        <f>+D6*D37</f>
        <v>154108.407079646</v>
      </c>
      <c r="E12" s="156">
        <f>+E6*E37</f>
        <v>2880.53097345133</v>
      </c>
      <c r="F12" s="156">
        <f t="shared" si="0"/>
        <v>311097.345132743</v>
      </c>
      <c r="Q12" s="153" t="s">
        <v>73</v>
      </c>
      <c r="AG12" s="153" t="s">
        <v>74</v>
      </c>
      <c r="AH12" s="153" t="s">
        <v>73</v>
      </c>
    </row>
    <row r="13" spans="1:35">
      <c r="A13" s="145">
        <v>7</v>
      </c>
      <c r="B13" s="153" t="s">
        <v>75</v>
      </c>
      <c r="C13" s="156">
        <f>+C6*C38</f>
        <v>431017.699115044</v>
      </c>
      <c r="D13" s="156">
        <f>+D6*D38</f>
        <v>431017.699115044</v>
      </c>
      <c r="E13" s="156">
        <f>+E6*E38</f>
        <v>1327.43362831859</v>
      </c>
      <c r="F13" s="156">
        <f t="shared" si="0"/>
        <v>863362.831858407</v>
      </c>
      <c r="Q13" s="153" t="s">
        <v>75</v>
      </c>
      <c r="AG13" s="153" t="s">
        <v>76</v>
      </c>
      <c r="AH13" s="153" t="s">
        <v>75</v>
      </c>
      <c r="AI13" s="143" t="s">
        <v>58</v>
      </c>
    </row>
    <row r="14" spans="1:34">
      <c r="A14" s="145">
        <v>8</v>
      </c>
      <c r="B14" s="158" t="s">
        <v>77</v>
      </c>
      <c r="C14" s="156">
        <f>SUM(C11:C13)</f>
        <v>820194.690265486</v>
      </c>
      <c r="D14" s="156">
        <f>SUM(D11:D13)</f>
        <v>820194.690265486</v>
      </c>
      <c r="E14" s="156">
        <f>SUM(E11:E13)</f>
        <v>8601.76991150443</v>
      </c>
      <c r="F14" s="156">
        <f t="shared" si="0"/>
        <v>1648991.15044248</v>
      </c>
      <c r="Q14" s="158" t="s">
        <v>77</v>
      </c>
      <c r="AG14" s="153" t="s">
        <v>78</v>
      </c>
      <c r="AH14" s="158" t="s">
        <v>77</v>
      </c>
    </row>
    <row r="15" spans="1:34">
      <c r="A15" s="145">
        <v>9</v>
      </c>
      <c r="B15" s="158" t="s">
        <v>79</v>
      </c>
      <c r="C15" s="156">
        <f>+C9-C10-C14</f>
        <v>731575.221238944</v>
      </c>
      <c r="D15" s="156">
        <f>+D9-D10-D14</f>
        <v>731575.221238944</v>
      </c>
      <c r="E15" s="156">
        <f>+E9-E10-E14</f>
        <v>110824.592920354</v>
      </c>
      <c r="F15" s="156">
        <f t="shared" si="0"/>
        <v>1573975.03539824</v>
      </c>
      <c r="Q15" s="158" t="s">
        <v>79</v>
      </c>
      <c r="AG15" s="153" t="s">
        <v>80</v>
      </c>
      <c r="AH15" s="158" t="s">
        <v>79</v>
      </c>
    </row>
    <row r="16" spans="1:34">
      <c r="A16" s="145">
        <v>10</v>
      </c>
      <c r="B16" s="153" t="s">
        <v>81</v>
      </c>
      <c r="C16" s="159">
        <f>+C15/C9</f>
        <v>0.10301308411215</v>
      </c>
      <c r="D16" s="159">
        <f>+D15/D9</f>
        <v>0.10301308411215</v>
      </c>
      <c r="E16" s="159">
        <f>+E15/E9</f>
        <v>0.834878599999999</v>
      </c>
      <c r="F16" s="159">
        <f t="shared" ref="F16:K16" si="1">+F15/F9</f>
        <v>0.109789616666668</v>
      </c>
      <c r="G16" s="160"/>
      <c r="H16" s="160"/>
      <c r="I16" s="160"/>
      <c r="Q16" s="153" t="s">
        <v>81</v>
      </c>
      <c r="AG16" s="153" t="s">
        <v>82</v>
      </c>
      <c r="AH16" s="153" t="s">
        <v>81</v>
      </c>
    </row>
    <row r="17" spans="1:34">
      <c r="A17" s="145">
        <v>11</v>
      </c>
      <c r="B17" s="153" t="s">
        <v>83</v>
      </c>
      <c r="C17" s="156">
        <f>C6*C43+C18</f>
        <v>254732.300884956</v>
      </c>
      <c r="D17" s="156">
        <f>D6*D43+D18</f>
        <v>254732.300884956</v>
      </c>
      <c r="E17" s="156">
        <f>E6*E43+E18</f>
        <v>14172.5663716814</v>
      </c>
      <c r="F17" s="156">
        <f>+SUM(C17:E17)</f>
        <v>523637.168141593</v>
      </c>
      <c r="G17" s="157"/>
      <c r="Q17" s="153" t="s">
        <v>83</v>
      </c>
      <c r="AG17" s="153" t="s">
        <v>84</v>
      </c>
      <c r="AH17" s="153" t="s">
        <v>83</v>
      </c>
    </row>
    <row r="18" s="141" customFormat="1" spans="1:9">
      <c r="A18" s="145">
        <v>12</v>
      </c>
      <c r="B18" s="161" t="s">
        <v>163</v>
      </c>
      <c r="C18" s="162">
        <f>$F$18/$F$6*C6</f>
        <v>4750</v>
      </c>
      <c r="D18" s="162">
        <f>$F$18/$F$6*D6</f>
        <v>4750</v>
      </c>
      <c r="E18" s="162">
        <f>$F$18/$F$6*E6</f>
        <v>9500</v>
      </c>
      <c r="F18" s="156">
        <f>项目投资!F26</f>
        <v>19000</v>
      </c>
      <c r="G18" s="163" t="s">
        <v>164</v>
      </c>
      <c r="H18" s="163"/>
      <c r="I18" s="163"/>
    </row>
    <row r="19" spans="1:35">
      <c r="A19" s="145">
        <v>13</v>
      </c>
      <c r="B19" s="153" t="s">
        <v>85</v>
      </c>
      <c r="C19" s="156">
        <f>C6*C44</f>
        <v>71017.6991150442</v>
      </c>
      <c r="D19" s="156">
        <f>D6*D44</f>
        <v>71017.6991150442</v>
      </c>
      <c r="E19" s="156">
        <f>E6*E44</f>
        <v>1327.43362831859</v>
      </c>
      <c r="F19" s="156">
        <f>+SUM(C19:E19)</f>
        <v>143362.831858407</v>
      </c>
      <c r="G19" s="141"/>
      <c r="Q19" s="153" t="s">
        <v>85</v>
      </c>
      <c r="AG19" s="153" t="s">
        <v>86</v>
      </c>
      <c r="AH19" s="153" t="s">
        <v>85</v>
      </c>
      <c r="AI19" s="143" t="s">
        <v>58</v>
      </c>
    </row>
    <row r="20" spans="1:34">
      <c r="A20" s="145">
        <v>14</v>
      </c>
      <c r="B20" s="153" t="s">
        <v>87</v>
      </c>
      <c r="C20" s="156">
        <f>C6*C45</f>
        <v>71017.6991150442</v>
      </c>
      <c r="D20" s="156">
        <f>D6*D45</f>
        <v>71017.6991150442</v>
      </c>
      <c r="E20" s="156">
        <f>E6*E45</f>
        <v>1327.43362831859</v>
      </c>
      <c r="F20" s="156">
        <f>+SUM(C20:E20)</f>
        <v>143362.831858407</v>
      </c>
      <c r="Q20" s="153" t="s">
        <v>87</v>
      </c>
      <c r="AG20" s="153" t="s">
        <v>88</v>
      </c>
      <c r="AH20" s="153" t="s">
        <v>87</v>
      </c>
    </row>
    <row r="21" spans="1:34">
      <c r="A21" s="145">
        <v>15</v>
      </c>
      <c r="B21" s="153" t="s">
        <v>89</v>
      </c>
      <c r="C21" s="164">
        <f>$F$21/$F$6*C6</f>
        <v>6666.66666666667</v>
      </c>
      <c r="D21" s="164">
        <f>$F$21/$F$6*D6</f>
        <v>6666.66666666667</v>
      </c>
      <c r="E21" s="164">
        <f>$F$21/$F$6*E6</f>
        <v>13333.3333333333</v>
      </c>
      <c r="F21" s="156">
        <f>项目投资!F27</f>
        <v>26666.6666666667</v>
      </c>
      <c r="Q21" s="153" t="s">
        <v>89</v>
      </c>
      <c r="AG21" s="153"/>
      <c r="AH21" s="153"/>
    </row>
    <row r="22" spans="1:34">
      <c r="A22" s="145">
        <v>16</v>
      </c>
      <c r="B22" s="153" t="s">
        <v>90</v>
      </c>
      <c r="C22" s="156">
        <f>C6*C47</f>
        <v>71017.6991150442</v>
      </c>
      <c r="D22" s="156">
        <f>D6*D47</f>
        <v>71017.6991150442</v>
      </c>
      <c r="E22" s="156">
        <f>E6*E47</f>
        <v>1327.43362831859</v>
      </c>
      <c r="F22" s="156">
        <f>+SUM(C22:E22)</f>
        <v>143362.831858407</v>
      </c>
      <c r="Q22" s="153" t="s">
        <v>90</v>
      </c>
      <c r="AG22" s="153" t="s">
        <v>91</v>
      </c>
      <c r="AH22" s="153" t="s">
        <v>90</v>
      </c>
    </row>
    <row r="23" spans="1:34">
      <c r="A23" s="145">
        <v>17</v>
      </c>
      <c r="B23" s="158" t="s">
        <v>92</v>
      </c>
      <c r="C23" s="164">
        <f>+C22+C21+C20+C19+C17</f>
        <v>474452.064896755</v>
      </c>
      <c r="D23" s="164">
        <f>+D22+D21+D20+D19+D17</f>
        <v>474452.064896755</v>
      </c>
      <c r="E23" s="164">
        <f>+E22+E21+E20+E19+E17</f>
        <v>31488.2005899705</v>
      </c>
      <c r="F23" s="164">
        <f t="shared" ref="F23:K23" si="2">+F22+F21+F20+F19+F17</f>
        <v>980392.330383481</v>
      </c>
      <c r="Q23" s="158" t="s">
        <v>92</v>
      </c>
      <c r="AG23" s="153" t="s">
        <v>93</v>
      </c>
      <c r="AH23" s="158" t="s">
        <v>92</v>
      </c>
    </row>
    <row r="24" spans="1:34">
      <c r="A24" s="145">
        <v>18</v>
      </c>
      <c r="B24" s="165" t="s">
        <v>94</v>
      </c>
      <c r="C24" s="164">
        <f>+C15-C23</f>
        <v>257123.156342188</v>
      </c>
      <c r="D24" s="164">
        <f>+D15-D23</f>
        <v>257123.156342188</v>
      </c>
      <c r="E24" s="164">
        <f>+E15-E23</f>
        <v>79336.3923303831</v>
      </c>
      <c r="F24" s="164">
        <f t="shared" ref="F24:K24" si="3">+F15-F23</f>
        <v>593582.70501476</v>
      </c>
      <c r="H24" s="166"/>
      <c r="Q24" s="153" t="s">
        <v>94</v>
      </c>
      <c r="AG24" s="153" t="s">
        <v>95</v>
      </c>
      <c r="AH24" s="153" t="s">
        <v>94</v>
      </c>
    </row>
    <row r="25" spans="1:34">
      <c r="A25" s="145">
        <v>19</v>
      </c>
      <c r="B25" s="153" t="s">
        <v>165</v>
      </c>
      <c r="C25" s="164"/>
      <c r="D25" s="164"/>
      <c r="E25" s="164"/>
      <c r="F25" s="164">
        <f>IF(F24&lt;0,0,F24*0.25)</f>
        <v>148395.67625369</v>
      </c>
      <c r="G25" s="2"/>
      <c r="H25" s="2"/>
      <c r="I25" s="2"/>
      <c r="Q25" s="153" t="s">
        <v>38</v>
      </c>
      <c r="AG25" s="153" t="s">
        <v>96</v>
      </c>
      <c r="AH25" s="153" t="s">
        <v>38</v>
      </c>
    </row>
    <row r="26" spans="1:34">
      <c r="A26" s="145">
        <v>20</v>
      </c>
      <c r="B26" s="153" t="s">
        <v>97</v>
      </c>
      <c r="C26" s="164">
        <f>C24-C25</f>
        <v>257123.156342188</v>
      </c>
      <c r="D26" s="164">
        <f>D24-D25</f>
        <v>257123.156342188</v>
      </c>
      <c r="E26" s="164">
        <f>E24-E25</f>
        <v>79336.3923303831</v>
      </c>
      <c r="F26" s="156">
        <f>+SUM(C26:E26)</f>
        <v>593582.70501476</v>
      </c>
      <c r="G26" s="2"/>
      <c r="H26" s="2"/>
      <c r="I26" s="2"/>
      <c r="Q26" s="153" t="s">
        <v>97</v>
      </c>
      <c r="AG26" s="153" t="s">
        <v>98</v>
      </c>
      <c r="AH26" s="153" t="s">
        <v>97</v>
      </c>
    </row>
    <row r="27" spans="1:34">
      <c r="A27" s="145">
        <v>21</v>
      </c>
      <c r="B27" s="153" t="s">
        <v>101</v>
      </c>
      <c r="C27" s="167">
        <f>C26/C7</f>
        <v>0.0362055036344763</v>
      </c>
      <c r="D27" s="167">
        <f>D26/D7</f>
        <v>0.0362055036344763</v>
      </c>
      <c r="E27" s="167">
        <f>E26/E7</f>
        <v>0.597667488888888</v>
      </c>
      <c r="F27" s="168">
        <f t="shared" ref="F27:K27" si="4">F26/F7</f>
        <v>0.0414042257201654</v>
      </c>
      <c r="G27" s="2"/>
      <c r="H27" s="2"/>
      <c r="I27" s="2"/>
      <c r="Q27" s="153" t="s">
        <v>101</v>
      </c>
      <c r="AG27" s="153" t="s">
        <v>100</v>
      </c>
      <c r="AH27" s="153" t="s">
        <v>101</v>
      </c>
    </row>
    <row r="28" spans="7:17">
      <c r="G28" s="2"/>
      <c r="H28" s="2"/>
      <c r="I28" s="2"/>
      <c r="Q28" s="153"/>
    </row>
    <row r="29" spans="1:33">
      <c r="A29" s="143" t="s">
        <v>102</v>
      </c>
      <c r="F29" s="144" t="s">
        <v>166</v>
      </c>
      <c r="G29" s="2"/>
      <c r="H29" s="2"/>
      <c r="I29" s="2"/>
      <c r="Q29" s="153"/>
      <c r="AG29" s="143" t="s">
        <v>102</v>
      </c>
    </row>
    <row r="30" spans="1:34">
      <c r="A30" s="153" t="s">
        <v>103</v>
      </c>
      <c r="B30" s="158" t="s">
        <v>104</v>
      </c>
      <c r="C30" s="164"/>
      <c r="D30" s="164"/>
      <c r="E30" s="164"/>
      <c r="F30" s="164"/>
      <c r="G30" s="2"/>
      <c r="H30" s="2"/>
      <c r="I30" s="2"/>
      <c r="K30" s="2"/>
      <c r="Q30" s="158" t="s">
        <v>104</v>
      </c>
      <c r="AG30" s="153" t="s">
        <v>105</v>
      </c>
      <c r="AH30" s="158" t="s">
        <v>104</v>
      </c>
    </row>
    <row r="31" spans="1:34">
      <c r="A31" s="145">
        <v>1</v>
      </c>
      <c r="B31" s="161" t="s">
        <v>106</v>
      </c>
      <c r="C31" s="169">
        <f>销量!C8</f>
        <v>473.451327433628</v>
      </c>
      <c r="D31" s="169">
        <f>销量!D8</f>
        <v>473.451327433628</v>
      </c>
      <c r="E31" s="169">
        <f>销量!E8</f>
        <v>4.42477876106195</v>
      </c>
      <c r="F31" s="164"/>
      <c r="G31" s="2"/>
      <c r="H31" s="2"/>
      <c r="I31" s="2"/>
      <c r="K31" s="2"/>
      <c r="Q31" s="153" t="s">
        <v>106</v>
      </c>
      <c r="AG31" s="153" t="s">
        <v>60</v>
      </c>
      <c r="AH31" s="153" t="s">
        <v>106</v>
      </c>
    </row>
    <row r="32" spans="1:34">
      <c r="A32" s="145">
        <v>2</v>
      </c>
      <c r="B32" s="153" t="s">
        <v>167</v>
      </c>
      <c r="C32" s="156">
        <f>C31*1</f>
        <v>473.451327433628</v>
      </c>
      <c r="D32" s="156">
        <f>D31*1</f>
        <v>473.451327433628</v>
      </c>
      <c r="E32" s="156">
        <f>E31*1</f>
        <v>4.42477876106195</v>
      </c>
      <c r="F32" s="164"/>
      <c r="G32" s="2"/>
      <c r="H32" s="2"/>
      <c r="I32" s="2"/>
      <c r="J32" s="2"/>
      <c r="K32" s="2"/>
      <c r="L32" s="2"/>
      <c r="M32" s="2"/>
      <c r="AG32" s="153"/>
      <c r="AH32" s="153"/>
    </row>
    <row r="33" spans="1:34">
      <c r="A33" s="145">
        <v>3</v>
      </c>
      <c r="B33" s="161" t="s">
        <v>107</v>
      </c>
      <c r="C33" s="156">
        <f>材料成本!D28</f>
        <v>370</v>
      </c>
      <c r="D33" s="156">
        <f>材料成本!E28</f>
        <v>370</v>
      </c>
      <c r="E33" s="156">
        <f>材料成本!F28</f>
        <v>0.4439</v>
      </c>
      <c r="F33" s="164"/>
      <c r="H33" s="2"/>
      <c r="I33" s="2"/>
      <c r="J33" s="2"/>
      <c r="K33" s="2"/>
      <c r="L33" s="2"/>
      <c r="M33" s="2"/>
      <c r="Q33" s="153" t="s">
        <v>107</v>
      </c>
      <c r="AG33" s="153" t="s">
        <v>62</v>
      </c>
      <c r="AH33" s="153" t="s">
        <v>107</v>
      </c>
    </row>
    <row r="34" ht="17.25" customHeight="1" spans="1:34">
      <c r="A34" s="145">
        <v>4</v>
      </c>
      <c r="B34" s="153" t="s">
        <v>109</v>
      </c>
      <c r="C34" s="170">
        <f>C32-C33</f>
        <v>103.451327433628</v>
      </c>
      <c r="D34" s="170">
        <f>D32-D33</f>
        <v>103.451327433628</v>
      </c>
      <c r="E34" s="170">
        <f>E32-E33</f>
        <v>3.98087876106195</v>
      </c>
      <c r="F34" s="164"/>
      <c r="H34" s="2"/>
      <c r="I34" s="2"/>
      <c r="J34" s="2"/>
      <c r="K34" s="2"/>
      <c r="L34" s="2"/>
      <c r="M34" s="2"/>
      <c r="Q34" s="153" t="s">
        <v>109</v>
      </c>
      <c r="AG34" s="153" t="s">
        <v>108</v>
      </c>
      <c r="AH34" s="153" t="s">
        <v>109</v>
      </c>
    </row>
    <row r="35" spans="1:34">
      <c r="A35" s="153" t="s">
        <v>105</v>
      </c>
      <c r="B35" s="158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8" t="s">
        <v>10</v>
      </c>
      <c r="AG35" s="153" t="s">
        <v>111</v>
      </c>
      <c r="AH35" s="158" t="s">
        <v>10</v>
      </c>
    </row>
    <row r="36" spans="1:34">
      <c r="A36" s="145">
        <v>1</v>
      </c>
      <c r="B36" s="153" t="s">
        <v>112</v>
      </c>
      <c r="C36" s="162">
        <f>标准成本!E4</f>
        <v>15.6712389380531</v>
      </c>
      <c r="D36" s="162">
        <f>标准成本!E16</f>
        <v>15.6712389380531</v>
      </c>
      <c r="E36" s="162">
        <f>标准成本!E29</f>
        <v>0.146460176991151</v>
      </c>
      <c r="F36" s="169"/>
      <c r="G36" s="2"/>
      <c r="H36" s="2"/>
      <c r="I36" s="2"/>
      <c r="J36" s="2"/>
      <c r="K36" s="2"/>
      <c r="L36" s="2"/>
      <c r="M36" s="2"/>
      <c r="N36" s="2"/>
      <c r="O36" s="2"/>
      <c r="P36" s="2"/>
      <c r="Q36" s="153" t="s">
        <v>112</v>
      </c>
      <c r="AG36" s="153" t="s">
        <v>108</v>
      </c>
      <c r="AH36" s="153" t="s">
        <v>112</v>
      </c>
    </row>
    <row r="37" spans="1:34">
      <c r="A37" s="145">
        <v>2</v>
      </c>
      <c r="B37" s="153" t="s">
        <v>113</v>
      </c>
      <c r="C37" s="162">
        <f>标准成本!E6</f>
        <v>10.2738938053097</v>
      </c>
      <c r="D37" s="162">
        <f>标准成本!E18</f>
        <v>10.2738938053097</v>
      </c>
      <c r="E37" s="162">
        <f>标准成本!E31</f>
        <v>0.0960176991150443</v>
      </c>
      <c r="F37" s="169"/>
      <c r="G37" s="2"/>
      <c r="H37" s="2"/>
      <c r="I37" s="2"/>
      <c r="J37" s="2"/>
      <c r="K37" s="2"/>
      <c r="L37" s="2"/>
      <c r="M37" s="2"/>
      <c r="N37" s="2"/>
      <c r="O37" s="2"/>
      <c r="P37" s="2"/>
      <c r="Q37" s="153" t="s">
        <v>113</v>
      </c>
      <c r="AG37" s="153" t="s">
        <v>65</v>
      </c>
      <c r="AH37" s="153" t="s">
        <v>113</v>
      </c>
    </row>
    <row r="38" spans="1:34">
      <c r="A38" s="145">
        <v>3</v>
      </c>
      <c r="B38" s="153" t="s">
        <v>114</v>
      </c>
      <c r="C38" s="162">
        <f>标准成本!E10</f>
        <v>28.7345132743363</v>
      </c>
      <c r="D38" s="162">
        <f>标准成本!E22</f>
        <v>28.7345132743363</v>
      </c>
      <c r="E38" s="162">
        <f>标准成本!E35</f>
        <v>0.0442477876106195</v>
      </c>
      <c r="F38" s="169"/>
      <c r="G38" s="2"/>
      <c r="H38" s="2"/>
      <c r="I38" s="2"/>
      <c r="J38" s="2"/>
      <c r="K38" s="2"/>
      <c r="L38" s="2"/>
      <c r="M38" s="2"/>
      <c r="N38" s="2"/>
      <c r="O38" s="2"/>
      <c r="P38" s="2"/>
      <c r="Q38" s="153" t="s">
        <v>114</v>
      </c>
      <c r="AG38" s="153" t="s">
        <v>72</v>
      </c>
      <c r="AH38" s="153" t="s">
        <v>114</v>
      </c>
    </row>
    <row r="39" spans="1:34">
      <c r="A39" s="153" t="s">
        <v>111</v>
      </c>
      <c r="B39" s="158" t="s">
        <v>116</v>
      </c>
      <c r="C39" s="164"/>
      <c r="D39" s="164"/>
      <c r="E39" s="164"/>
      <c r="F39" s="164"/>
      <c r="Q39" s="158" t="s">
        <v>116</v>
      </c>
      <c r="AG39" s="153" t="s">
        <v>115</v>
      </c>
      <c r="AH39" s="158" t="s">
        <v>116</v>
      </c>
    </row>
    <row r="40" spans="1:34">
      <c r="A40" s="145">
        <v>1</v>
      </c>
      <c r="B40" s="153" t="s">
        <v>118</v>
      </c>
      <c r="C40" s="164">
        <f>C34-C36-C37-C38</f>
        <v>48.7716814159289</v>
      </c>
      <c r="D40" s="164">
        <f>D34-D36-D37-D38</f>
        <v>48.7716814159289</v>
      </c>
      <c r="E40" s="164">
        <f>E34-E36-E37-E38</f>
        <v>3.69415309734514</v>
      </c>
      <c r="F40" s="164"/>
      <c r="Q40" s="153" t="s">
        <v>118</v>
      </c>
      <c r="AG40" s="153" t="s">
        <v>60</v>
      </c>
      <c r="AH40" s="153" t="s">
        <v>118</v>
      </c>
    </row>
    <row r="41" spans="1:34">
      <c r="A41" s="145">
        <v>2</v>
      </c>
      <c r="B41" s="153" t="s">
        <v>119</v>
      </c>
      <c r="C41" s="164"/>
      <c r="D41" s="164"/>
      <c r="E41" s="164"/>
      <c r="F41" s="164"/>
      <c r="Q41" s="153" t="s">
        <v>119</v>
      </c>
      <c r="AG41" s="153" t="s">
        <v>62</v>
      </c>
      <c r="AH41" s="153" t="s">
        <v>119</v>
      </c>
    </row>
    <row r="42" spans="1:34">
      <c r="A42" s="153" t="s">
        <v>115</v>
      </c>
      <c r="B42" s="158" t="s">
        <v>121</v>
      </c>
      <c r="C42" s="164"/>
      <c r="D42" s="164"/>
      <c r="E42" s="164"/>
      <c r="F42" s="164"/>
      <c r="Q42" s="158" t="s">
        <v>121</v>
      </c>
      <c r="AG42" s="153" t="s">
        <v>120</v>
      </c>
      <c r="AH42" s="158" t="s">
        <v>121</v>
      </c>
    </row>
    <row r="43" spans="1:34">
      <c r="A43" s="145">
        <v>1</v>
      </c>
      <c r="B43" s="165" t="s">
        <v>122</v>
      </c>
      <c r="C43" s="162">
        <f>标准成本!E5</f>
        <v>16.6654867256637</v>
      </c>
      <c r="D43" s="162">
        <f>标准成本!E17</f>
        <v>16.6654867256637</v>
      </c>
      <c r="E43" s="162">
        <f>标准成本!E30</f>
        <v>0.155752212389381</v>
      </c>
      <c r="F43" s="164"/>
      <c r="Q43" s="153" t="s">
        <v>122</v>
      </c>
      <c r="AG43" s="153" t="s">
        <v>60</v>
      </c>
      <c r="AH43" s="153" t="s">
        <v>122</v>
      </c>
    </row>
    <row r="44" spans="1:34">
      <c r="A44" s="145">
        <v>2</v>
      </c>
      <c r="B44" s="165" t="s">
        <v>123</v>
      </c>
      <c r="C44" s="162">
        <f>标准成本!E9</f>
        <v>4.73451327433628</v>
      </c>
      <c r="D44" s="162">
        <f>标准成本!E21</f>
        <v>4.73451327433628</v>
      </c>
      <c r="E44" s="162">
        <f>标准成本!E34</f>
        <v>0.0442477876106195</v>
      </c>
      <c r="F44" s="164"/>
      <c r="Q44" s="153" t="s">
        <v>123</v>
      </c>
      <c r="AG44" s="153" t="s">
        <v>62</v>
      </c>
      <c r="AH44" s="153" t="s">
        <v>123</v>
      </c>
    </row>
    <row r="45" spans="1:34">
      <c r="A45" s="145">
        <v>3</v>
      </c>
      <c r="B45" s="165" t="s">
        <v>124</v>
      </c>
      <c r="C45" s="162">
        <f>标准成本!E8</f>
        <v>4.73451327433628</v>
      </c>
      <c r="D45" s="162">
        <f>标准成本!E20</f>
        <v>4.73451327433628</v>
      </c>
      <c r="E45" s="162">
        <f>标准成本!E33</f>
        <v>0.0442477876106195</v>
      </c>
      <c r="F45" s="164"/>
      <c r="Q45" s="153" t="s">
        <v>124</v>
      </c>
      <c r="AG45" s="153" t="s">
        <v>108</v>
      </c>
      <c r="AH45" s="153" t="s">
        <v>124</v>
      </c>
    </row>
    <row r="46" s="142" customFormat="1" spans="1:34">
      <c r="A46" s="145">
        <v>4</v>
      </c>
      <c r="B46" s="165" t="s">
        <v>125</v>
      </c>
      <c r="C46" s="171">
        <f>C21/C6</f>
        <v>0.444444444444444</v>
      </c>
      <c r="D46" s="171">
        <f>D21/D6</f>
        <v>0.444444444444444</v>
      </c>
      <c r="E46" s="171">
        <f>E21/E6</f>
        <v>0.444444444444444</v>
      </c>
      <c r="F46" s="171"/>
      <c r="Q46" s="165" t="s">
        <v>127</v>
      </c>
      <c r="AG46" s="165" t="s">
        <v>68</v>
      </c>
      <c r="AH46" s="165" t="s">
        <v>127</v>
      </c>
    </row>
    <row r="47" s="142" customFormat="1" spans="1:34">
      <c r="A47" s="145">
        <v>5</v>
      </c>
      <c r="B47" s="165" t="s">
        <v>127</v>
      </c>
      <c r="C47" s="171">
        <f>标准成本!E11</f>
        <v>4.73451327433628</v>
      </c>
      <c r="D47" s="171">
        <f>标准成本!E23</f>
        <v>4.73451327433628</v>
      </c>
      <c r="E47" s="171">
        <f>标准成本!E36</f>
        <v>0.0442477876106195</v>
      </c>
      <c r="F47" s="171"/>
      <c r="Q47" s="165" t="s">
        <v>127</v>
      </c>
      <c r="AG47" s="165" t="s">
        <v>68</v>
      </c>
      <c r="AH47" s="165" t="s">
        <v>127</v>
      </c>
    </row>
    <row r="48" spans="1:34">
      <c r="A48" s="153" t="s">
        <v>120</v>
      </c>
      <c r="B48" s="158" t="s">
        <v>138</v>
      </c>
      <c r="C48" s="164">
        <f>C40-C43-C44-C45-C47-C46</f>
        <v>17.458210422812</v>
      </c>
      <c r="D48" s="164">
        <f>D40-D43-D44-D45-D47-D46</f>
        <v>17.4582104228119</v>
      </c>
      <c r="E48" s="164">
        <f>E40-E43-E44-E45-E47-E46</f>
        <v>2.96121307767945</v>
      </c>
      <c r="F48" s="164"/>
      <c r="Q48" s="158" t="s">
        <v>138</v>
      </c>
      <c r="AG48" s="153" t="s">
        <v>137</v>
      </c>
      <c r="AH48" s="158" t="s">
        <v>138</v>
      </c>
    </row>
    <row r="51" spans="3:5">
      <c r="C51" s="172"/>
      <c r="D51" s="172"/>
      <c r="E51" s="172"/>
    </row>
    <row r="54" spans="2:11">
      <c r="B54" s="2"/>
      <c r="C54" s="173"/>
      <c r="D54" s="173"/>
      <c r="E54" s="173"/>
      <c r="F54" s="173"/>
      <c r="G54" s="2"/>
      <c r="H54" s="2"/>
      <c r="I54" s="2"/>
      <c r="J54" s="2"/>
      <c r="K54" s="2"/>
    </row>
    <row r="55" spans="2:11">
      <c r="B55" s="2"/>
      <c r="C55" s="173"/>
      <c r="D55" s="173"/>
      <c r="E55" s="173"/>
      <c r="F55" s="173"/>
      <c r="G55" s="2"/>
      <c r="H55" s="2"/>
      <c r="I55" s="2"/>
      <c r="J55" s="2"/>
      <c r="K55" s="2"/>
    </row>
    <row r="56" spans="2:11">
      <c r="B56" s="2"/>
      <c r="C56" s="173"/>
      <c r="D56" s="173"/>
      <c r="E56" s="173"/>
      <c r="F56" s="173"/>
      <c r="G56" s="2"/>
      <c r="H56" s="2"/>
      <c r="I56" s="2"/>
      <c r="J56" s="2"/>
      <c r="K56" s="2"/>
    </row>
    <row r="57" spans="2:11">
      <c r="B57" s="2"/>
      <c r="C57" s="173"/>
      <c r="D57" s="173"/>
      <c r="E57" s="173"/>
      <c r="F57" s="173"/>
      <c r="G57" s="2"/>
      <c r="H57" s="2"/>
      <c r="I57" s="2"/>
      <c r="J57" s="2"/>
      <c r="K57" s="2"/>
    </row>
    <row r="58" spans="2:11">
      <c r="B58" s="2"/>
      <c r="C58" s="173"/>
      <c r="D58" s="173"/>
      <c r="E58" s="173"/>
      <c r="F58" s="173"/>
      <c r="G58" s="2"/>
      <c r="H58" s="2"/>
      <c r="I58" s="2"/>
      <c r="J58" s="2"/>
      <c r="K58" s="2"/>
    </row>
    <row r="59" spans="2:11">
      <c r="B59" s="2"/>
      <c r="C59" s="173"/>
      <c r="D59" s="173"/>
      <c r="E59" s="173"/>
      <c r="F59" s="173"/>
      <c r="G59" s="2"/>
      <c r="H59" s="2"/>
      <c r="I59" s="2"/>
      <c r="J59" s="2"/>
      <c r="K59" s="2"/>
    </row>
    <row r="60" spans="2:11">
      <c r="B60" s="2"/>
      <c r="C60" s="173"/>
      <c r="D60" s="173"/>
      <c r="E60" s="173"/>
      <c r="F60" s="173"/>
      <c r="G60" s="2"/>
      <c r="H60" s="2"/>
      <c r="I60" s="2"/>
      <c r="J60" s="2"/>
      <c r="K60" s="2"/>
    </row>
    <row r="61" spans="2:11">
      <c r="B61" s="2"/>
      <c r="C61" s="173"/>
      <c r="D61" s="173"/>
      <c r="E61" s="173"/>
      <c r="F61" s="173"/>
      <c r="G61" s="2"/>
      <c r="H61" s="2"/>
      <c r="I61" s="2"/>
      <c r="J61" s="2"/>
      <c r="K61" s="2"/>
    </row>
    <row r="62" spans="2:11">
      <c r="B62" s="2"/>
      <c r="C62" s="173"/>
      <c r="D62" s="173"/>
      <c r="E62" s="173"/>
      <c r="F62" s="173"/>
      <c r="G62" s="2"/>
      <c r="H62" s="2"/>
      <c r="I62" s="2"/>
      <c r="J62" s="2"/>
      <c r="K62" s="2"/>
    </row>
    <row r="63" spans="2:11">
      <c r="B63" s="2"/>
      <c r="C63" s="173"/>
      <c r="D63" s="173"/>
      <c r="E63" s="173"/>
      <c r="F63" s="173"/>
      <c r="G63" s="2"/>
      <c r="H63" s="2"/>
      <c r="I63" s="2"/>
      <c r="J63" s="2"/>
      <c r="K63" s="2"/>
    </row>
    <row r="64" spans="2:11">
      <c r="B64" s="2"/>
      <c r="C64" s="173"/>
      <c r="D64" s="173"/>
      <c r="E64" s="173"/>
      <c r="F64" s="173"/>
      <c r="G64" s="2"/>
      <c r="H64" s="2"/>
      <c r="I64" s="2"/>
      <c r="J64" s="2"/>
      <c r="K64" s="2"/>
    </row>
    <row r="65" spans="2:11">
      <c r="B65" s="2"/>
      <c r="C65" s="173"/>
      <c r="D65" s="173"/>
      <c r="E65" s="173"/>
      <c r="F65" s="173"/>
      <c r="G65" s="2"/>
      <c r="H65" s="2"/>
      <c r="I65" s="2"/>
      <c r="J65" s="2"/>
      <c r="K65" s="2"/>
    </row>
    <row r="66" spans="2:11">
      <c r="B66" s="2"/>
      <c r="C66" s="173"/>
      <c r="D66" s="173"/>
      <c r="E66" s="173"/>
      <c r="F66" s="173"/>
      <c r="G66" s="2"/>
      <c r="H66" s="2"/>
      <c r="I66" s="2"/>
      <c r="J66" s="2"/>
      <c r="K66" s="2"/>
    </row>
    <row r="67" spans="2:7">
      <c r="B67" s="2"/>
      <c r="C67" s="173"/>
      <c r="D67" s="173"/>
      <c r="E67" s="173"/>
      <c r="F67" s="173"/>
      <c r="G67" s="2"/>
    </row>
    <row r="68" spans="2:7">
      <c r="B68" s="2"/>
      <c r="C68" s="173"/>
      <c r="D68" s="173"/>
      <c r="E68" s="173"/>
      <c r="F68" s="173"/>
      <c r="G68" s="2"/>
    </row>
    <row r="69" spans="2:7">
      <c r="B69" s="2"/>
      <c r="C69" s="173"/>
      <c r="D69" s="173"/>
      <c r="E69" s="173"/>
      <c r="F69" s="173"/>
      <c r="G69" s="2"/>
    </row>
    <row r="70" spans="2:7">
      <c r="B70" s="2"/>
      <c r="C70" s="173"/>
      <c r="D70" s="173"/>
      <c r="E70" s="173"/>
      <c r="F70" s="173"/>
      <c r="G70" s="2"/>
    </row>
    <row r="71" spans="2:7">
      <c r="B71" s="2"/>
      <c r="C71" s="173"/>
      <c r="D71" s="173"/>
      <c r="E71" s="173"/>
      <c r="F71" s="173"/>
      <c r="G71" s="2"/>
    </row>
    <row r="72" spans="2:7">
      <c r="B72" s="2"/>
      <c r="C72" s="173"/>
      <c r="D72" s="173"/>
      <c r="E72" s="173"/>
      <c r="F72" s="173"/>
      <c r="G72" s="2"/>
    </row>
    <row r="73" spans="2:7">
      <c r="B73" s="2"/>
      <c r="C73" s="173"/>
      <c r="D73" s="173"/>
      <c r="E73" s="173"/>
      <c r="F73" s="173"/>
      <c r="G73" s="2"/>
    </row>
    <row r="74" spans="2:7">
      <c r="B74" s="2"/>
      <c r="C74" s="173"/>
      <c r="D74" s="173"/>
      <c r="E74" s="173"/>
      <c r="F74" s="173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4"/>
  <cols>
    <col min="1" max="1" width="19.5" customWidth="1"/>
    <col min="2" max="2" width="14.8727272727273" style="97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8" t="s">
        <v>170</v>
      </c>
      <c r="B1" s="98"/>
      <c r="C1" s="98"/>
      <c r="E1" s="99" t="s">
        <v>171</v>
      </c>
      <c r="F1" s="100"/>
      <c r="G1" s="100"/>
      <c r="H1" s="101"/>
    </row>
    <row r="2" ht="23.45" customHeight="1" spans="1:8">
      <c r="A2" s="102" t="s">
        <v>1</v>
      </c>
      <c r="B2" s="103" t="s">
        <v>172</v>
      </c>
      <c r="C2" s="104" t="s">
        <v>173</v>
      </c>
      <c r="E2" s="105" t="s">
        <v>174</v>
      </c>
      <c r="F2" s="105" t="s">
        <v>1</v>
      </c>
      <c r="G2" s="106" t="s">
        <v>175</v>
      </c>
      <c r="H2" s="105" t="s">
        <v>173</v>
      </c>
    </row>
    <row r="3" ht="15.75" customHeight="1" spans="1:8">
      <c r="A3" s="107" t="s">
        <v>176</v>
      </c>
      <c r="B3" s="108"/>
      <c r="C3" s="109"/>
      <c r="E3" s="110" t="s">
        <v>177</v>
      </c>
      <c r="F3" s="111" t="s">
        <v>178</v>
      </c>
      <c r="G3" s="112">
        <v>0</v>
      </c>
      <c r="H3" s="111"/>
    </row>
    <row r="4" ht="15.75" customHeight="1" spans="1:8">
      <c r="A4" s="107" t="s">
        <v>179</v>
      </c>
      <c r="B4" s="108"/>
      <c r="C4" s="113"/>
      <c r="E4" s="114"/>
      <c r="F4" s="111" t="s">
        <v>180</v>
      </c>
      <c r="G4" s="112"/>
      <c r="H4" s="111"/>
    </row>
    <row r="5" ht="15.75" customHeight="1" spans="1:8">
      <c r="A5" s="107" t="s">
        <v>181</v>
      </c>
      <c r="B5" s="115">
        <f>SUM(G3:G4)</f>
        <v>0</v>
      </c>
      <c r="C5" s="109"/>
      <c r="E5" s="116" t="s">
        <v>182</v>
      </c>
      <c r="F5" s="117" t="s">
        <v>183</v>
      </c>
      <c r="G5" s="112"/>
      <c r="H5" s="117"/>
    </row>
    <row r="6" ht="15.75" customHeight="1" spans="1:10">
      <c r="A6" s="107" t="s">
        <v>184</v>
      </c>
      <c r="B6" s="108"/>
      <c r="C6" s="109"/>
      <c r="E6" s="118"/>
      <c r="F6" s="117" t="s">
        <v>185</v>
      </c>
      <c r="G6" s="112">
        <v>6</v>
      </c>
      <c r="H6" s="111"/>
      <c r="J6">
        <v>10000</v>
      </c>
    </row>
    <row r="7" ht="15.75" customHeight="1" spans="1:8">
      <c r="A7" s="119" t="s">
        <v>186</v>
      </c>
      <c r="B7" s="115">
        <f>SUM(B3:B6)</f>
        <v>0</v>
      </c>
      <c r="C7" s="109"/>
      <c r="E7" s="118"/>
      <c r="F7" s="117" t="s">
        <v>187</v>
      </c>
      <c r="G7" s="112"/>
      <c r="H7" s="111"/>
    </row>
    <row r="8" ht="15.75" customHeight="1" spans="1:8">
      <c r="A8" s="120" t="s">
        <v>188</v>
      </c>
      <c r="B8" s="115">
        <f>SUM(G5:G12)</f>
        <v>6</v>
      </c>
      <c r="C8" s="121"/>
      <c r="E8" s="118"/>
      <c r="F8" s="117" t="s">
        <v>189</v>
      </c>
      <c r="G8" s="122"/>
      <c r="H8" s="111"/>
    </row>
    <row r="9" ht="15.75" customHeight="1" spans="1:8">
      <c r="A9" s="107" t="s">
        <v>190</v>
      </c>
      <c r="B9" s="115">
        <f>SUM(G13:G21)</f>
        <v>8</v>
      </c>
      <c r="C9" s="109"/>
      <c r="E9" s="118"/>
      <c r="F9" s="111" t="s">
        <v>191</v>
      </c>
      <c r="G9" s="123"/>
      <c r="H9" s="124"/>
    </row>
    <row r="10" ht="15.75" customHeight="1" spans="1:8">
      <c r="A10" s="113" t="s">
        <v>56</v>
      </c>
      <c r="B10" s="115">
        <f>B7+B8+B9</f>
        <v>14</v>
      </c>
      <c r="C10" s="109"/>
      <c r="E10" s="118"/>
      <c r="F10" s="111" t="s">
        <v>192</v>
      </c>
      <c r="G10" s="125"/>
      <c r="H10" s="111"/>
    </row>
    <row r="11" ht="15.75" customHeight="1" spans="5:8">
      <c r="E11" s="118"/>
      <c r="F11" s="111" t="s">
        <v>193</v>
      </c>
      <c r="G11" s="125"/>
      <c r="H11" s="111"/>
    </row>
    <row r="12" ht="15.75" customHeight="1" spans="5:8">
      <c r="E12" s="126"/>
      <c r="F12" s="111" t="s">
        <v>194</v>
      </c>
      <c r="G12" s="112"/>
      <c r="H12" s="124"/>
    </row>
    <row r="13" ht="15.75" customHeight="1" spans="5:8">
      <c r="E13" s="110" t="s">
        <v>89</v>
      </c>
      <c r="F13" s="111" t="s">
        <v>195</v>
      </c>
      <c r="G13" s="112"/>
      <c r="H13" s="127"/>
    </row>
    <row r="14" ht="15.75" customHeight="1" spans="5:8">
      <c r="E14" s="114"/>
      <c r="F14" s="111" t="s">
        <v>196</v>
      </c>
      <c r="G14" s="112"/>
      <c r="H14" s="111"/>
    </row>
    <row r="15" ht="15.75" customHeight="1" spans="5:8">
      <c r="E15" s="114"/>
      <c r="F15" s="111" t="s">
        <v>197</v>
      </c>
      <c r="G15" s="112"/>
      <c r="H15" s="111"/>
    </row>
    <row r="16" ht="15.75" customHeight="1" spans="5:8">
      <c r="E16" s="114"/>
      <c r="F16" s="111" t="s">
        <v>198</v>
      </c>
      <c r="G16" s="112"/>
      <c r="H16" s="111"/>
    </row>
    <row r="17" ht="15.75" customHeight="1" spans="5:8">
      <c r="E17" s="114"/>
      <c r="F17" s="111" t="s">
        <v>199</v>
      </c>
      <c r="G17" s="112"/>
      <c r="H17" s="111"/>
    </row>
    <row r="18" ht="15.75" customHeight="1" spans="5:8">
      <c r="E18" s="114"/>
      <c r="F18" s="111" t="s">
        <v>200</v>
      </c>
      <c r="G18" s="112">
        <v>3</v>
      </c>
      <c r="H18" s="111"/>
    </row>
    <row r="19" ht="15.75" customHeight="1" spans="5:8">
      <c r="E19" s="114"/>
      <c r="F19" s="111" t="s">
        <v>201</v>
      </c>
      <c r="G19" s="112">
        <v>5</v>
      </c>
      <c r="H19" s="111"/>
    </row>
    <row r="20" ht="15.75" customHeight="1" spans="5:8">
      <c r="E20" s="114"/>
      <c r="F20" s="111" t="s">
        <v>202</v>
      </c>
      <c r="G20" s="112"/>
      <c r="H20" s="111"/>
    </row>
    <row r="21" ht="15.75" customHeight="1" spans="5:8">
      <c r="E21" s="128"/>
      <c r="F21" s="111" t="s">
        <v>39</v>
      </c>
      <c r="G21" s="112"/>
      <c r="H21" s="111"/>
    </row>
    <row r="22" ht="15.75" customHeight="1" spans="5:8">
      <c r="E22" s="105" t="s">
        <v>56</v>
      </c>
      <c r="F22" s="111"/>
      <c r="G22" s="106">
        <f>SUM(G3:G21)</f>
        <v>14</v>
      </c>
      <c r="H22" s="111"/>
    </row>
    <row r="23" ht="30.75" customHeight="1" spans="5:8">
      <c r="E23" s="129" t="s">
        <v>203</v>
      </c>
      <c r="F23" s="129"/>
      <c r="G23" s="129"/>
      <c r="H23" s="129"/>
    </row>
    <row r="25" ht="16.5" spans="1:10">
      <c r="A25" s="130" t="s">
        <v>1</v>
      </c>
      <c r="B25" s="130" t="s">
        <v>172</v>
      </c>
      <c r="C25" s="130" t="s">
        <v>204</v>
      </c>
      <c r="D25" s="131" t="s">
        <v>53</v>
      </c>
      <c r="E25" s="131" t="s">
        <v>54</v>
      </c>
      <c r="F25" s="131" t="s">
        <v>55</v>
      </c>
      <c r="G25" s="131" t="s">
        <v>205</v>
      </c>
      <c r="H25" s="131" t="s">
        <v>206</v>
      </c>
      <c r="I25" s="131" t="s">
        <v>56</v>
      </c>
      <c r="J25" s="139" t="s">
        <v>207</v>
      </c>
    </row>
    <row r="26" ht="16.5" spans="1:10">
      <c r="A26" s="132" t="s">
        <v>163</v>
      </c>
      <c r="B26" s="133">
        <f>(B5+B8)*10000</f>
        <v>60000</v>
      </c>
      <c r="C26" s="134">
        <v>0.05</v>
      </c>
      <c r="D26" s="135">
        <f>B26*(1-C26)/3</f>
        <v>19000</v>
      </c>
      <c r="E26" s="135">
        <f t="shared" ref="E26:F27" si="0">D26</f>
        <v>19000</v>
      </c>
      <c r="F26" s="135">
        <f t="shared" si="0"/>
        <v>19000</v>
      </c>
      <c r="G26" s="135"/>
      <c r="H26" s="135"/>
      <c r="I26" s="135">
        <f>SUM(D26:H26)</f>
        <v>57000</v>
      </c>
      <c r="J26" s="135">
        <f>B26*0.05</f>
        <v>3000</v>
      </c>
    </row>
    <row r="27" ht="16.5" spans="1:10">
      <c r="A27" s="132" t="s">
        <v>208</v>
      </c>
      <c r="B27" s="133">
        <f>B9*10000</f>
        <v>80000</v>
      </c>
      <c r="C27" s="135"/>
      <c r="D27" s="135">
        <f>B27/3</f>
        <v>26666.6666666667</v>
      </c>
      <c r="E27" s="135">
        <f t="shared" si="0"/>
        <v>26666.6666666667</v>
      </c>
      <c r="F27" s="135">
        <f t="shared" si="0"/>
        <v>26666.6666666667</v>
      </c>
      <c r="G27" s="135"/>
      <c r="H27" s="135"/>
      <c r="I27" s="135">
        <f>SUM(D27:H27)</f>
        <v>80000</v>
      </c>
      <c r="J27" s="135"/>
    </row>
    <row r="28" ht="16.5" spans="1:10">
      <c r="A28" s="136" t="s">
        <v>146</v>
      </c>
      <c r="B28" s="137"/>
      <c r="C28" s="138"/>
      <c r="D28" s="135">
        <f>SUM(D26:D27)</f>
        <v>45666.6666666667</v>
      </c>
      <c r="E28" s="135">
        <f t="shared" ref="E28:H28" si="1">SUM(E26:E27)</f>
        <v>45666.6666666667</v>
      </c>
      <c r="F28" s="135">
        <f t="shared" si="1"/>
        <v>45666.6666666667</v>
      </c>
      <c r="G28" s="135">
        <f t="shared" si="1"/>
        <v>0</v>
      </c>
      <c r="H28" s="135">
        <f t="shared" si="1"/>
        <v>0</v>
      </c>
      <c r="I28" s="140"/>
      <c r="J28" s="14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85" zoomScaleNormal="85" workbookViewId="0">
      <selection activeCell="D22" sqref="D22"/>
    </sheetView>
  </sheetViews>
  <sheetFormatPr defaultColWidth="9" defaultRowHeight="16.5"/>
  <cols>
    <col min="1" max="1" width="14" style="71" customWidth="1"/>
    <col min="2" max="2" width="14.1272727272727" style="71" customWidth="1"/>
    <col min="3" max="3" width="14.7545454545455" style="71" customWidth="1"/>
    <col min="4" max="4" width="11.1272727272727" style="71" customWidth="1"/>
    <col min="5" max="5" width="12.8727272727273" style="71" customWidth="1"/>
    <col min="6" max="6" width="11.1272727272727" style="71" customWidth="1"/>
    <col min="7" max="7" width="13.2545454545455" style="71" customWidth="1"/>
    <col min="8" max="8" width="12.1272727272727" style="71" customWidth="1"/>
    <col min="9" max="9" width="11.6272727272727" style="71" customWidth="1"/>
    <col min="10" max="10" width="10.2636363636364" style="71" customWidth="1"/>
    <col min="11" max="12" width="10.2636363636364" style="72" customWidth="1"/>
    <col min="13" max="16384" width="9" style="71"/>
  </cols>
  <sheetData>
    <row r="1" ht="29.25" customHeight="1" spans="1:9">
      <c r="A1" s="73" t="s">
        <v>209</v>
      </c>
      <c r="E1" s="74"/>
      <c r="F1" s="74"/>
      <c r="G1" s="74"/>
      <c r="H1" s="74"/>
      <c r="I1" s="74"/>
    </row>
    <row r="2" ht="24" customHeight="1" spans="1:9">
      <c r="A2" s="75" t="s">
        <v>210</v>
      </c>
      <c r="E2" s="74"/>
      <c r="F2" s="74"/>
      <c r="G2" s="74"/>
      <c r="H2" s="74"/>
      <c r="I2" s="74"/>
    </row>
    <row r="3" spans="3:5">
      <c r="C3" s="71" t="s">
        <v>211</v>
      </c>
      <c r="D3" s="71" t="s">
        <v>212</v>
      </c>
      <c r="E3" s="76">
        <v>0</v>
      </c>
    </row>
    <row r="5" ht="45" customHeight="1" spans="1:9">
      <c r="A5" s="77" t="s">
        <v>213</v>
      </c>
      <c r="B5" s="78" t="s">
        <v>152</v>
      </c>
      <c r="C5" s="21" t="s">
        <v>214</v>
      </c>
      <c r="D5" s="21" t="s">
        <v>214</v>
      </c>
      <c r="E5" s="21" t="s">
        <v>215</v>
      </c>
      <c r="F5" s="21"/>
      <c r="G5" s="21"/>
      <c r="H5" s="21"/>
      <c r="I5" s="93" t="s">
        <v>56</v>
      </c>
    </row>
    <row r="6" ht="31.5" customHeight="1" spans="1:11">
      <c r="A6" s="77"/>
      <c r="B6" s="78" t="s">
        <v>155</v>
      </c>
      <c r="C6" s="79" t="s">
        <v>216</v>
      </c>
      <c r="D6" s="79" t="s">
        <v>217</v>
      </c>
      <c r="E6" s="79" t="s">
        <v>218</v>
      </c>
      <c r="F6" s="24"/>
      <c r="G6" s="24"/>
      <c r="H6" s="24"/>
      <c r="I6" s="94"/>
      <c r="K6" s="72">
        <v>100</v>
      </c>
    </row>
    <row r="7" ht="15.6" customHeight="1" spans="1:12">
      <c r="A7" s="77"/>
      <c r="B7" s="24" t="s">
        <v>219</v>
      </c>
      <c r="C7" s="80"/>
      <c r="D7" s="80"/>
      <c r="E7" s="24"/>
      <c r="F7" s="24"/>
      <c r="G7" s="80"/>
      <c r="H7" s="80"/>
      <c r="I7" s="95"/>
      <c r="J7" s="71">
        <v>2026</v>
      </c>
      <c r="K7" s="72">
        <f>K6*(1-$E$3)</f>
        <v>100</v>
      </c>
      <c r="L7" s="72">
        <f>K7/$K$6</f>
        <v>1</v>
      </c>
    </row>
    <row r="8" ht="33" spans="1:12">
      <c r="A8" s="77"/>
      <c r="B8" s="24" t="s">
        <v>220</v>
      </c>
      <c r="C8" s="81">
        <v>473.451327433628</v>
      </c>
      <c r="D8" s="81">
        <v>473.451327433628</v>
      </c>
      <c r="E8" s="81">
        <v>4.42477876106195</v>
      </c>
      <c r="F8" s="82"/>
      <c r="G8" s="82"/>
      <c r="H8" s="82"/>
      <c r="I8" s="96">
        <f t="shared" ref="I8:I13" si="0">SUM(C8:H8)</f>
        <v>951.327433628319</v>
      </c>
      <c r="J8" s="71">
        <v>2027</v>
      </c>
      <c r="K8" s="72">
        <f>K7*(1-$E$3)</f>
        <v>100</v>
      </c>
      <c r="L8" s="72">
        <f>K8/$K$6</f>
        <v>1</v>
      </c>
    </row>
    <row r="9" spans="1:12">
      <c r="A9" s="77" t="s">
        <v>221</v>
      </c>
      <c r="B9" s="83" t="s">
        <v>53</v>
      </c>
      <c r="C9" s="84">
        <v>7000</v>
      </c>
      <c r="D9" s="84">
        <v>7000</v>
      </c>
      <c r="E9" s="84">
        <v>14000</v>
      </c>
      <c r="F9" s="84"/>
      <c r="G9" s="84"/>
      <c r="H9" s="84"/>
      <c r="I9" s="96">
        <f t="shared" si="0"/>
        <v>28000</v>
      </c>
      <c r="J9" s="71">
        <v>2028</v>
      </c>
      <c r="K9" s="72">
        <f t="shared" ref="K8:K10" si="1">K8*(1-$E$3)</f>
        <v>100</v>
      </c>
      <c r="L9" s="72">
        <f>K9/$K$6</f>
        <v>1</v>
      </c>
    </row>
    <row r="10" spans="1:12">
      <c r="A10" s="77"/>
      <c r="B10" s="83" t="s">
        <v>54</v>
      </c>
      <c r="C10" s="84">
        <v>15000</v>
      </c>
      <c r="D10" s="84">
        <v>15000</v>
      </c>
      <c r="E10" s="84">
        <v>30000</v>
      </c>
      <c r="F10" s="84"/>
      <c r="G10" s="84"/>
      <c r="H10" s="84"/>
      <c r="I10" s="96">
        <f t="shared" si="0"/>
        <v>60000</v>
      </c>
      <c r="K10" s="72">
        <f t="shared" si="1"/>
        <v>100</v>
      </c>
      <c r="L10" s="72">
        <f t="shared" ref="L10" si="2">K10/$K$6</f>
        <v>1</v>
      </c>
    </row>
    <row r="11" spans="1:9">
      <c r="A11" s="77"/>
      <c r="B11" s="83" t="s">
        <v>55</v>
      </c>
      <c r="C11" s="84">
        <v>15000</v>
      </c>
      <c r="D11" s="84">
        <v>15000</v>
      </c>
      <c r="E11" s="84">
        <v>30000</v>
      </c>
      <c r="F11" s="84"/>
      <c r="G11" s="84"/>
      <c r="H11" s="84"/>
      <c r="I11" s="96">
        <f t="shared" si="0"/>
        <v>60000</v>
      </c>
    </row>
    <row r="12" spans="1:9">
      <c r="A12" s="77"/>
      <c r="B12" s="83" t="s">
        <v>205</v>
      </c>
      <c r="C12" s="84"/>
      <c r="D12" s="84"/>
      <c r="E12" s="84"/>
      <c r="F12" s="84"/>
      <c r="G12" s="84"/>
      <c r="H12" s="84"/>
      <c r="I12" s="96">
        <f t="shared" si="0"/>
        <v>0</v>
      </c>
    </row>
    <row r="13" ht="17.5" spans="1:9">
      <c r="A13" s="77"/>
      <c r="B13" s="83" t="s">
        <v>206</v>
      </c>
      <c r="C13" s="84"/>
      <c r="D13" s="84"/>
      <c r="E13" s="84"/>
      <c r="F13" s="84"/>
      <c r="G13" s="84"/>
      <c r="H13" s="85"/>
      <c r="I13" s="96">
        <f t="shared" si="0"/>
        <v>0</v>
      </c>
    </row>
    <row r="14" spans="1:9">
      <c r="A14" s="83" t="s">
        <v>56</v>
      </c>
      <c r="B14" s="83"/>
      <c r="C14" s="86">
        <f t="shared" ref="C14:I14" si="3">SUM(C9:C13)</f>
        <v>37000</v>
      </c>
      <c r="D14" s="86">
        <f t="shared" si="3"/>
        <v>37000</v>
      </c>
      <c r="E14" s="86">
        <f t="shared" si="3"/>
        <v>74000</v>
      </c>
      <c r="F14" s="86">
        <f t="shared" si="3"/>
        <v>0</v>
      </c>
      <c r="G14" s="86">
        <f t="shared" si="3"/>
        <v>0</v>
      </c>
      <c r="H14" s="86">
        <f t="shared" si="3"/>
        <v>0</v>
      </c>
      <c r="I14" s="86">
        <f t="shared" si="3"/>
        <v>148000</v>
      </c>
    </row>
    <row r="15" ht="33" spans="1:3">
      <c r="A15" s="87"/>
      <c r="B15" s="87"/>
      <c r="C15" s="88" t="s">
        <v>52</v>
      </c>
    </row>
    <row r="16" spans="2:9">
      <c r="B16" s="71" t="s">
        <v>222</v>
      </c>
      <c r="C16" s="89">
        <f>材料成本!D24</f>
        <v>370</v>
      </c>
      <c r="D16" s="89">
        <f>材料成本!E24</f>
        <v>370</v>
      </c>
      <c r="E16" s="89">
        <f>材料成本!F24</f>
        <v>0.4439</v>
      </c>
      <c r="F16" s="89">
        <f>材料成本!G24</f>
        <v>0</v>
      </c>
      <c r="G16" s="89">
        <f>材料成本!H24</f>
        <v>0</v>
      </c>
      <c r="H16" s="89">
        <f>材料成本!I23</f>
        <v>0</v>
      </c>
      <c r="I16" s="87">
        <f>SUM(C16:H16)</f>
        <v>740.4439</v>
      </c>
    </row>
    <row r="17" spans="2:9">
      <c r="B17" s="71" t="s">
        <v>104</v>
      </c>
      <c r="C17" s="89">
        <f t="shared" ref="C17:H17" si="4">C8-C16</f>
        <v>103.451327433628</v>
      </c>
      <c r="D17" s="89">
        <f t="shared" si="4"/>
        <v>103.451327433628</v>
      </c>
      <c r="E17" s="89">
        <f t="shared" si="4"/>
        <v>3.98087876106195</v>
      </c>
      <c r="F17" s="89">
        <f t="shared" si="4"/>
        <v>0</v>
      </c>
      <c r="G17" s="89">
        <f t="shared" si="4"/>
        <v>0</v>
      </c>
      <c r="H17" s="89">
        <f t="shared" si="4"/>
        <v>0</v>
      </c>
      <c r="I17" s="87">
        <f>SUM(C17:H17)</f>
        <v>210.883533628318</v>
      </c>
    </row>
    <row r="18" spans="2:9">
      <c r="B18" s="71" t="s">
        <v>223</v>
      </c>
      <c r="C18" s="90">
        <f t="shared" ref="C18:I18" si="5">C17/C8</f>
        <v>0.218504672897196</v>
      </c>
      <c r="D18" s="90">
        <f t="shared" si="5"/>
        <v>0.218504672897196</v>
      </c>
      <c r="E18" s="90">
        <f t="shared" si="5"/>
        <v>0.8996786</v>
      </c>
      <c r="F18" s="90" t="e">
        <f t="shared" si="5"/>
        <v>#DIV/0!</v>
      </c>
      <c r="G18" s="91" t="e">
        <f t="shared" si="5"/>
        <v>#DIV/0!</v>
      </c>
      <c r="H18" s="91" t="e">
        <f t="shared" si="5"/>
        <v>#DIV/0!</v>
      </c>
      <c r="I18" s="90">
        <f t="shared" si="5"/>
        <v>0.22167292372093</v>
      </c>
    </row>
    <row r="20" spans="3:7">
      <c r="C20" s="89"/>
      <c r="D20" s="89"/>
      <c r="E20" s="89"/>
      <c r="F20" s="89"/>
      <c r="G20" s="89"/>
    </row>
    <row r="21" spans="2:7">
      <c r="B21" s="92" t="s">
        <v>224</v>
      </c>
      <c r="C21" s="62"/>
      <c r="D21" s="62"/>
      <c r="E21" s="89"/>
      <c r="F21" s="89"/>
      <c r="G21" s="89"/>
    </row>
    <row r="22" spans="2:3">
      <c r="B22" s="71" t="s">
        <v>225</v>
      </c>
      <c r="C22" s="71">
        <v>42</v>
      </c>
    </row>
    <row r="23" spans="2:3">
      <c r="B23" s="71" t="s">
        <v>226</v>
      </c>
      <c r="C23" s="71">
        <v>6</v>
      </c>
    </row>
  </sheetData>
  <mergeCells count="4">
    <mergeCell ref="A14:B14"/>
    <mergeCell ref="A5:A8"/>
    <mergeCell ref="A9:A13"/>
    <mergeCell ref="I5:I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workbookViewId="0">
      <pane xSplit="3" ySplit="5" topLeftCell="D16" activePane="bottomRight" state="frozen"/>
      <selection/>
      <selection pane="topRight"/>
      <selection pane="bottomLeft"/>
      <selection pane="bottomRight" activeCell="I24" sqref="I24"/>
    </sheetView>
  </sheetViews>
  <sheetFormatPr defaultColWidth="9" defaultRowHeight="16.5"/>
  <cols>
    <col min="1" max="2" width="4.37272727272727" style="34" customWidth="1"/>
    <col min="3" max="3" width="8.12727272727273" style="34" customWidth="1"/>
    <col min="4" max="8" width="12" style="35" customWidth="1"/>
    <col min="9" max="9" width="12.0909090909091" style="35" customWidth="1"/>
    <col min="10" max="15" width="12" style="35" customWidth="1"/>
    <col min="16" max="16" width="12.2545454545455" style="34" customWidth="1"/>
    <col min="17" max="17" width="13.2545454545455" style="34" customWidth="1"/>
    <col min="18" max="18" width="16" style="34" customWidth="1"/>
    <col min="19" max="16384" width="9" style="34"/>
  </cols>
  <sheetData>
    <row r="1" s="33" customFormat="1" ht="28.5" customHeight="1" spans="1:18">
      <c r="A1" s="36" t="s">
        <v>7</v>
      </c>
      <c r="B1" s="36"/>
      <c r="C1" s="36"/>
      <c r="D1" s="37" t="s">
        <v>52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70"/>
    </row>
    <row r="2" spans="1:15">
      <c r="A2" s="39" t="s">
        <v>227</v>
      </c>
      <c r="B2" s="39"/>
      <c r="C2" s="40"/>
      <c r="D2" s="41"/>
      <c r="E2" s="42" t="s">
        <v>228</v>
      </c>
      <c r="F2" s="43"/>
      <c r="G2" s="43"/>
      <c r="H2" s="43"/>
      <c r="I2" s="43"/>
      <c r="J2" s="43"/>
      <c r="K2" s="43"/>
      <c r="L2" s="43"/>
      <c r="M2" s="43"/>
      <c r="N2" s="43"/>
      <c r="O2" s="63"/>
    </row>
    <row r="3" ht="33" spans="1:15">
      <c r="A3" s="44" t="s">
        <v>21</v>
      </c>
      <c r="B3" s="44" t="s">
        <v>229</v>
      </c>
      <c r="C3" s="44" t="s">
        <v>230</v>
      </c>
      <c r="D3" s="45" t="s">
        <v>231</v>
      </c>
      <c r="E3" s="45"/>
      <c r="F3" s="41" t="s">
        <v>232</v>
      </c>
      <c r="G3" s="46" t="s">
        <v>233</v>
      </c>
      <c r="H3" s="47"/>
      <c r="I3" s="47"/>
      <c r="J3" s="47"/>
      <c r="K3" s="47"/>
      <c r="L3" s="47"/>
      <c r="M3" s="47"/>
      <c r="N3" s="47"/>
      <c r="O3" s="64" t="s">
        <v>173</v>
      </c>
    </row>
    <row r="4" ht="33" spans="1:15">
      <c r="A4" s="44"/>
      <c r="B4" s="44"/>
      <c r="C4" s="44" t="s">
        <v>152</v>
      </c>
      <c r="D4" s="48" t="s">
        <v>214</v>
      </c>
      <c r="E4" s="48" t="s">
        <v>214</v>
      </c>
      <c r="F4" s="48" t="s">
        <v>215</v>
      </c>
      <c r="G4" s="48"/>
      <c r="H4" s="48"/>
      <c r="I4" s="48"/>
      <c r="J4" s="50"/>
      <c r="K4" s="50"/>
      <c r="L4" s="50"/>
      <c r="M4" s="50"/>
      <c r="N4" s="50"/>
      <c r="O4" s="65"/>
    </row>
    <row r="5" ht="33" spans="1:15">
      <c r="A5" s="44"/>
      <c r="B5" s="44"/>
      <c r="C5" s="44" t="s">
        <v>155</v>
      </c>
      <c r="D5" s="49">
        <v>473.451327433628</v>
      </c>
      <c r="E5" s="49">
        <v>473.451327433628</v>
      </c>
      <c r="F5" s="49">
        <v>4.42477876106195</v>
      </c>
      <c r="G5" s="48"/>
      <c r="H5" s="50"/>
      <c r="I5" s="50"/>
      <c r="J5" s="48"/>
      <c r="K5" s="48"/>
      <c r="L5" s="48"/>
      <c r="M5" s="48"/>
      <c r="N5" s="48"/>
      <c r="O5" s="66"/>
    </row>
    <row r="6" spans="1:15">
      <c r="A6" s="51">
        <v>1</v>
      </c>
      <c r="B6" s="52" t="s">
        <v>234</v>
      </c>
      <c r="C6" s="53"/>
      <c r="D6" s="54"/>
      <c r="E6" s="50"/>
      <c r="F6" s="50"/>
      <c r="G6" s="50"/>
      <c r="H6" s="50"/>
      <c r="I6" s="50"/>
      <c r="J6" s="50"/>
      <c r="K6" s="50"/>
      <c r="L6" s="50"/>
      <c r="M6" s="50"/>
      <c r="N6" s="50"/>
      <c r="O6" s="67"/>
    </row>
    <row r="7" spans="1:15">
      <c r="A7" s="51">
        <v>2</v>
      </c>
      <c r="B7" s="52" t="s">
        <v>235</v>
      </c>
      <c r="C7" s="53"/>
      <c r="D7" s="54"/>
      <c r="E7" s="50"/>
      <c r="F7" s="50"/>
      <c r="G7" s="50"/>
      <c r="H7" s="50"/>
      <c r="I7" s="50"/>
      <c r="J7" s="50"/>
      <c r="K7" s="50"/>
      <c r="L7" s="50"/>
      <c r="M7" s="50"/>
      <c r="N7" s="50"/>
      <c r="O7" s="67"/>
    </row>
    <row r="8" spans="1:15">
      <c r="A8" s="51">
        <v>3</v>
      </c>
      <c r="B8" s="52" t="s">
        <v>236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67"/>
    </row>
    <row r="9" spans="1:15">
      <c r="A9" s="51">
        <v>4</v>
      </c>
      <c r="B9" s="52" t="s">
        <v>237</v>
      </c>
      <c r="C9" s="53"/>
      <c r="D9" s="54"/>
      <c r="E9" s="50"/>
      <c r="F9" s="50"/>
      <c r="G9" s="50"/>
      <c r="H9" s="50"/>
      <c r="I9" s="50"/>
      <c r="J9" s="50"/>
      <c r="K9" s="50"/>
      <c r="L9" s="50"/>
      <c r="M9" s="50"/>
      <c r="N9" s="50"/>
      <c r="O9" s="67"/>
    </row>
    <row r="10" spans="1:15">
      <c r="A10" s="51">
        <v>5</v>
      </c>
      <c r="B10" s="52" t="s">
        <v>238</v>
      </c>
      <c r="C10" s="53"/>
      <c r="D10" s="54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67"/>
    </row>
    <row r="11" spans="1:15">
      <c r="A11" s="51">
        <v>6</v>
      </c>
      <c r="B11" s="52" t="s">
        <v>239</v>
      </c>
      <c r="C11" s="53"/>
      <c r="D11" s="54"/>
      <c r="E11" s="50"/>
      <c r="F11" s="50"/>
      <c r="G11" s="50"/>
      <c r="H11" s="50"/>
      <c r="I11" s="50"/>
      <c r="J11" s="50"/>
      <c r="K11" s="50"/>
      <c r="L11" s="48"/>
      <c r="M11" s="50"/>
      <c r="N11" s="50"/>
      <c r="O11" s="67"/>
    </row>
    <row r="12" spans="1:15">
      <c r="A12" s="51">
        <v>7</v>
      </c>
      <c r="B12" s="52" t="s">
        <v>240</v>
      </c>
      <c r="C12" s="53"/>
      <c r="D12" s="5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67"/>
    </row>
    <row r="13" spans="1:15">
      <c r="A13" s="51">
        <v>8</v>
      </c>
      <c r="B13" s="52" t="s">
        <v>241</v>
      </c>
      <c r="C13" s="53"/>
      <c r="D13" s="5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67"/>
    </row>
    <row r="14" spans="1:15">
      <c r="A14" s="51">
        <v>9</v>
      </c>
      <c r="B14" s="52" t="s">
        <v>242</v>
      </c>
      <c r="C14" s="53"/>
      <c r="D14" s="54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67"/>
    </row>
    <row r="15" spans="1:15">
      <c r="A15" s="51">
        <v>10</v>
      </c>
      <c r="B15" s="52" t="s">
        <v>243</v>
      </c>
      <c r="C15" s="53"/>
      <c r="D15" s="54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67"/>
    </row>
    <row r="16" spans="1:15">
      <c r="A16" s="51">
        <v>11</v>
      </c>
      <c r="B16" s="52" t="s">
        <v>244</v>
      </c>
      <c r="C16" s="53"/>
      <c r="D16" s="54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67"/>
    </row>
    <row r="17" spans="1:15">
      <c r="A17" s="51">
        <v>12</v>
      </c>
      <c r="B17" s="52" t="s">
        <v>245</v>
      </c>
      <c r="C17" s="53"/>
      <c r="D17" s="54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67"/>
    </row>
    <row r="18" spans="1:15">
      <c r="A18" s="51">
        <v>13</v>
      </c>
      <c r="B18" s="52" t="s">
        <v>246</v>
      </c>
      <c r="C18" s="53"/>
      <c r="D18" s="54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67"/>
    </row>
    <row r="19" spans="1:15">
      <c r="A19" s="51">
        <v>14</v>
      </c>
      <c r="B19" s="52" t="s">
        <v>247</v>
      </c>
      <c r="C19" s="53"/>
      <c r="D19" s="54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67"/>
    </row>
    <row r="20" spans="1:15">
      <c r="A20" s="51">
        <v>15</v>
      </c>
      <c r="B20" s="52" t="s">
        <v>248</v>
      </c>
      <c r="C20" s="53"/>
      <c r="D20" s="54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67"/>
    </row>
    <row r="21" spans="1:15">
      <c r="A21" s="51">
        <v>16</v>
      </c>
      <c r="B21" s="52" t="s">
        <v>249</v>
      </c>
      <c r="C21" s="53"/>
      <c r="D21" s="54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67"/>
    </row>
    <row r="22" spans="1:15">
      <c r="A22" s="51">
        <v>17</v>
      </c>
      <c r="B22" s="52" t="s">
        <v>39</v>
      </c>
      <c r="C22" s="53"/>
      <c r="D22" s="54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67"/>
    </row>
    <row r="23" spans="1:15">
      <c r="A23" s="51">
        <v>18</v>
      </c>
      <c r="B23" s="52" t="s">
        <v>250</v>
      </c>
      <c r="C23" s="53"/>
      <c r="D23" s="55">
        <v>370</v>
      </c>
      <c r="E23" s="55">
        <v>370</v>
      </c>
      <c r="F23" s="55">
        <v>0.4439</v>
      </c>
      <c r="G23" s="55"/>
      <c r="H23" s="55"/>
      <c r="I23" s="55"/>
      <c r="J23" s="68"/>
      <c r="K23" s="68"/>
      <c r="L23" s="68"/>
      <c r="M23" s="68"/>
      <c r="N23" s="68"/>
      <c r="O23" s="69"/>
    </row>
    <row r="24" ht="31.5" customHeight="1" spans="1:15">
      <c r="A24" s="56" t="s">
        <v>251</v>
      </c>
      <c r="B24" s="57"/>
      <c r="C24" s="58"/>
      <c r="D24" s="59">
        <f>SUM(D6:D23)</f>
        <v>370</v>
      </c>
      <c r="E24" s="59">
        <f>SUM(E6:E23)</f>
        <v>370</v>
      </c>
      <c r="F24" s="59">
        <f>SUM(F6:F23)</f>
        <v>0.4439</v>
      </c>
      <c r="G24" s="59">
        <f>SUM(G6:G23)</f>
        <v>0</v>
      </c>
      <c r="H24" s="59">
        <f t="shared" ref="H24:N24" si="0">SUM(H6:H23)</f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59">
        <f t="shared" si="0"/>
        <v>0</v>
      </c>
      <c r="O24" s="69"/>
    </row>
    <row r="25" spans="3:14">
      <c r="C25" s="34" t="s">
        <v>252</v>
      </c>
      <c r="D25" s="60">
        <f t="shared" ref="D25:I25" si="1">D24</f>
        <v>370</v>
      </c>
      <c r="E25" s="60">
        <f t="shared" si="1"/>
        <v>370</v>
      </c>
      <c r="F25" s="60">
        <f t="shared" si="1"/>
        <v>0.4439</v>
      </c>
      <c r="G25" s="60">
        <f t="shared" si="1"/>
        <v>0</v>
      </c>
      <c r="H25" s="60">
        <f t="shared" si="1"/>
        <v>0</v>
      </c>
      <c r="I25" s="60">
        <f t="shared" si="1"/>
        <v>0</v>
      </c>
      <c r="J25" s="60"/>
      <c r="K25" s="60"/>
      <c r="L25" s="60"/>
      <c r="M25" s="60"/>
      <c r="N25" s="60"/>
    </row>
    <row r="27" spans="3:14">
      <c r="C27" s="34" t="s">
        <v>54</v>
      </c>
      <c r="D27" s="61">
        <f>D24*1</f>
        <v>370</v>
      </c>
      <c r="E27" s="61">
        <f>E24*1</f>
        <v>370</v>
      </c>
      <c r="F27" s="61">
        <f>F24*1</f>
        <v>0.4439</v>
      </c>
      <c r="G27" s="61">
        <f t="shared" ref="D27:I27" si="2">G24*0.95</f>
        <v>0</v>
      </c>
      <c r="H27" s="61">
        <f t="shared" si="2"/>
        <v>0</v>
      </c>
      <c r="I27" s="61">
        <f t="shared" si="2"/>
        <v>0</v>
      </c>
      <c r="J27" s="61">
        <f t="shared" ref="E27:N27" si="3">J24*0.95</f>
        <v>0</v>
      </c>
      <c r="K27" s="61">
        <f t="shared" si="3"/>
        <v>0</v>
      </c>
      <c r="L27" s="61">
        <f t="shared" si="3"/>
        <v>0</v>
      </c>
      <c r="M27" s="61">
        <f t="shared" si="3"/>
        <v>0</v>
      </c>
      <c r="N27" s="61">
        <f t="shared" si="3"/>
        <v>0</v>
      </c>
    </row>
    <row r="28" spans="3:14">
      <c r="C28" s="34" t="s">
        <v>55</v>
      </c>
      <c r="D28" s="61">
        <f>D27*1</f>
        <v>370</v>
      </c>
      <c r="E28" s="61">
        <f>E27*1</f>
        <v>370</v>
      </c>
      <c r="F28" s="61">
        <f>F27*1</f>
        <v>0.4439</v>
      </c>
      <c r="G28" s="61">
        <f t="shared" ref="D28:I28" si="4">G27*0.95</f>
        <v>0</v>
      </c>
      <c r="H28" s="61">
        <f t="shared" si="4"/>
        <v>0</v>
      </c>
      <c r="I28" s="61">
        <f t="shared" si="4"/>
        <v>0</v>
      </c>
      <c r="J28" s="61">
        <f t="shared" ref="E28:N28" si="5">J27*0.95</f>
        <v>0</v>
      </c>
      <c r="K28" s="61">
        <f t="shared" si="5"/>
        <v>0</v>
      </c>
      <c r="L28" s="61">
        <f t="shared" si="5"/>
        <v>0</v>
      </c>
      <c r="M28" s="61">
        <f t="shared" si="5"/>
        <v>0</v>
      </c>
      <c r="N28" s="61">
        <f t="shared" si="5"/>
        <v>0</v>
      </c>
    </row>
    <row r="30" spans="3:5">
      <c r="C30" s="34" t="s">
        <v>224</v>
      </c>
      <c r="D30" s="62"/>
      <c r="E30" s="62"/>
    </row>
    <row r="31" spans="3:5">
      <c r="C31" s="34" t="s">
        <v>253</v>
      </c>
      <c r="D31" s="62"/>
      <c r="E31" s="62"/>
    </row>
  </sheetData>
  <mergeCells count="27">
    <mergeCell ref="A1:B1"/>
    <mergeCell ref="A2:D2"/>
    <mergeCell ref="E2:O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O3:O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2024-12-24T06:17:03Z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9545D4B7266740A89BCEAE7E60B7E103</vt:lpwstr>
  </property>
</Properties>
</file>