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48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3">'2025年'!$A$1:$F$48</definedName>
    <definedName name="_xlnm.Print_Area" localSheetId="4">'2026年'!$A$1:$F$48</definedName>
    <definedName name="_xlnm.Print_Area" localSheetId="5">'2027年'!$A$1:$F$48</definedName>
    <definedName name="_xlnm.Print_Area" localSheetId="6">项目投资!$A$1:$C$35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58" l="1"/>
  <c r="F26" i="57"/>
  <c r="F22" i="56"/>
  <c r="E140" i="50" l="1"/>
  <c r="I139" i="50"/>
  <c r="E139" i="50"/>
  <c r="E138" i="50"/>
  <c r="H137" i="50"/>
  <c r="E137" i="50"/>
  <c r="I136" i="50"/>
  <c r="H136" i="50"/>
  <c r="E136" i="50"/>
  <c r="E135" i="50"/>
  <c r="E134" i="50"/>
  <c r="E133" i="50"/>
  <c r="E127" i="50"/>
  <c r="I126" i="50"/>
  <c r="E126" i="50"/>
  <c r="E125" i="50"/>
  <c r="H124" i="50"/>
  <c r="E124" i="50"/>
  <c r="I123" i="50"/>
  <c r="H123" i="50"/>
  <c r="E123" i="50"/>
  <c r="E122" i="50"/>
  <c r="E121" i="50"/>
  <c r="E120" i="50"/>
  <c r="E114" i="50"/>
  <c r="I113" i="50"/>
  <c r="E113" i="50"/>
  <c r="E112" i="50"/>
  <c r="H111" i="50"/>
  <c r="E111" i="50"/>
  <c r="I110" i="50"/>
  <c r="H110" i="50"/>
  <c r="E110" i="50"/>
  <c r="E109" i="50"/>
  <c r="E108" i="50"/>
  <c r="E107" i="50"/>
  <c r="E101" i="50"/>
  <c r="I100" i="50"/>
  <c r="E100" i="50"/>
  <c r="E99" i="50"/>
  <c r="H98" i="50"/>
  <c r="E98" i="50"/>
  <c r="I97" i="50"/>
  <c r="H97" i="50"/>
  <c r="E97" i="50"/>
  <c r="E96" i="50"/>
  <c r="E95" i="50"/>
  <c r="E94" i="50"/>
  <c r="E88" i="50"/>
  <c r="I87" i="50"/>
  <c r="E87" i="50"/>
  <c r="E86" i="50"/>
  <c r="H85" i="50"/>
  <c r="E85" i="50"/>
  <c r="I84" i="50"/>
  <c r="H84" i="50"/>
  <c r="E84" i="50"/>
  <c r="E83" i="50"/>
  <c r="E82" i="50"/>
  <c r="E81" i="50"/>
  <c r="E75" i="50"/>
  <c r="I74" i="50"/>
  <c r="E74" i="50"/>
  <c r="E73" i="50"/>
  <c r="H72" i="50"/>
  <c r="E72" i="50"/>
  <c r="I71" i="50"/>
  <c r="H71" i="50"/>
  <c r="E71" i="50"/>
  <c r="E70" i="50"/>
  <c r="E69" i="50"/>
  <c r="E68" i="50"/>
  <c r="I67" i="50"/>
  <c r="I65" i="50"/>
  <c r="E62" i="50"/>
  <c r="I61" i="50"/>
  <c r="E61" i="50"/>
  <c r="E60" i="50"/>
  <c r="H59" i="50"/>
  <c r="E59" i="50"/>
  <c r="I58" i="50"/>
  <c r="H58" i="50"/>
  <c r="E58" i="50"/>
  <c r="E57" i="50"/>
  <c r="E56" i="50"/>
  <c r="E55" i="50"/>
  <c r="I54" i="50"/>
  <c r="I52" i="50"/>
  <c r="E49" i="50"/>
  <c r="I48" i="50"/>
  <c r="E48" i="50"/>
  <c r="E47" i="50"/>
  <c r="H46" i="50"/>
  <c r="E46" i="50"/>
  <c r="I45" i="50"/>
  <c r="H45" i="50"/>
  <c r="E45" i="50"/>
  <c r="E44" i="50"/>
  <c r="E43" i="50"/>
  <c r="E42" i="50"/>
  <c r="I41" i="50"/>
  <c r="I39" i="50"/>
  <c r="E36" i="50"/>
  <c r="E47" i="43" s="1"/>
  <c r="E35" i="50"/>
  <c r="E34" i="50"/>
  <c r="H33" i="50"/>
  <c r="E33" i="50"/>
  <c r="I32" i="50"/>
  <c r="H32" i="50"/>
  <c r="E32" i="50"/>
  <c r="E31" i="50"/>
  <c r="E30" i="50"/>
  <c r="E29" i="50"/>
  <c r="I28" i="50"/>
  <c r="I26" i="50"/>
  <c r="E23" i="50"/>
  <c r="D47" i="57" s="1"/>
  <c r="E22" i="50"/>
  <c r="E21" i="50"/>
  <c r="H20" i="50"/>
  <c r="E20" i="50"/>
  <c r="I19" i="50"/>
  <c r="H19" i="50"/>
  <c r="E19" i="50"/>
  <c r="E18" i="50"/>
  <c r="E17" i="50"/>
  <c r="E16" i="50"/>
  <c r="I15" i="50"/>
  <c r="I13" i="50"/>
  <c r="E11" i="50"/>
  <c r="C47" i="43" s="1"/>
  <c r="E10" i="50"/>
  <c r="E9" i="50"/>
  <c r="H8" i="50"/>
  <c r="E8" i="50"/>
  <c r="I7" i="50"/>
  <c r="H7" i="50"/>
  <c r="E7" i="50"/>
  <c r="E6" i="50"/>
  <c r="E5" i="50"/>
  <c r="E4" i="50"/>
  <c r="I3" i="50"/>
  <c r="I1" i="50"/>
  <c r="N28" i="53"/>
  <c r="M28" i="53"/>
  <c r="L28" i="53"/>
  <c r="K28" i="53"/>
  <c r="J28" i="53"/>
  <c r="I28" i="53"/>
  <c r="H28" i="53"/>
  <c r="G28" i="53"/>
  <c r="F28" i="53"/>
  <c r="E28" i="53"/>
  <c r="D28" i="53"/>
  <c r="N27" i="53"/>
  <c r="M27" i="53"/>
  <c r="L27" i="53"/>
  <c r="K27" i="53"/>
  <c r="J27" i="53"/>
  <c r="I27" i="53"/>
  <c r="H27" i="53"/>
  <c r="G27" i="53"/>
  <c r="F27" i="53"/>
  <c r="E27" i="53"/>
  <c r="D27" i="53"/>
  <c r="I25" i="53"/>
  <c r="H25" i="53"/>
  <c r="G25" i="53"/>
  <c r="F25" i="53"/>
  <c r="E25" i="53"/>
  <c r="D25" i="53"/>
  <c r="N24" i="53"/>
  <c r="M24" i="53"/>
  <c r="L24" i="53"/>
  <c r="K24" i="53"/>
  <c r="J24" i="53"/>
  <c r="I24" i="53"/>
  <c r="H24" i="53"/>
  <c r="G24" i="53"/>
  <c r="F24" i="53"/>
  <c r="E24" i="53"/>
  <c r="D24" i="53"/>
  <c r="I18" i="55"/>
  <c r="H18" i="55"/>
  <c r="G18" i="55"/>
  <c r="F18" i="55"/>
  <c r="E18" i="55"/>
  <c r="D18" i="55"/>
  <c r="C18" i="55"/>
  <c r="I17" i="55"/>
  <c r="H17" i="55"/>
  <c r="G17" i="55"/>
  <c r="F17" i="55"/>
  <c r="E17" i="55"/>
  <c r="D17" i="55"/>
  <c r="C17" i="55"/>
  <c r="I16" i="55"/>
  <c r="H16" i="55"/>
  <c r="G16" i="55"/>
  <c r="F16" i="55"/>
  <c r="E16" i="55"/>
  <c r="D16" i="55"/>
  <c r="C16" i="55"/>
  <c r="I14" i="55"/>
  <c r="H14" i="55"/>
  <c r="G14" i="55"/>
  <c r="F14" i="55"/>
  <c r="E14" i="55"/>
  <c r="D14" i="55"/>
  <c r="C14" i="55"/>
  <c r="I13" i="55"/>
  <c r="I12" i="55"/>
  <c r="I11" i="55"/>
  <c r="L10" i="55"/>
  <c r="K10" i="55"/>
  <c r="I10" i="55"/>
  <c r="L9" i="55"/>
  <c r="K9" i="55"/>
  <c r="I9" i="55"/>
  <c r="L8" i="55"/>
  <c r="K8" i="55"/>
  <c r="I8" i="55"/>
  <c r="L7" i="55"/>
  <c r="K7" i="55"/>
  <c r="H28" i="51"/>
  <c r="G28" i="51"/>
  <c r="F28" i="51"/>
  <c r="E28" i="51"/>
  <c r="D28" i="51"/>
  <c r="I27" i="51"/>
  <c r="F27" i="51"/>
  <c r="E27" i="51"/>
  <c r="D27" i="51"/>
  <c r="B27" i="51"/>
  <c r="J26" i="51"/>
  <c r="I26" i="51"/>
  <c r="F26" i="51"/>
  <c r="E26" i="51"/>
  <c r="D26" i="51"/>
  <c r="B26" i="51"/>
  <c r="G22" i="51"/>
  <c r="B10" i="51"/>
  <c r="B9" i="51"/>
  <c r="B8" i="51"/>
  <c r="B7" i="51"/>
  <c r="B5" i="51"/>
  <c r="C47" i="58"/>
  <c r="C22" i="58" s="1"/>
  <c r="E46" i="58"/>
  <c r="D46" i="58"/>
  <c r="C46" i="58"/>
  <c r="E45" i="58"/>
  <c r="D45" i="58"/>
  <c r="C45" i="58"/>
  <c r="E44" i="58"/>
  <c r="D44" i="58"/>
  <c r="C44" i="58"/>
  <c r="E43" i="58"/>
  <c r="D43" i="58"/>
  <c r="C43" i="58"/>
  <c r="E40" i="58"/>
  <c r="D40" i="58"/>
  <c r="C40" i="58"/>
  <c r="E38" i="58"/>
  <c r="D38" i="58"/>
  <c r="C38" i="58"/>
  <c r="E37" i="58"/>
  <c r="D37" i="58"/>
  <c r="C37" i="58"/>
  <c r="E36" i="58"/>
  <c r="D36" i="58"/>
  <c r="C36" i="58"/>
  <c r="E34" i="58"/>
  <c r="D34" i="58"/>
  <c r="C34" i="58"/>
  <c r="E33" i="58"/>
  <c r="D33" i="58"/>
  <c r="C33" i="58"/>
  <c r="E32" i="58"/>
  <c r="D32" i="58"/>
  <c r="C32" i="58"/>
  <c r="E31" i="58"/>
  <c r="D31" i="58"/>
  <c r="C31" i="58"/>
  <c r="F21" i="58"/>
  <c r="E21" i="58"/>
  <c r="D21" i="58"/>
  <c r="C21" i="58"/>
  <c r="F20" i="58"/>
  <c r="E20" i="58"/>
  <c r="D20" i="58"/>
  <c r="C20" i="58"/>
  <c r="F19" i="58"/>
  <c r="E19" i="58"/>
  <c r="D19" i="58"/>
  <c r="C19" i="58"/>
  <c r="F18" i="58"/>
  <c r="E18" i="58"/>
  <c r="D18" i="58"/>
  <c r="C18" i="58"/>
  <c r="F17" i="58"/>
  <c r="E17" i="58"/>
  <c r="D17" i="58"/>
  <c r="C17" i="58"/>
  <c r="F16" i="58"/>
  <c r="E16" i="58"/>
  <c r="D16" i="58"/>
  <c r="C16" i="58"/>
  <c r="F15" i="58"/>
  <c r="E15" i="58"/>
  <c r="D15" i="58"/>
  <c r="C15" i="58"/>
  <c r="F14" i="58"/>
  <c r="E14" i="58"/>
  <c r="D14" i="58"/>
  <c r="C14" i="58"/>
  <c r="F13" i="58"/>
  <c r="E13" i="58"/>
  <c r="D13" i="58"/>
  <c r="C13" i="58"/>
  <c r="F12" i="58"/>
  <c r="E12" i="58"/>
  <c r="D12" i="58"/>
  <c r="C12" i="58"/>
  <c r="F11" i="58"/>
  <c r="E11" i="58"/>
  <c r="D11" i="58"/>
  <c r="C11" i="58"/>
  <c r="F10" i="58"/>
  <c r="E10" i="58"/>
  <c r="D10" i="58"/>
  <c r="C10" i="58"/>
  <c r="F9" i="58"/>
  <c r="E9" i="58"/>
  <c r="D9" i="58"/>
  <c r="C9" i="58"/>
  <c r="F8" i="58"/>
  <c r="E8" i="58"/>
  <c r="D8" i="58"/>
  <c r="C8" i="58"/>
  <c r="F7" i="58"/>
  <c r="E7" i="58"/>
  <c r="D7" i="58"/>
  <c r="C7" i="58"/>
  <c r="F6" i="58"/>
  <c r="E6" i="58"/>
  <c r="D6" i="58"/>
  <c r="C6" i="58"/>
  <c r="E46" i="57"/>
  <c r="D46" i="57"/>
  <c r="C46" i="57"/>
  <c r="E45" i="57"/>
  <c r="D45" i="57"/>
  <c r="C45" i="57"/>
  <c r="E44" i="57"/>
  <c r="D44" i="57"/>
  <c r="C44" i="57"/>
  <c r="E43" i="57"/>
  <c r="D43" i="57"/>
  <c r="C43" i="57"/>
  <c r="E40" i="57"/>
  <c r="D40" i="57"/>
  <c r="C40" i="57"/>
  <c r="E38" i="57"/>
  <c r="D38" i="57"/>
  <c r="C38" i="57"/>
  <c r="E37" i="57"/>
  <c r="D37" i="57"/>
  <c r="C37" i="57"/>
  <c r="E36" i="57"/>
  <c r="D36" i="57"/>
  <c r="C36" i="57"/>
  <c r="E34" i="57"/>
  <c r="D34" i="57"/>
  <c r="C34" i="57"/>
  <c r="E33" i="57"/>
  <c r="D33" i="57"/>
  <c r="C33" i="57"/>
  <c r="E32" i="57"/>
  <c r="D32" i="57"/>
  <c r="C32" i="57"/>
  <c r="E31" i="57"/>
  <c r="D31" i="57"/>
  <c r="C31" i="57"/>
  <c r="F21" i="57"/>
  <c r="E21" i="57"/>
  <c r="D21" i="57"/>
  <c r="C21" i="57"/>
  <c r="F20" i="57"/>
  <c r="E20" i="57"/>
  <c r="D20" i="57"/>
  <c r="C20" i="57"/>
  <c r="F19" i="57"/>
  <c r="E19" i="57"/>
  <c r="D19" i="57"/>
  <c r="C19" i="57"/>
  <c r="F18" i="57"/>
  <c r="E18" i="57"/>
  <c r="D18" i="57"/>
  <c r="C18" i="57"/>
  <c r="F17" i="57"/>
  <c r="E17" i="57"/>
  <c r="D17" i="57"/>
  <c r="C17" i="57"/>
  <c r="F16" i="57"/>
  <c r="E16" i="57"/>
  <c r="D16" i="57"/>
  <c r="C16" i="57"/>
  <c r="F15" i="57"/>
  <c r="E15" i="57"/>
  <c r="D15" i="57"/>
  <c r="C15" i="57"/>
  <c r="F14" i="57"/>
  <c r="E14" i="57"/>
  <c r="D14" i="57"/>
  <c r="C14" i="57"/>
  <c r="F13" i="57"/>
  <c r="E13" i="57"/>
  <c r="D13" i="57"/>
  <c r="C13" i="57"/>
  <c r="F12" i="57"/>
  <c r="E12" i="57"/>
  <c r="D12" i="57"/>
  <c r="C12" i="57"/>
  <c r="F11" i="57"/>
  <c r="E11" i="57"/>
  <c r="D11" i="57"/>
  <c r="C11" i="57"/>
  <c r="F10" i="57"/>
  <c r="E10" i="57"/>
  <c r="D10" i="57"/>
  <c r="C10" i="57"/>
  <c r="F9" i="57"/>
  <c r="E9" i="57"/>
  <c r="D9" i="57"/>
  <c r="C9" i="57"/>
  <c r="F8" i="57"/>
  <c r="E8" i="57"/>
  <c r="D8" i="57"/>
  <c r="C8" i="57"/>
  <c r="F7" i="57"/>
  <c r="E7" i="57"/>
  <c r="D7" i="57"/>
  <c r="C7" i="57"/>
  <c r="F6" i="57"/>
  <c r="E6" i="57"/>
  <c r="D6" i="57"/>
  <c r="C6" i="57"/>
  <c r="D47" i="43"/>
  <c r="D48" i="43" s="1"/>
  <c r="E46" i="43"/>
  <c r="D46" i="43"/>
  <c r="C46" i="43"/>
  <c r="E45" i="43"/>
  <c r="D45" i="43"/>
  <c r="C45" i="43"/>
  <c r="E44" i="43"/>
  <c r="D44" i="43"/>
  <c r="C44" i="43"/>
  <c r="E43" i="43"/>
  <c r="D43" i="43"/>
  <c r="C43" i="43"/>
  <c r="E40" i="43"/>
  <c r="D40" i="43"/>
  <c r="C40" i="43"/>
  <c r="E38" i="43"/>
  <c r="D38" i="43"/>
  <c r="C38" i="43"/>
  <c r="E37" i="43"/>
  <c r="D37" i="43"/>
  <c r="C37" i="43"/>
  <c r="E36" i="43"/>
  <c r="D36" i="43"/>
  <c r="C36" i="43"/>
  <c r="E34" i="43"/>
  <c r="D34" i="43"/>
  <c r="C34" i="43"/>
  <c r="E33" i="43"/>
  <c r="D33" i="43"/>
  <c r="C33" i="43"/>
  <c r="E32" i="43"/>
  <c r="D32" i="43"/>
  <c r="C32" i="43"/>
  <c r="E31" i="43"/>
  <c r="D31" i="43"/>
  <c r="C31" i="43"/>
  <c r="D22" i="43"/>
  <c r="D23" i="43" s="1"/>
  <c r="D24" i="43" s="1"/>
  <c r="F21" i="43"/>
  <c r="E21" i="43"/>
  <c r="D21" i="43"/>
  <c r="C21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F12" i="43"/>
  <c r="E12" i="43"/>
  <c r="D12" i="43"/>
  <c r="C12" i="43"/>
  <c r="F11" i="43"/>
  <c r="E11" i="43"/>
  <c r="D11" i="43"/>
  <c r="C11" i="43"/>
  <c r="F10" i="43"/>
  <c r="E10" i="43"/>
  <c r="D10" i="43"/>
  <c r="C10" i="43"/>
  <c r="F9" i="43"/>
  <c r="E9" i="43"/>
  <c r="D9" i="43"/>
  <c r="C9" i="43"/>
  <c r="F8" i="43"/>
  <c r="F7" i="43"/>
  <c r="E7" i="43"/>
  <c r="D7" i="43"/>
  <c r="C7" i="43"/>
  <c r="F6" i="43"/>
  <c r="E6" i="43"/>
  <c r="D6" i="43"/>
  <c r="C6" i="43"/>
  <c r="F60" i="56"/>
  <c r="C60" i="56"/>
  <c r="C57" i="56"/>
  <c r="C56" i="56"/>
  <c r="C55" i="56"/>
  <c r="F50" i="56"/>
  <c r="E50" i="56"/>
  <c r="D50" i="56"/>
  <c r="C50" i="56"/>
  <c r="F49" i="56"/>
  <c r="E49" i="56"/>
  <c r="D49" i="56"/>
  <c r="C49" i="56"/>
  <c r="F48" i="56"/>
  <c r="E48" i="56"/>
  <c r="D48" i="56"/>
  <c r="C48" i="56"/>
  <c r="F47" i="56"/>
  <c r="E47" i="56"/>
  <c r="D47" i="56"/>
  <c r="C47" i="56"/>
  <c r="F44" i="56"/>
  <c r="E44" i="56"/>
  <c r="D44" i="56"/>
  <c r="C44" i="56"/>
  <c r="F43" i="56"/>
  <c r="E43" i="56"/>
  <c r="D43" i="56"/>
  <c r="C43" i="56"/>
  <c r="F42" i="56"/>
  <c r="E42" i="56"/>
  <c r="D42" i="56"/>
  <c r="C42" i="56"/>
  <c r="F41" i="56"/>
  <c r="E41" i="56"/>
  <c r="D41" i="56"/>
  <c r="C41" i="56"/>
  <c r="F38" i="56"/>
  <c r="E38" i="56"/>
  <c r="D38" i="56"/>
  <c r="C38" i="56"/>
  <c r="F36" i="56"/>
  <c r="E36" i="56"/>
  <c r="D36" i="56"/>
  <c r="C36" i="56"/>
  <c r="F35" i="56"/>
  <c r="E35" i="56"/>
  <c r="D35" i="56"/>
  <c r="C35" i="56"/>
  <c r="F34" i="56"/>
  <c r="E34" i="56"/>
  <c r="D34" i="56"/>
  <c r="C34" i="56"/>
  <c r="F32" i="56"/>
  <c r="E32" i="56"/>
  <c r="D32" i="56"/>
  <c r="C32" i="56"/>
  <c r="F31" i="56"/>
  <c r="E31" i="56"/>
  <c r="D31" i="56"/>
  <c r="C31" i="56"/>
  <c r="F30" i="56"/>
  <c r="E30" i="56"/>
  <c r="D30" i="56"/>
  <c r="C30" i="56"/>
  <c r="F29" i="56"/>
  <c r="E29" i="56"/>
  <c r="D29" i="56"/>
  <c r="C29" i="56"/>
  <c r="F18" i="56"/>
  <c r="E18" i="56"/>
  <c r="D18" i="56"/>
  <c r="C18" i="56"/>
  <c r="F17" i="56"/>
  <c r="E17" i="56"/>
  <c r="D17" i="56"/>
  <c r="C17" i="56"/>
  <c r="F16" i="56"/>
  <c r="E16" i="56"/>
  <c r="D16" i="56"/>
  <c r="C16" i="56"/>
  <c r="F15" i="56"/>
  <c r="F14" i="56"/>
  <c r="E14" i="56"/>
  <c r="D14" i="56"/>
  <c r="C14" i="56"/>
  <c r="F13" i="56"/>
  <c r="E13" i="56"/>
  <c r="D13" i="56"/>
  <c r="C13" i="56"/>
  <c r="F12" i="56"/>
  <c r="E12" i="56"/>
  <c r="D12" i="56"/>
  <c r="C12" i="56"/>
  <c r="F11" i="56"/>
  <c r="E11" i="56"/>
  <c r="D11" i="56"/>
  <c r="C11" i="56"/>
  <c r="F10" i="56"/>
  <c r="E10" i="56"/>
  <c r="D10" i="56"/>
  <c r="C10" i="56"/>
  <c r="F9" i="56"/>
  <c r="E9" i="56"/>
  <c r="D9" i="56"/>
  <c r="C9" i="56"/>
  <c r="F8" i="56"/>
  <c r="E8" i="56"/>
  <c r="D8" i="56"/>
  <c r="C8" i="56"/>
  <c r="F7" i="56"/>
  <c r="E7" i="56"/>
  <c r="D7" i="56"/>
  <c r="C7" i="56"/>
  <c r="F6" i="56"/>
  <c r="E6" i="56"/>
  <c r="D6" i="56"/>
  <c r="C6" i="56"/>
  <c r="F5" i="56"/>
  <c r="E5" i="56"/>
  <c r="D5" i="56"/>
  <c r="C5" i="56"/>
  <c r="F4" i="56"/>
  <c r="E4" i="56"/>
  <c r="D4" i="56"/>
  <c r="C4" i="56"/>
  <c r="F3" i="56"/>
  <c r="E3" i="56"/>
  <c r="D3" i="56"/>
  <c r="C3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K10" i="36" s="1"/>
  <c r="J11" i="36"/>
  <c r="I11" i="36"/>
  <c r="H11" i="36"/>
  <c r="H10" i="36" s="1"/>
  <c r="H17" i="36" s="1"/>
  <c r="H19" i="36" s="1"/>
  <c r="G11" i="36"/>
  <c r="G10" i="36" s="1"/>
  <c r="F11" i="36"/>
  <c r="E11" i="36"/>
  <c r="E10" i="36" s="1"/>
  <c r="D11" i="36"/>
  <c r="C11" i="36"/>
  <c r="C10" i="36" s="1"/>
  <c r="C17" i="36" s="1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M5" i="36" s="1"/>
  <c r="D5" i="36"/>
  <c r="C5" i="36"/>
  <c r="L4" i="36"/>
  <c r="K4" i="36"/>
  <c r="J4" i="36"/>
  <c r="I4" i="36"/>
  <c r="H4" i="36"/>
  <c r="G4" i="36"/>
  <c r="F4" i="36"/>
  <c r="E4" i="36"/>
  <c r="D4" i="36"/>
  <c r="M7" i="36" l="1"/>
  <c r="M15" i="36"/>
  <c r="J10" i="36"/>
  <c r="J17" i="36" s="1"/>
  <c r="J19" i="36" s="1"/>
  <c r="E48" i="43"/>
  <c r="E22" i="43"/>
  <c r="E23" i="43" s="1"/>
  <c r="E24" i="43" s="1"/>
  <c r="E47" i="57"/>
  <c r="E47" i="58"/>
  <c r="D25" i="43"/>
  <c r="D26" i="43" s="1"/>
  <c r="D27" i="43" s="1"/>
  <c r="D48" i="57"/>
  <c r="D22" i="57"/>
  <c r="D23" i="57" s="1"/>
  <c r="D24" i="57" s="1"/>
  <c r="D26" i="57" s="1"/>
  <c r="D27" i="57" s="1"/>
  <c r="D47" i="58"/>
  <c r="C22" i="43"/>
  <c r="C48" i="43"/>
  <c r="C23" i="58"/>
  <c r="C24" i="58" s="1"/>
  <c r="C26" i="58" s="1"/>
  <c r="C47" i="57"/>
  <c r="C48" i="58"/>
  <c r="F17" i="36"/>
  <c r="F19" i="36" s="1"/>
  <c r="E17" i="36"/>
  <c r="E19" i="36" s="1"/>
  <c r="M11" i="36"/>
  <c r="F10" i="36"/>
  <c r="I10" i="36"/>
  <c r="I17" i="36" s="1"/>
  <c r="I19" i="36" s="1"/>
  <c r="D10" i="36"/>
  <c r="D17" i="36" s="1"/>
  <c r="D19" i="36" s="1"/>
  <c r="L10" i="36"/>
  <c r="M13" i="36"/>
  <c r="K17" i="36"/>
  <c r="K19" i="36" s="1"/>
  <c r="M14" i="36"/>
  <c r="C19" i="36"/>
  <c r="C18" i="36"/>
  <c r="E22" i="36"/>
  <c r="L17" i="36"/>
  <c r="L19" i="36" s="1"/>
  <c r="G17" i="36"/>
  <c r="G19" i="36" s="1"/>
  <c r="M12" i="36"/>
  <c r="D18" i="36" l="1"/>
  <c r="E18" i="36" s="1"/>
  <c r="F18" i="36" s="1"/>
  <c r="E23" i="36"/>
  <c r="E25" i="43"/>
  <c r="E26" i="43" s="1"/>
  <c r="E27" i="43" s="1"/>
  <c r="E22" i="57"/>
  <c r="E23" i="57" s="1"/>
  <c r="E24" i="57" s="1"/>
  <c r="E26" i="57" s="1"/>
  <c r="E27" i="57" s="1"/>
  <c r="E48" i="57"/>
  <c r="E48" i="58"/>
  <c r="E22" i="58"/>
  <c r="E23" i="58" s="1"/>
  <c r="E24" i="58" s="1"/>
  <c r="E26" i="58" s="1"/>
  <c r="E27" i="58" s="1"/>
  <c r="D48" i="58"/>
  <c r="D22" i="58"/>
  <c r="C23" i="43"/>
  <c r="C24" i="43" s="1"/>
  <c r="F22" i="43"/>
  <c r="C48" i="57"/>
  <c r="C22" i="57"/>
  <c r="C27" i="58"/>
  <c r="M10" i="36"/>
  <c r="M17" i="36"/>
  <c r="G18" i="36"/>
  <c r="H18" i="36" s="1"/>
  <c r="C20" i="36"/>
  <c r="D20" i="36" s="1"/>
  <c r="E20" i="36" s="1"/>
  <c r="F20" i="36" s="1"/>
  <c r="G20" i="36" s="1"/>
  <c r="H20" i="36" s="1"/>
  <c r="M19" i="36"/>
  <c r="I23" i="36"/>
  <c r="I22" i="36"/>
  <c r="D23" i="58" l="1"/>
  <c r="D24" i="58" s="1"/>
  <c r="D26" i="58" s="1"/>
  <c r="F22" i="58"/>
  <c r="C25" i="43"/>
  <c r="C26" i="43" s="1"/>
  <c r="F23" i="43"/>
  <c r="F24" i="43" s="1"/>
  <c r="C19" i="56"/>
  <c r="C23" i="57"/>
  <c r="C24" i="57" s="1"/>
  <c r="C26" i="57" s="1"/>
  <c r="F22" i="57"/>
  <c r="E24" i="36"/>
  <c r="I18" i="36"/>
  <c r="J18" i="36" s="1"/>
  <c r="K18" i="36" s="1"/>
  <c r="L18" i="36" s="1"/>
  <c r="I24" i="36"/>
  <c r="I20" i="36"/>
  <c r="J20" i="36" s="1"/>
  <c r="K20" i="36" s="1"/>
  <c r="L20" i="36" s="1"/>
  <c r="D27" i="58" l="1"/>
  <c r="E19" i="56"/>
  <c r="F23" i="58"/>
  <c r="F24" i="58" s="1"/>
  <c r="C27" i="43"/>
  <c r="F26" i="43"/>
  <c r="C27" i="57"/>
  <c r="C20" i="56"/>
  <c r="C39" i="56" s="1"/>
  <c r="C45" i="56"/>
  <c r="C51" i="56"/>
  <c r="F23" i="57"/>
  <c r="F24" i="57" s="1"/>
  <c r="D19" i="56"/>
  <c r="F25" i="43"/>
  <c r="C22" i="56" s="1"/>
  <c r="C21" i="56"/>
  <c r="E45" i="56" l="1"/>
  <c r="E51" i="56"/>
  <c r="E20" i="56"/>
  <c r="E39" i="56" s="1"/>
  <c r="F27" i="58"/>
  <c r="E23" i="56"/>
  <c r="E21" i="56"/>
  <c r="E53" i="56" s="1"/>
  <c r="F25" i="58"/>
  <c r="E22" i="56" s="1"/>
  <c r="D20" i="56"/>
  <c r="D39" i="56" s="1"/>
  <c r="D45" i="56"/>
  <c r="D51" i="56"/>
  <c r="F25" i="57"/>
  <c r="D22" i="56" s="1"/>
  <c r="D21" i="56"/>
  <c r="D53" i="56" s="1"/>
  <c r="F19" i="56"/>
  <c r="F21" i="56"/>
  <c r="F53" i="56" s="1"/>
  <c r="C53" i="56"/>
  <c r="F27" i="43"/>
  <c r="C23" i="56"/>
  <c r="F27" i="57"/>
  <c r="D23" i="56"/>
  <c r="E59" i="56" l="1"/>
  <c r="E58" i="56" s="1"/>
  <c r="E52" i="56"/>
  <c r="E24" i="56"/>
  <c r="C52" i="56"/>
  <c r="C24" i="56"/>
  <c r="F23" i="56"/>
  <c r="C59" i="56"/>
  <c r="C58" i="56" s="1"/>
  <c r="F51" i="56"/>
  <c r="F45" i="56"/>
  <c r="F20" i="56"/>
  <c r="F39" i="56" s="1"/>
  <c r="D59" i="56"/>
  <c r="D58" i="56" s="1"/>
  <c r="D52" i="56"/>
  <c r="D24" i="56"/>
  <c r="F59" i="56" l="1"/>
  <c r="F58" i="56" s="1"/>
  <c r="F24" i="56"/>
  <c r="F52" i="56"/>
</calcChain>
</file>

<file path=xl/comments1.xml><?xml version="1.0" encoding="utf-8"?>
<comments xmlns="http://schemas.openxmlformats.org/spreadsheetml/2006/main">
  <authors>
    <author>作者</author>
  </authors>
  <commentList>
    <comment ref="O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<sst xmlns="http://schemas.openxmlformats.org/spreadsheetml/2006/main" count="1223" uniqueCount="303">
  <si>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</si>
  <si>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</si>
  <si>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</si>
  <si>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</si>
  <si>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</si>
  <si>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</si>
  <si>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</si>
  <si>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变动费用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</si>
  <si>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</si>
  <si>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</si>
  <si>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</si>
  <si>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</si>
  <si>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</si>
  <si>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</si>
  <si>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</si>
  <si>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</si>
  <si>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</si>
  <si>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</si>
  <si>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</si>
  <si>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</si>
  <si>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</si>
  <si>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</si>
  <si>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</si>
  <si>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</si>
  <si>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</si>
  <si>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</si>
  <si>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</si>
  <si>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</si>
  <si>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</si>
  <si>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</si>
  <si>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</si>
  <si>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</si>
  <si>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</si>
  <si>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</si>
  <si>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</si>
  <si>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</si>
  <si>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</si>
  <si>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</si>
  <si>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</si>
  <si>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</si>
  <si>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</si>
  <si>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</si>
  <si>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</si>
  <si>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</si>
  <si>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</si>
  <si>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</si>
  <si>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</si>
  <si>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EVC4双人座椅项目可行性分析            单位：元</t>
  </si>
  <si>
    <t>面套、骨架、底支架自制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</si>
  <si>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</si>
  <si>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</si>
  <si>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</si>
  <si>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</si>
  <si>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</si>
  <si>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</si>
  <si>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</si>
  <si>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</si>
  <si>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</si>
  <si>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</si>
  <si>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</si>
  <si>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</si>
  <si>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</si>
  <si>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</si>
  <si>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</si>
  <si>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</si>
  <si>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</si>
  <si>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</si>
  <si>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</si>
  <si>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</si>
  <si>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</si>
  <si>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</si>
  <si>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</si>
  <si>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</si>
  <si>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</si>
  <si>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</si>
  <si>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</si>
  <si>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</si>
  <si>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</si>
  <si>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</si>
  <si>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</si>
  <si>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</si>
  <si>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</si>
  <si>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</si>
  <si>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</si>
  <si>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</si>
  <si>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</si>
  <si>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</si>
  <si>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</si>
  <si>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</si>
  <si>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</si>
  <si>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</si>
  <si>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</si>
  <si>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</si>
  <si>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</si>
  <si>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</si>
  <si>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</si>
  <si>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</si>
  <si>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</si>
  <si>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</si>
  <si>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</si>
  <si>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</si>
  <si>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</si>
  <si>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</si>
  <si>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</si>
  <si>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</si>
  <si>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</si>
  <si>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</si>
  <si>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</si>
  <si>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</si>
  <si>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</si>
  <si>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</si>
  <si>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</si>
  <si>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</si>
  <si>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</si>
  <si>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</si>
  <si>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</si>
  <si>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</si>
  <si>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</si>
  <si>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</si>
  <si>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</si>
  <si>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</si>
  <si>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</si>
  <si>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</si>
  <si>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</si>
  <si>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</si>
  <si>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</si>
  <si>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</si>
  <si>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</si>
  <si>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</si>
  <si>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</si>
  <si>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</si>
  <si>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</si>
  <si>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</si>
  <si>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</si>
  <si>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</si>
  <si>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</si>
  <si>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</si>
  <si>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</si>
  <si>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</si>
  <si>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</si>
  <si>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</si>
  <si>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</si>
  <si>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</si>
  <si>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</si>
  <si>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</si>
  <si>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</si>
  <si>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EVC4双人座椅</t>
  </si>
  <si>
    <t>产品名称</t>
  </si>
  <si>
    <t>驾驶员座椅</t>
  </si>
  <si>
    <t>副驾驶员座椅</t>
  </si>
  <si>
    <t>产品图号</t>
  </si>
  <si>
    <t>A668100000004/26</t>
  </si>
  <si>
    <t>A668100000006/25</t>
  </si>
  <si>
    <t>A6681000000010/23</t>
  </si>
  <si>
    <t>车型</t>
  </si>
  <si>
    <t>舒适</t>
  </si>
  <si>
    <t>标准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</si>
  <si>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</si>
  <si>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</si>
  <si>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</si>
  <si>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</si>
  <si>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</si>
  <si>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</si>
  <si>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</si>
  <si>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</si>
  <si>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</si>
  <si>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EVC4双人座椅项目研发费用预算表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</si>
  <si>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</si>
  <si>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</si>
  <si>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</si>
  <si>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</si>
  <si>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</si>
  <si>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</si>
  <si>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</si>
  <si>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</si>
  <si>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</si>
  <si>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</si>
  <si>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</si>
  <si>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</si>
  <si>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</si>
  <si>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</si>
  <si>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</si>
  <si>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</si>
  <si>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</si>
  <si>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</si>
  <si>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</si>
  <si>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</si>
  <si>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</si>
  <si>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</si>
  <si>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</si>
  <si>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</si>
  <si>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</si>
  <si>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</si>
  <si>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</si>
  <si>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</si>
  <si>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</si>
  <si>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</si>
  <si>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</si>
  <si>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</si>
  <si>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</si>
  <si>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</si>
  <si>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</si>
  <si>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</si>
  <si>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</si>
  <si>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</si>
  <si>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</si>
  <si>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</si>
  <si>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</si>
  <si>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</si>
  <si>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乘客双人座椅总成</t>
  </si>
  <si>
    <t>座椅附件</t>
  </si>
  <si>
    <t>X168100000047</t>
  </si>
  <si>
    <t>X168100000049</t>
  </si>
  <si>
    <t>X168100000050</t>
  </si>
  <si>
    <t>配置</t>
  </si>
  <si>
    <t xml:space="preserve">销售价格
（元，未税）  </t>
  </si>
  <si>
    <t>销量（件）</t>
  </si>
  <si>
    <t>原材料成本</t>
  </si>
  <si>
    <t>附加值率</t>
  </si>
  <si>
    <t>保本材料成本</t>
  </si>
  <si>
    <t>运费到河南</t>
  </si>
  <si>
    <t>到诸城</t>
  </si>
  <si>
    <t>预估原材料成本（单位：元，未税）</t>
  </si>
  <si>
    <t>供应商年降：       年0 %</t>
  </si>
  <si>
    <t>模块</t>
  </si>
  <si>
    <t>项目名称</t>
  </si>
  <si>
    <t>EVC4</t>
  </si>
  <si>
    <t>项目编号</t>
  </si>
  <si>
    <t>ZY2439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</si>
  <si>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</si>
  <si>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</si>
  <si>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</si>
  <si>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</si>
  <si>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</si>
  <si>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</si>
  <si>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</si>
  <si>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</si>
  <si>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</si>
  <si>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</si>
  <si>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</si>
  <si>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</si>
  <si>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</si>
  <si>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</si>
  <si>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</si>
  <si>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</si>
  <si>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</si>
  <si>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</si>
  <si>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</si>
  <si>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降本目标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</si>
  <si>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</si>
  <si>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</si>
  <si>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</si>
  <si>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</si>
  <si>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</si>
  <si>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</si>
  <si>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</si>
  <si>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</si>
  <si>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</si>
  <si>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</si>
  <si>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</si>
  <si>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</si>
  <si>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</si>
  <si>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</si>
  <si>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</si>
  <si>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</si>
  <si>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</si>
  <si>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</si>
  <si>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</si>
  <si>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</si>
  <si>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</si>
  <si>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</si>
  <si>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</si>
  <si>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</si>
  <si>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</si>
  <si>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</si>
  <si>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</si>
  <si>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</si>
  <si>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</si>
  <si>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</si>
  <si>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潍坊工厂平均值</t>
  </si>
  <si>
    <t>预计</t>
  </si>
  <si>
    <t>河南</t>
  </si>
  <si>
    <t>诸城</t>
  </si>
  <si>
    <t>各销50%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</si>
  <si>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</si>
  <si>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</si>
  <si>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</si>
  <si>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</si>
  <si>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</si>
  <si>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</si>
  <si>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</si>
  <si>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</si>
  <si>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</si>
  <si>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</si>
  <si>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</si>
  <si>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</si>
  <si>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河北工厂平均值</t>
  </si>
  <si>
    <t>单台材料成本为未税价格，零部件潍坊采购。</t>
    <phoneticPr fontId="47" type="noConversion"/>
  </si>
  <si>
    <t>销售价格（未税）：由营销经理提供，无年降。</t>
    <phoneticPr fontId="47" type="noConversion"/>
  </si>
  <si>
    <r>
      <t>成本预估按项目经理提供B</t>
    </r>
    <r>
      <rPr>
        <sz val="12"/>
        <rFont val="微软雅黑"/>
        <family val="2"/>
        <charset val="134"/>
      </rPr>
      <t>OM</t>
    </r>
    <r>
      <rPr>
        <sz val="12"/>
        <rFont val="微软雅黑"/>
        <charset val="134"/>
      </rPr>
      <t>。</t>
    </r>
    <phoneticPr fontId="47" type="noConversion"/>
  </si>
  <si>
    <r>
      <t>变动费用参考潍坊工厂202</t>
    </r>
    <r>
      <rPr>
        <sz val="12"/>
        <rFont val="微软雅黑"/>
        <family val="2"/>
        <charset val="134"/>
      </rPr>
      <t>4</t>
    </r>
    <r>
      <rPr>
        <sz val="12"/>
        <rFont val="微软雅黑"/>
        <charset val="134"/>
      </rPr>
      <t>年实际。</t>
    </r>
    <phoneticPr fontId="47" type="noConversion"/>
  </si>
  <si>
    <t>直接材料</t>
    <phoneticPr fontId="47" type="noConversion"/>
  </si>
  <si>
    <r>
      <t>潍坊目标3</t>
    </r>
    <r>
      <rPr>
        <sz val="9"/>
        <color theme="1"/>
        <rFont val="微软雅黑"/>
        <family val="2"/>
        <charset val="134"/>
      </rPr>
      <t>50元</t>
    </r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</si>
</sst>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8" formatCode="#,##0.00_ "/>
    <numFmt numFmtId="179" formatCode="_ * #,##0_ ;_ * \-#,##0_ ;_ * &quot;-&quot;??_ ;_ @_ "/>
    <numFmt numFmtId="180" formatCode="0.00_ "/>
    <numFmt numFmtId="181" formatCode="0.0%"/>
    <numFmt numFmtId="182" formatCode="0_ "/>
    <numFmt numFmtId="183" formatCode="&quot;$&quot;#,##0.00_);[Red]\(&quot;$&quot;#,##0.00\)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5" fillId="0" borderId="0"/>
    <xf numFmtId="0" fontId="36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7" fillId="0" borderId="0"/>
    <xf numFmtId="0" fontId="38" fillId="0" borderId="0"/>
    <xf numFmtId="1" fontId="39" fillId="0" borderId="2" applyBorder="0"/>
    <xf numFmtId="43" fontId="40" fillId="0" borderId="0" applyFont="0" applyFill="0" applyBorder="0" applyAlignment="0" applyProtection="0">
      <alignment vertical="center"/>
    </xf>
    <xf numFmtId="0" fontId="37" fillId="0" borderId="0"/>
  </cellStyleXfs>
  <cellXfs count="2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2" xfId="0" applyNumberForma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0" applyNumberFormat="1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3" fillId="5" borderId="0" xfId="0" applyNumberFormat="1" applyFont="1" applyFill="1">
      <alignment vertical="center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9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vertical="center"/>
    </xf>
    <xf numFmtId="43" fontId="14" fillId="0" borderId="2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  <xf numFmtId="178" fontId="15" fillId="0" borderId="2" xfId="0" applyNumberFormat="1" applyFont="1" applyFill="1" applyBorder="1" applyAlignment="1">
      <alignment horizontal="center" vertical="center" wrapText="1" readingOrder="1"/>
    </xf>
    <xf numFmtId="178" fontId="16" fillId="0" borderId="2" xfId="0" applyNumberFormat="1" applyFont="1" applyFill="1" applyBorder="1" applyAlignment="1">
      <alignment horizontal="center" vertical="center" wrapText="1" readingOrder="1"/>
    </xf>
    <xf numFmtId="179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7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81" fontId="3" fillId="0" borderId="0" xfId="2" applyNumberFormat="1" applyFont="1" applyFill="1">
      <alignment vertical="center"/>
    </xf>
    <xf numFmtId="181" fontId="3" fillId="5" borderId="0" xfId="2" applyNumberFormat="1" applyFont="1" applyFill="1">
      <alignment vertical="center"/>
    </xf>
    <xf numFmtId="0" fontId="3" fillId="5" borderId="0" xfId="0" applyFont="1" applyFill="1">
      <alignment vertical="center"/>
    </xf>
    <xf numFmtId="179" fontId="15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82" fontId="19" fillId="7" borderId="2" xfId="7" applyNumberFormat="1" applyFont="1" applyFill="1" applyBorder="1" applyAlignment="1">
      <alignment horizontal="center" vertical="center" wrapText="1"/>
    </xf>
    <xf numFmtId="43" fontId="19" fillId="7" borderId="2" xfId="1" applyFont="1" applyFill="1" applyBorder="1" applyAlignment="1">
      <alignment horizontal="center" vertical="center" wrapText="1"/>
    </xf>
    <xf numFmtId="0" fontId="19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2" fontId="20" fillId="0" borderId="2" xfId="7" applyNumberFormat="1" applyFont="1" applyFill="1" applyBorder="1" applyAlignment="1">
      <alignment horizontal="left" vertical="center"/>
    </xf>
    <xf numFmtId="43" fontId="20" fillId="4" borderId="2" xfId="1" applyFont="1" applyFill="1" applyBorder="1" applyAlignment="1">
      <alignment horizontal="center" vertical="center"/>
    </xf>
    <xf numFmtId="0" fontId="21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2" fillId="6" borderId="2" xfId="3" applyNumberFormat="1" applyFont="1" applyFill="1" applyBorder="1" applyAlignment="1" applyProtection="1">
      <alignment horizontal="center" vertical="center"/>
    </xf>
    <xf numFmtId="43" fontId="20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82" fontId="20" fillId="0" borderId="3" xfId="7" applyNumberFormat="1" applyFont="1" applyFill="1" applyBorder="1" applyAlignment="1">
      <alignment horizontal="center" vertical="center"/>
    </xf>
    <xf numFmtId="182" fontId="20" fillId="0" borderId="3" xfId="7" applyNumberFormat="1" applyFont="1" applyFill="1" applyBorder="1" applyAlignment="1">
      <alignment horizontal="left" vertical="center" wrapText="1"/>
    </xf>
    <xf numFmtId="0" fontId="21" fillId="6" borderId="2" xfId="3" applyNumberFormat="1" applyFont="1" applyFill="1" applyBorder="1" applyAlignment="1" applyProtection="1">
      <alignment horizontal="center" vertical="center" wrapText="1"/>
    </xf>
    <xf numFmtId="43" fontId="4" fillId="3" borderId="2" xfId="1" applyFont="1" applyFill="1" applyBorder="1" applyAlignment="1" applyProtection="1">
      <alignment vertical="center"/>
    </xf>
    <xf numFmtId="43" fontId="4" fillId="3" borderId="7" xfId="1" applyFont="1" applyFill="1" applyBorder="1" applyAlignment="1" applyProtection="1">
      <alignment vertical="center"/>
    </xf>
    <xf numFmtId="0" fontId="0" fillId="0" borderId="2" xfId="0" applyFont="1" applyBorder="1">
      <alignment vertical="center"/>
    </xf>
    <xf numFmtId="43" fontId="20" fillId="3" borderId="2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43" fontId="25" fillId="0" borderId="0" xfId="1" applyFont="1" applyFill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27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43" fontId="25" fillId="0" borderId="2" xfId="1" applyFont="1" applyFill="1" applyBorder="1" applyAlignment="1">
      <alignment horizontal="center" vertical="center"/>
    </xf>
    <xf numFmtId="43" fontId="25" fillId="0" borderId="0" xfId="0" applyNumberFormat="1" applyFont="1" applyFill="1">
      <alignment vertical="center"/>
    </xf>
    <xf numFmtId="0" fontId="27" fillId="0" borderId="2" xfId="0" applyFont="1" applyFill="1" applyBorder="1">
      <alignment vertical="center"/>
    </xf>
    <xf numFmtId="10" fontId="25" fillId="0" borderId="2" xfId="2" applyNumberFormat="1" applyFont="1" applyFill="1" applyBorder="1" applyAlignment="1">
      <alignment horizontal="center" vertical="center"/>
    </xf>
    <xf numFmtId="10" fontId="25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5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5" fillId="0" borderId="0" xfId="0" applyNumberFormat="1" applyFont="1" applyFill="1">
      <alignment vertical="center"/>
    </xf>
    <xf numFmtId="9" fontId="25" fillId="0" borderId="2" xfId="2" applyFont="1" applyFill="1" applyBorder="1">
      <alignment vertical="center"/>
    </xf>
    <xf numFmtId="10" fontId="25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5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5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4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43" fontId="25" fillId="0" borderId="0" xfId="1" applyFont="1">
      <alignment vertical="center"/>
    </xf>
    <xf numFmtId="43" fontId="30" fillId="0" borderId="2" xfId="1" applyFont="1" applyFill="1" applyBorder="1" applyAlignment="1">
      <alignment horizontal="center" vertical="center" wrapText="1"/>
    </xf>
    <xf numFmtId="43" fontId="26" fillId="0" borderId="2" xfId="1" applyFont="1" applyFill="1" applyBorder="1" applyAlignment="1">
      <alignment horizontal="center" vertical="center" wrapText="1"/>
    </xf>
    <xf numFmtId="179" fontId="25" fillId="0" borderId="2" xfId="1" applyNumberFormat="1" applyFont="1" applyFill="1" applyBorder="1" applyAlignment="1">
      <alignment horizontal="center" vertical="center"/>
    </xf>
    <xf numFmtId="179" fontId="24" fillId="0" borderId="2" xfId="1" applyNumberFormat="1" applyFont="1" applyFill="1" applyBorder="1" applyAlignment="1">
      <alignment horizontal="center" vertical="center"/>
    </xf>
    <xf numFmtId="0" fontId="27" fillId="9" borderId="2" xfId="0" applyFont="1" applyFill="1" applyBorder="1">
      <alignment vertical="center"/>
    </xf>
    <xf numFmtId="179" fontId="24" fillId="9" borderId="2" xfId="1" applyNumberFormat="1" applyFont="1" applyFill="1" applyBorder="1" applyAlignment="1">
      <alignment horizontal="center" vertical="center"/>
    </xf>
    <xf numFmtId="0" fontId="31" fillId="0" borderId="2" xfId="0" applyFont="1" applyFill="1" applyBorder="1">
      <alignment vertical="center"/>
    </xf>
    <xf numFmtId="0" fontId="25" fillId="0" borderId="2" xfId="0" applyFont="1" applyBorder="1">
      <alignment vertical="center"/>
    </xf>
    <xf numFmtId="10" fontId="24" fillId="0" borderId="2" xfId="2" applyNumberFormat="1" applyFont="1" applyBorder="1" applyAlignment="1">
      <alignment vertical="center"/>
    </xf>
    <xf numFmtId="179" fontId="24" fillId="0" borderId="2" xfId="1" applyNumberFormat="1" applyFont="1" applyBorder="1" applyAlignment="1">
      <alignment horizontal="center" vertical="center"/>
    </xf>
    <xf numFmtId="179" fontId="25" fillId="0" borderId="2" xfId="1" applyNumberFormat="1" applyFont="1" applyFill="1" applyBorder="1">
      <alignment vertical="center"/>
    </xf>
    <xf numFmtId="0" fontId="31" fillId="9" borderId="2" xfId="0" applyFont="1" applyFill="1" applyBorder="1">
      <alignment vertical="center"/>
    </xf>
    <xf numFmtId="179" fontId="25" fillId="0" borderId="2" xfId="1" applyNumberFormat="1" applyFont="1" applyBorder="1" applyAlignment="1">
      <alignment horizontal="center" vertical="center"/>
    </xf>
    <xf numFmtId="43" fontId="23" fillId="0" borderId="0" xfId="0" applyNumberFormat="1" applyFont="1" applyFill="1">
      <alignment vertical="center"/>
    </xf>
    <xf numFmtId="10" fontId="25" fillId="0" borderId="2" xfId="2" applyNumberFormat="1" applyFont="1" applyBorder="1">
      <alignment vertical="center"/>
    </xf>
    <xf numFmtId="10" fontId="25" fillId="0" borderId="0" xfId="2" applyNumberFormat="1" applyFont="1" applyBorder="1">
      <alignment vertical="center"/>
    </xf>
    <xf numFmtId="43" fontId="25" fillId="0" borderId="0" xfId="0" applyNumberFormat="1" applyFont="1" applyFill="1" applyBorder="1">
      <alignment vertical="center"/>
    </xf>
    <xf numFmtId="43" fontId="25" fillId="0" borderId="0" xfId="1" applyFont="1" applyBorder="1">
      <alignment vertical="center"/>
    </xf>
    <xf numFmtId="0" fontId="25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43" fontId="25" fillId="0" borderId="2" xfId="1" applyFont="1" applyBorder="1">
      <alignment vertical="center"/>
    </xf>
    <xf numFmtId="179" fontId="25" fillId="0" borderId="2" xfId="1" applyNumberFormat="1" applyFont="1" applyBorder="1">
      <alignment vertical="center"/>
    </xf>
    <xf numFmtId="0" fontId="24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5" fillId="0" borderId="6" xfId="0" applyFont="1" applyBorder="1">
      <alignment vertical="center"/>
    </xf>
    <xf numFmtId="1" fontId="20" fillId="6" borderId="0" xfId="3" applyNumberFormat="1" applyFont="1" applyFill="1" applyProtection="1"/>
    <xf numFmtId="0" fontId="20" fillId="6" borderId="0" xfId="3" applyFont="1" applyFill="1" applyProtection="1"/>
    <xf numFmtId="0" fontId="32" fillId="6" borderId="0" xfId="3" applyFont="1" applyFill="1" applyAlignment="1" applyProtection="1">
      <alignment horizontal="centerContinuous"/>
    </xf>
    <xf numFmtId="0" fontId="20" fillId="6" borderId="0" xfId="3" applyFont="1" applyFill="1" applyAlignment="1">
      <alignment horizontal="centerContinuous"/>
    </xf>
    <xf numFmtId="0" fontId="20" fillId="6" borderId="0" xfId="3" applyFont="1" applyFill="1" applyAlignment="1" applyProtection="1">
      <alignment horizontal="centerContinuous"/>
    </xf>
    <xf numFmtId="9" fontId="20" fillId="6" borderId="0" xfId="3" applyNumberFormat="1" applyFont="1" applyFill="1" applyProtection="1"/>
    <xf numFmtId="0" fontId="20" fillId="6" borderId="6" xfId="3" applyFont="1" applyFill="1" applyBorder="1" applyAlignment="1" applyProtection="1">
      <alignment horizontal="center"/>
    </xf>
    <xf numFmtId="0" fontId="22" fillId="6" borderId="2" xfId="3" applyFont="1" applyFill="1" applyBorder="1" applyAlignment="1" applyProtection="1">
      <alignment horizontal="center"/>
    </xf>
    <xf numFmtId="0" fontId="22" fillId="6" borderId="4" xfId="3" applyFont="1" applyFill="1" applyBorder="1" applyAlignment="1" applyProtection="1">
      <alignment horizontal="center"/>
    </xf>
    <xf numFmtId="1" fontId="22" fillId="6" borderId="4" xfId="8" applyFont="1" applyFill="1" applyBorder="1"/>
    <xf numFmtId="1" fontId="20" fillId="6" borderId="4" xfId="8" applyFont="1" applyFill="1" applyBorder="1"/>
    <xf numFmtId="0" fontId="20" fillId="6" borderId="7" xfId="3" applyFont="1" applyFill="1" applyBorder="1" applyProtection="1"/>
    <xf numFmtId="0" fontId="20" fillId="6" borderId="2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left"/>
    </xf>
    <xf numFmtId="0" fontId="20" fillId="9" borderId="2" xfId="3" applyFont="1" applyFill="1" applyBorder="1" applyProtection="1"/>
    <xf numFmtId="179" fontId="20" fillId="9" borderId="2" xfId="1" applyNumberFormat="1" applyFont="1" applyFill="1" applyBorder="1" applyAlignment="1" applyProtection="1"/>
    <xf numFmtId="0" fontId="20" fillId="6" borderId="2" xfId="3" applyFont="1" applyFill="1" applyBorder="1" applyProtection="1"/>
    <xf numFmtId="179" fontId="20" fillId="6" borderId="2" xfId="1" applyNumberFormat="1" applyFont="1" applyFill="1" applyBorder="1" applyAlignment="1" applyProtection="1"/>
    <xf numFmtId="0" fontId="20" fillId="6" borderId="2" xfId="3" applyNumberFormat="1" applyFont="1" applyFill="1" applyBorder="1" applyAlignment="1" applyProtection="1">
      <alignment horizontal="left"/>
    </xf>
    <xf numFmtId="1" fontId="20" fillId="6" borderId="2" xfId="3" applyNumberFormat="1" applyFont="1" applyFill="1" applyBorder="1" applyProtection="1"/>
    <xf numFmtId="1" fontId="20" fillId="6" borderId="2" xfId="3" applyNumberFormat="1" applyFont="1" applyFill="1" applyBorder="1" applyAlignment="1" applyProtection="1">
      <alignment horizontal="left"/>
    </xf>
    <xf numFmtId="0" fontId="20" fillId="6" borderId="9" xfId="3" applyFont="1" applyFill="1" applyBorder="1" applyProtection="1"/>
    <xf numFmtId="0" fontId="20" fillId="6" borderId="11" xfId="3" applyFont="1" applyFill="1" applyBorder="1" applyProtection="1"/>
    <xf numFmtId="0" fontId="20" fillId="6" borderId="12" xfId="3" applyFont="1" applyFill="1" applyBorder="1" applyProtection="1"/>
    <xf numFmtId="0" fontId="20" fillId="6" borderId="0" xfId="3" applyFont="1" applyFill="1" applyBorder="1" applyProtection="1"/>
    <xf numFmtId="183" fontId="20" fillId="6" borderId="0" xfId="3" applyNumberFormat="1" applyFont="1" applyFill="1" applyBorder="1" applyProtection="1"/>
    <xf numFmtId="10" fontId="20" fillId="6" borderId="0" xfId="3" applyNumberFormat="1" applyFont="1" applyFill="1" applyBorder="1" applyProtection="1"/>
    <xf numFmtId="1" fontId="20" fillId="6" borderId="0" xfId="3" applyNumberFormat="1" applyFont="1" applyFill="1" applyBorder="1" applyProtection="1"/>
    <xf numFmtId="0" fontId="20" fillId="6" borderId="13" xfId="3" applyFont="1" applyFill="1" applyBorder="1" applyProtection="1"/>
    <xf numFmtId="0" fontId="20" fillId="6" borderId="1" xfId="3" applyFont="1" applyFill="1" applyBorder="1" applyProtection="1"/>
    <xf numFmtId="2" fontId="20" fillId="6" borderId="1" xfId="3" applyNumberFormat="1" applyFont="1" applyFill="1" applyBorder="1" applyProtection="1"/>
    <xf numFmtId="0" fontId="20" fillId="6" borderId="5" xfId="3" applyFont="1" applyFill="1" applyBorder="1"/>
    <xf numFmtId="1" fontId="20" fillId="6" borderId="7" xfId="8" applyFont="1" applyFill="1" applyBorder="1" applyAlignment="1">
      <alignment horizontal="center"/>
    </xf>
    <xf numFmtId="0" fontId="20" fillId="6" borderId="8" xfId="3" applyFont="1" applyFill="1" applyBorder="1" applyProtection="1"/>
    <xf numFmtId="0" fontId="20" fillId="6" borderId="14" xfId="3" applyFont="1" applyFill="1" applyBorder="1" applyProtection="1"/>
    <xf numFmtId="0" fontId="20" fillId="6" borderId="15" xfId="3" applyFont="1" applyFill="1" applyBorder="1" applyProtection="1"/>
    <xf numFmtId="0" fontId="33" fillId="0" borderId="0" xfId="0" applyFont="1">
      <alignment vertical="center"/>
    </xf>
    <xf numFmtId="0" fontId="34" fillId="0" borderId="2" xfId="0" applyFont="1" applyBorder="1" applyAlignment="1">
      <alignment horizontal="center" vertical="center" wrapText="1" readingOrder="1"/>
    </xf>
    <xf numFmtId="0" fontId="33" fillId="0" borderId="0" xfId="0" applyFont="1" applyFill="1">
      <alignment vertical="center"/>
    </xf>
    <xf numFmtId="0" fontId="15" fillId="0" borderId="2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 readingOrder="1"/>
    </xf>
    <xf numFmtId="0" fontId="14" fillId="0" borderId="2" xfId="0" applyFont="1" applyFill="1" applyBorder="1" applyAlignment="1">
      <alignment horizontal="left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22" fillId="6" borderId="2" xfId="3" applyFont="1" applyFill="1" applyBorder="1" applyAlignment="1" applyProtection="1">
      <alignment horizontal="center"/>
    </xf>
    <xf numFmtId="0" fontId="29" fillId="0" borderId="1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3" fontId="25" fillId="0" borderId="3" xfId="1" applyFont="1" applyFill="1" applyBorder="1" applyAlignment="1">
      <alignment horizontal="center" vertical="center"/>
    </xf>
    <xf numFmtId="43" fontId="25" fillId="0" borderId="4" xfId="1" applyFont="1" applyFill="1" applyBorder="1" applyAlignment="1">
      <alignment horizontal="center" vertical="center"/>
    </xf>
    <xf numFmtId="43" fontId="25" fillId="0" borderId="5" xfId="1" applyFont="1" applyFill="1" applyBorder="1" applyAlignment="1">
      <alignment horizontal="center" vertical="center"/>
    </xf>
    <xf numFmtId="43" fontId="25" fillId="4" borderId="2" xfId="1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0" fontId="18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left" vertical="center" wrapText="1" readingOrder="1"/>
    </xf>
    <xf numFmtId="0" fontId="48" fillId="0" borderId="2" xfId="0" applyFont="1" applyFill="1" applyBorder="1" applyAlignment="1">
      <alignment horizontal="left" vertical="center" wrapText="1" readingOrder="1"/>
    </xf>
    <xf numFmtId="0" fontId="45" fillId="0" borderId="2" xfId="0" applyFont="1" applyFill="1" applyBorder="1">
      <alignment vertical="center"/>
    </xf>
    <xf numFmtId="0" fontId="49" fillId="0" borderId="2" xfId="0" applyFont="1" applyBorder="1" applyAlignment="1">
      <alignment vertical="center" wrapText="1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4.4"/>
  <cols>
    <col min="1" max="1" width="8.88671875" customWidth="1"/>
    <col min="2" max="2" width="16.33203125" customWidth="1"/>
    <col min="3" max="3" width="89.77734375" customWidth="1"/>
  </cols>
  <sheetData>
    <row r="2" spans="1:4" s="193" customFormat="1" ht="35.25" customHeight="1">
      <c r="A2" s="194" t="s">
        <v>0</v>
      </c>
      <c r="B2" s="194" t="s">
        <v>1</v>
      </c>
      <c r="C2" s="194" t="s">
        <v>2</v>
      </c>
      <c r="D2" s="195"/>
    </row>
    <row r="3" spans="1:4" s="193" customFormat="1" ht="33.75" customHeight="1">
      <c r="A3" s="196">
        <v>1</v>
      </c>
      <c r="B3" s="196" t="s">
        <v>3</v>
      </c>
      <c r="C3" s="197" t="s">
        <v>4</v>
      </c>
      <c r="D3" s="195"/>
    </row>
    <row r="4" spans="1:4" s="193" customFormat="1" ht="33.75" customHeight="1">
      <c r="A4" s="196">
        <v>2</v>
      </c>
      <c r="B4" s="196" t="s">
        <v>5</v>
      </c>
      <c r="C4" s="263" t="s">
        <v>298</v>
      </c>
    </row>
    <row r="5" spans="1:4" s="193" customFormat="1" ht="33.75" customHeight="1">
      <c r="A5" s="196">
        <v>3</v>
      </c>
      <c r="B5" s="201" t="s">
        <v>6</v>
      </c>
      <c r="C5" s="264" t="s">
        <v>299</v>
      </c>
    </row>
    <row r="6" spans="1:4" s="193" customFormat="1" ht="33.75" customHeight="1">
      <c r="A6" s="196">
        <v>4</v>
      </c>
      <c r="B6" s="202"/>
      <c r="C6" s="263" t="s">
        <v>297</v>
      </c>
    </row>
    <row r="7" spans="1:4" s="193" customFormat="1" ht="33.75" customHeight="1">
      <c r="A7" s="196">
        <v>5</v>
      </c>
      <c r="B7" s="199" t="s">
        <v>7</v>
      </c>
      <c r="C7" s="263" t="s">
        <v>300</v>
      </c>
    </row>
    <row r="8" spans="1:4" s="193" customFormat="1" ht="33.75" customHeight="1">
      <c r="A8" s="196">
        <v>6</v>
      </c>
      <c r="B8" s="201" t="s">
        <v>8</v>
      </c>
      <c r="C8" s="197" t="s">
        <v>9</v>
      </c>
    </row>
    <row r="9" spans="1:4" s="193" customFormat="1" ht="33.75" customHeight="1">
      <c r="A9" s="196">
        <v>7</v>
      </c>
      <c r="B9" s="202"/>
      <c r="C9" s="197" t="s">
        <v>10</v>
      </c>
    </row>
    <row r="10" spans="1:4" s="193" customFormat="1" ht="33.75" customHeight="1">
      <c r="A10" s="196">
        <v>8</v>
      </c>
      <c r="B10" s="202"/>
      <c r="C10" s="198" t="s">
        <v>11</v>
      </c>
    </row>
    <row r="11" spans="1:4" s="193" customFormat="1" ht="33.75" customHeight="1">
      <c r="A11" s="196">
        <v>9</v>
      </c>
      <c r="B11" s="202"/>
      <c r="C11" s="197" t="s">
        <v>12</v>
      </c>
    </row>
    <row r="12" spans="1:4" s="193" customFormat="1" ht="33.75" customHeight="1">
      <c r="A12" s="196">
        <v>10</v>
      </c>
      <c r="B12" s="199" t="s">
        <v>13</v>
      </c>
      <c r="C12" s="197" t="s">
        <v>14</v>
      </c>
    </row>
    <row r="13" spans="1:4" ht="33.75" customHeight="1"/>
    <row r="14" spans="1:4" ht="33.75" customHeight="1"/>
    <row r="15" spans="1:4" ht="33.75" customHeight="1">
      <c r="C15" s="200"/>
    </row>
  </sheetData>
  <mergeCells count="2">
    <mergeCell ref="B5:B6"/>
    <mergeCell ref="B8:B11"/>
  </mergeCells>
  <phoneticPr fontId="4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4.4"/>
  <cols>
    <col min="1" max="1" width="9" style="18"/>
    <col min="2" max="2" width="29.6640625" style="18" customWidth="1"/>
    <col min="3" max="3" width="25.44140625" style="18" customWidth="1"/>
    <col min="4" max="4" width="22" style="18" customWidth="1"/>
    <col min="5" max="16384" width="9" style="18"/>
  </cols>
  <sheetData>
    <row r="1" spans="1:4" ht="27" customHeight="1">
      <c r="A1" s="19" t="s">
        <v>17</v>
      </c>
      <c r="B1" s="19" t="s">
        <v>249</v>
      </c>
      <c r="C1" s="19" t="s">
        <v>250</v>
      </c>
      <c r="D1" s="19" t="s">
        <v>251</v>
      </c>
    </row>
    <row r="2" spans="1:4" ht="19.5" customHeight="1">
      <c r="A2" s="19">
        <v>1</v>
      </c>
      <c r="B2" s="20" t="s">
        <v>252</v>
      </c>
      <c r="C2" s="21" t="s">
        <v>253</v>
      </c>
      <c r="D2" s="19"/>
    </row>
    <row r="3" spans="1:4" ht="36" customHeight="1">
      <c r="A3" s="19">
        <v>2</v>
      </c>
      <c r="B3" s="20" t="s">
        <v>254</v>
      </c>
      <c r="C3" s="22" t="s">
        <v>255</v>
      </c>
      <c r="D3" s="19" t="s">
        <v>256</v>
      </c>
    </row>
    <row r="4" spans="1:4" ht="19.5" customHeight="1">
      <c r="A4" s="19">
        <v>3</v>
      </c>
      <c r="B4" s="20" t="s">
        <v>257</v>
      </c>
      <c r="C4" s="21" t="s">
        <v>258</v>
      </c>
      <c r="D4" s="19"/>
    </row>
    <row r="5" spans="1:4" ht="42.75" customHeight="1">
      <c r="A5" s="19">
        <v>4</v>
      </c>
      <c r="B5" s="20" t="s">
        <v>259</v>
      </c>
      <c r="C5" s="21"/>
      <c r="D5" s="19"/>
    </row>
    <row r="6" spans="1:4" ht="39" customHeight="1">
      <c r="A6" s="19">
        <v>5</v>
      </c>
      <c r="B6" s="20" t="s">
        <v>260</v>
      </c>
      <c r="C6" s="21"/>
      <c r="D6" s="19"/>
    </row>
    <row r="7" spans="1:4" ht="27.75" customHeight="1">
      <c r="A7" s="19">
        <v>6</v>
      </c>
      <c r="B7" s="19" t="s">
        <v>261</v>
      </c>
      <c r="C7" s="22" t="s">
        <v>262</v>
      </c>
    </row>
    <row r="8" spans="1:4" ht="36" customHeight="1">
      <c r="A8" s="19">
        <v>7</v>
      </c>
      <c r="B8" s="20" t="s">
        <v>263</v>
      </c>
      <c r="C8" s="23" t="s">
        <v>264</v>
      </c>
      <c r="D8" s="19"/>
    </row>
    <row r="9" spans="1:4" ht="34.5" customHeight="1">
      <c r="A9" s="19">
        <v>8</v>
      </c>
      <c r="B9" s="19" t="s">
        <v>265</v>
      </c>
      <c r="C9" s="24">
        <v>3.0000000000000001E-3</v>
      </c>
      <c r="D9" s="19"/>
    </row>
    <row r="10" spans="1:4" ht="34.5" customHeight="1">
      <c r="A10" s="19">
        <v>9</v>
      </c>
      <c r="B10" s="19" t="s">
        <v>266</v>
      </c>
      <c r="C10" s="23" t="s">
        <v>267</v>
      </c>
      <c r="D10" s="19"/>
    </row>
    <row r="11" spans="1:4" ht="34.5" customHeight="1">
      <c r="A11" s="19">
        <v>10</v>
      </c>
      <c r="B11" s="19" t="s">
        <v>268</v>
      </c>
      <c r="C11" s="23"/>
      <c r="D11" s="19" t="s">
        <v>269</v>
      </c>
    </row>
    <row r="12" spans="1:4" ht="34.5" customHeight="1">
      <c r="A12" s="19">
        <v>11</v>
      </c>
      <c r="B12" s="19" t="s">
        <v>270</v>
      </c>
      <c r="C12" s="23"/>
      <c r="D12" s="19"/>
    </row>
    <row r="13" spans="1:4" ht="24" customHeight="1">
      <c r="A13" s="19">
        <v>12</v>
      </c>
      <c r="B13" s="20" t="s">
        <v>271</v>
      </c>
      <c r="C13" s="23" t="s">
        <v>272</v>
      </c>
      <c r="D13" s="19"/>
    </row>
    <row r="14" spans="1:4" ht="24" customHeight="1">
      <c r="A14" s="19">
        <v>13</v>
      </c>
      <c r="B14" s="20" t="s">
        <v>273</v>
      </c>
      <c r="C14" s="23" t="s">
        <v>274</v>
      </c>
      <c r="D14" s="19"/>
    </row>
    <row r="15" spans="1:4" ht="24" customHeight="1">
      <c r="A15" s="19">
        <v>14</v>
      </c>
      <c r="B15" s="20" t="s">
        <v>275</v>
      </c>
      <c r="C15" s="23"/>
      <c r="D15" s="19"/>
    </row>
    <row r="16" spans="1:4" ht="24" customHeight="1">
      <c r="A16" s="19">
        <v>15</v>
      </c>
      <c r="B16" s="19" t="s">
        <v>35</v>
      </c>
      <c r="C16" s="19"/>
      <c r="D16" s="19"/>
    </row>
    <row r="17" spans="2:2" ht="15.6">
      <c r="B17" s="25" t="s">
        <v>276</v>
      </c>
    </row>
  </sheetData>
  <phoneticPr fontId="4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40"/>
  <sheetViews>
    <sheetView zoomScale="85" zoomScaleNormal="85" workbookViewId="0">
      <selection activeCell="K11" sqref="K11"/>
    </sheetView>
  </sheetViews>
  <sheetFormatPr defaultColWidth="9" defaultRowHeight="14.4"/>
  <cols>
    <col min="1" max="2" width="9" style="2"/>
    <col min="3" max="5" width="15.77734375" style="2" customWidth="1"/>
    <col min="6" max="8" width="11.109375" style="2" customWidth="1"/>
    <col min="9" max="9" width="20.77734375" style="3" customWidth="1"/>
    <col min="10" max="13" width="9" style="2"/>
    <col min="14" max="14" width="10.6640625" style="2" customWidth="1"/>
    <col min="15" max="16384" width="9" style="2"/>
  </cols>
  <sheetData>
    <row r="1" spans="1:14" s="1" customFormat="1" ht="18.75" customHeight="1">
      <c r="G1" s="253" t="s">
        <v>277</v>
      </c>
      <c r="H1" s="253"/>
      <c r="I1" s="262">
        <f>材料成本!D5</f>
        <v>473.45132743362802</v>
      </c>
    </row>
    <row r="2" spans="1:14" ht="39" customHeight="1">
      <c r="A2" s="260" t="s">
        <v>278</v>
      </c>
      <c r="B2" s="260"/>
      <c r="C2" s="254" t="s">
        <v>279</v>
      </c>
      <c r="D2" s="255"/>
      <c r="E2" s="255"/>
      <c r="F2" s="255"/>
      <c r="G2" s="255"/>
      <c r="H2" s="256"/>
      <c r="I2" s="3" t="s">
        <v>280</v>
      </c>
      <c r="K2" s="15" t="s">
        <v>1</v>
      </c>
      <c r="L2" s="15" t="s">
        <v>281</v>
      </c>
      <c r="M2" s="15" t="s">
        <v>282</v>
      </c>
      <c r="N2" s="15" t="s">
        <v>283</v>
      </c>
    </row>
    <row r="3" spans="1:14" ht="34.5" customHeight="1">
      <c r="A3" s="260"/>
      <c r="B3" s="260"/>
      <c r="C3" s="4" t="s">
        <v>284</v>
      </c>
      <c r="D3" s="4" t="s">
        <v>285</v>
      </c>
      <c r="E3" s="4" t="s">
        <v>286</v>
      </c>
      <c r="F3" s="5" t="s">
        <v>287</v>
      </c>
      <c r="G3" s="5" t="s">
        <v>288</v>
      </c>
      <c r="H3" s="5" t="s">
        <v>289</v>
      </c>
      <c r="I3" s="16">
        <f>销量!C8</f>
        <v>473.45132743362802</v>
      </c>
      <c r="K3" s="15" t="s">
        <v>193</v>
      </c>
      <c r="L3" s="15">
        <v>42</v>
      </c>
      <c r="M3" s="15">
        <v>6</v>
      </c>
      <c r="N3" s="15">
        <v>24</v>
      </c>
    </row>
    <row r="4" spans="1:14" ht="24" customHeight="1">
      <c r="A4" s="257" t="s">
        <v>290</v>
      </c>
      <c r="B4" s="257"/>
      <c r="C4" s="7"/>
      <c r="D4" s="8"/>
      <c r="E4" s="9">
        <f>I3*I4</f>
        <v>15.671238938053101</v>
      </c>
      <c r="F4" s="9"/>
      <c r="G4" s="9"/>
      <c r="H4" s="10">
        <v>4.48E-2</v>
      </c>
      <c r="I4" s="3">
        <v>3.3099999999999997E-2</v>
      </c>
    </row>
    <row r="5" spans="1:14" ht="24" customHeight="1">
      <c r="A5" s="257" t="s">
        <v>291</v>
      </c>
      <c r="B5" s="6" t="s">
        <v>292</v>
      </c>
      <c r="C5" s="7"/>
      <c r="D5" s="8"/>
      <c r="E5" s="9">
        <f>$I$3*I5</f>
        <v>16.665486725663701</v>
      </c>
      <c r="F5" s="9"/>
      <c r="G5" s="9"/>
      <c r="H5" s="10">
        <v>4.0399999999999998E-2</v>
      </c>
      <c r="I5" s="3">
        <v>3.5200000000000002E-2</v>
      </c>
    </row>
    <row r="6" spans="1:14" ht="24" customHeight="1">
      <c r="A6" s="257"/>
      <c r="B6" s="6" t="s">
        <v>293</v>
      </c>
      <c r="C6" s="7"/>
      <c r="D6" s="8"/>
      <c r="E6" s="9">
        <f>$I$3*I6</f>
        <v>10.273893805309701</v>
      </c>
      <c r="F6" s="9"/>
      <c r="G6" s="9"/>
      <c r="H6" s="10">
        <v>1.66E-2</v>
      </c>
      <c r="I6" s="3">
        <v>2.1700000000000001E-2</v>
      </c>
    </row>
    <row r="7" spans="1:14" ht="24" customHeight="1">
      <c r="A7" s="254" t="s">
        <v>294</v>
      </c>
      <c r="B7" s="256"/>
      <c r="C7" s="11"/>
      <c r="D7" s="12"/>
      <c r="E7" s="9">
        <f t="shared" ref="E7:E11" si="0">$I$3*I7</f>
        <v>42.610619469026503</v>
      </c>
      <c r="F7" s="9"/>
      <c r="G7" s="9"/>
      <c r="H7" s="13">
        <f>SUM(H4:H6)</f>
        <v>0.1018</v>
      </c>
      <c r="I7" s="3">
        <f>SUM(I4:I6)</f>
        <v>0.09</v>
      </c>
    </row>
    <row r="8" spans="1:14" ht="24" customHeight="1">
      <c r="A8" s="257" t="s">
        <v>82</v>
      </c>
      <c r="B8" s="257"/>
      <c r="C8" s="7"/>
      <c r="D8" s="8"/>
      <c r="E8" s="9">
        <f t="shared" si="0"/>
        <v>4.7345132743362797</v>
      </c>
      <c r="F8" s="9"/>
      <c r="G8" s="9"/>
      <c r="H8" s="10">
        <f>1.97%+0.75%</f>
        <v>2.7199999999999998E-2</v>
      </c>
      <c r="I8" s="3">
        <v>0.01</v>
      </c>
    </row>
    <row r="9" spans="1:14" ht="24" customHeight="1">
      <c r="A9" s="258" t="s">
        <v>295</v>
      </c>
      <c r="B9" s="6" t="s">
        <v>292</v>
      </c>
      <c r="C9" s="7"/>
      <c r="D9" s="8"/>
      <c r="E9" s="9">
        <f t="shared" si="0"/>
        <v>4.7345132743362797</v>
      </c>
      <c r="F9" s="9"/>
      <c r="G9" s="9"/>
      <c r="H9" s="10">
        <v>5.3E-3</v>
      </c>
      <c r="I9" s="3">
        <v>0.01</v>
      </c>
    </row>
    <row r="10" spans="1:14" ht="24" customHeight="1">
      <c r="A10" s="259"/>
      <c r="B10" s="6" t="s">
        <v>293</v>
      </c>
      <c r="C10" s="7"/>
      <c r="D10" s="8"/>
      <c r="E10" s="9">
        <f>$I$3*I10+24</f>
        <v>28.734513274336301</v>
      </c>
      <c r="F10" s="9"/>
      <c r="G10" s="9"/>
      <c r="H10" s="10">
        <v>3.4099999999999998E-2</v>
      </c>
      <c r="I10" s="3">
        <v>0.01</v>
      </c>
    </row>
    <row r="11" spans="1:14" ht="24" customHeight="1">
      <c r="A11" s="257" t="s">
        <v>85</v>
      </c>
      <c r="B11" s="257"/>
      <c r="C11" s="7"/>
      <c r="D11" s="8"/>
      <c r="E11" s="9">
        <f t="shared" si="0"/>
        <v>14.203539823008841</v>
      </c>
      <c r="F11" s="9"/>
      <c r="G11" s="9"/>
      <c r="H11" s="10">
        <v>1.0999999999999999E-2</v>
      </c>
      <c r="I11" s="3">
        <v>0.03</v>
      </c>
    </row>
    <row r="13" spans="1:14" s="1" customFormat="1" ht="18.75" customHeight="1">
      <c r="G13" s="253" t="s">
        <v>277</v>
      </c>
      <c r="H13" s="253"/>
      <c r="I13" s="261">
        <f>材料成本!E5</f>
        <v>473.45132743362802</v>
      </c>
    </row>
    <row r="14" spans="1:14" ht="39" customHeight="1">
      <c r="A14" s="260" t="s">
        <v>278</v>
      </c>
      <c r="B14" s="260"/>
      <c r="C14" s="254" t="s">
        <v>279</v>
      </c>
      <c r="D14" s="255"/>
      <c r="E14" s="255"/>
      <c r="F14" s="255"/>
      <c r="G14" s="255"/>
      <c r="H14" s="256"/>
      <c r="I14" s="3" t="s">
        <v>280</v>
      </c>
    </row>
    <row r="15" spans="1:14" ht="34.5" customHeight="1">
      <c r="A15" s="260"/>
      <c r="B15" s="260"/>
      <c r="C15" s="4" t="s">
        <v>284</v>
      </c>
      <c r="D15" s="4" t="s">
        <v>285</v>
      </c>
      <c r="E15" s="4" t="s">
        <v>286</v>
      </c>
      <c r="F15" s="5" t="s">
        <v>287</v>
      </c>
      <c r="G15" s="5" t="s">
        <v>288</v>
      </c>
      <c r="H15" s="5" t="s">
        <v>289</v>
      </c>
      <c r="I15" s="16">
        <f>销量!D8</f>
        <v>473.45132743362802</v>
      </c>
    </row>
    <row r="16" spans="1:14" ht="24" customHeight="1">
      <c r="A16" s="257" t="s">
        <v>290</v>
      </c>
      <c r="B16" s="257"/>
      <c r="C16" s="7"/>
      <c r="D16" s="8"/>
      <c r="E16" s="9">
        <f>I15*I16</f>
        <v>15.671238938053101</v>
      </c>
      <c r="F16" s="9"/>
      <c r="G16" s="9"/>
      <c r="H16" s="10">
        <v>4.48E-2</v>
      </c>
      <c r="I16" s="3">
        <v>3.3099999999999997E-2</v>
      </c>
    </row>
    <row r="17" spans="1:9" ht="24" customHeight="1">
      <c r="A17" s="257" t="s">
        <v>291</v>
      </c>
      <c r="B17" s="6" t="s">
        <v>292</v>
      </c>
      <c r="C17" s="7"/>
      <c r="D17" s="8"/>
      <c r="E17" s="9">
        <f>$I$15*I17</f>
        <v>16.665486725663701</v>
      </c>
      <c r="F17" s="9"/>
      <c r="G17" s="9"/>
      <c r="H17" s="10">
        <v>4.0399999999999998E-2</v>
      </c>
      <c r="I17" s="3">
        <v>3.5200000000000002E-2</v>
      </c>
    </row>
    <row r="18" spans="1:9" ht="24" customHeight="1">
      <c r="A18" s="257"/>
      <c r="B18" s="6" t="s">
        <v>293</v>
      </c>
      <c r="C18" s="7"/>
      <c r="D18" s="8"/>
      <c r="E18" s="9">
        <f t="shared" ref="E18:E23" si="1">$I$15*I18</f>
        <v>10.273893805309701</v>
      </c>
      <c r="F18" s="9"/>
      <c r="G18" s="9"/>
      <c r="H18" s="10">
        <v>1.66E-2</v>
      </c>
      <c r="I18" s="3">
        <v>2.1700000000000001E-2</v>
      </c>
    </row>
    <row r="19" spans="1:9" ht="24" customHeight="1">
      <c r="A19" s="254" t="s">
        <v>294</v>
      </c>
      <c r="B19" s="256"/>
      <c r="C19" s="11"/>
      <c r="D19" s="12"/>
      <c r="E19" s="9">
        <f t="shared" si="1"/>
        <v>42.610619469026503</v>
      </c>
      <c r="F19" s="9"/>
      <c r="G19" s="9"/>
      <c r="H19" s="13">
        <f>SUM(H16:H18)</f>
        <v>0.1018</v>
      </c>
      <c r="I19" s="3">
        <f>SUM(I16:I18)</f>
        <v>0.09</v>
      </c>
    </row>
    <row r="20" spans="1:9" ht="24" customHeight="1">
      <c r="A20" s="257" t="s">
        <v>82</v>
      </c>
      <c r="B20" s="257"/>
      <c r="C20" s="7"/>
      <c r="D20" s="8"/>
      <c r="E20" s="9">
        <f t="shared" si="1"/>
        <v>4.7345132743362797</v>
      </c>
      <c r="F20" s="9"/>
      <c r="G20" s="9"/>
      <c r="H20" s="10">
        <f>1.97%+0.75%</f>
        <v>2.7199999999999998E-2</v>
      </c>
      <c r="I20" s="3">
        <v>0.01</v>
      </c>
    </row>
    <row r="21" spans="1:9" ht="24" customHeight="1">
      <c r="A21" s="258" t="s">
        <v>295</v>
      </c>
      <c r="B21" s="6" t="s">
        <v>292</v>
      </c>
      <c r="C21" s="7"/>
      <c r="D21" s="8"/>
      <c r="E21" s="9">
        <f t="shared" si="1"/>
        <v>4.7345132743362797</v>
      </c>
      <c r="F21" s="9"/>
      <c r="G21" s="9"/>
      <c r="H21" s="10">
        <v>5.3E-3</v>
      </c>
      <c r="I21" s="3">
        <v>0.01</v>
      </c>
    </row>
    <row r="22" spans="1:9" ht="24" customHeight="1">
      <c r="A22" s="259"/>
      <c r="B22" s="6" t="s">
        <v>293</v>
      </c>
      <c r="C22" s="7"/>
      <c r="D22" s="8"/>
      <c r="E22" s="9">
        <f>$I$15*I22+24</f>
        <v>28.734513274336301</v>
      </c>
      <c r="F22" s="9"/>
      <c r="G22" s="9"/>
      <c r="H22" s="10">
        <v>3.4099999999999998E-2</v>
      </c>
      <c r="I22" s="3">
        <v>0.01</v>
      </c>
    </row>
    <row r="23" spans="1:9" ht="24" customHeight="1">
      <c r="A23" s="257" t="s">
        <v>85</v>
      </c>
      <c r="B23" s="257"/>
      <c r="C23" s="7"/>
      <c r="D23" s="8"/>
      <c r="E23" s="9">
        <f t="shared" si="1"/>
        <v>14.203539823008841</v>
      </c>
      <c r="F23" s="9"/>
      <c r="G23" s="9"/>
      <c r="H23" s="10">
        <v>1.0999999999999999E-2</v>
      </c>
      <c r="I23" s="3">
        <v>0.03</v>
      </c>
    </row>
    <row r="26" spans="1:9" s="1" customFormat="1" ht="18.75" customHeight="1">
      <c r="G26" s="253" t="s">
        <v>277</v>
      </c>
      <c r="H26" s="253"/>
      <c r="I26" s="17">
        <f>材料成本!F5</f>
        <v>4.4247787610619502</v>
      </c>
    </row>
    <row r="27" spans="1:9" ht="39" customHeight="1">
      <c r="A27" s="260" t="s">
        <v>278</v>
      </c>
      <c r="B27" s="260"/>
      <c r="C27" s="254" t="s">
        <v>279</v>
      </c>
      <c r="D27" s="255"/>
      <c r="E27" s="255"/>
      <c r="F27" s="255"/>
      <c r="G27" s="255"/>
      <c r="H27" s="256"/>
      <c r="I27" s="3" t="s">
        <v>280</v>
      </c>
    </row>
    <row r="28" spans="1:9" ht="34.5" customHeight="1">
      <c r="A28" s="260"/>
      <c r="B28" s="260"/>
      <c r="C28" s="4" t="s">
        <v>284</v>
      </c>
      <c r="D28" s="4" t="s">
        <v>285</v>
      </c>
      <c r="E28" s="4" t="s">
        <v>286</v>
      </c>
      <c r="F28" s="5" t="s">
        <v>287</v>
      </c>
      <c r="G28" s="5" t="s">
        <v>288</v>
      </c>
      <c r="H28" s="5" t="s">
        <v>289</v>
      </c>
      <c r="I28" s="16">
        <f>销量!E8</f>
        <v>4.4247787610619502</v>
      </c>
    </row>
    <row r="29" spans="1:9" ht="24" customHeight="1">
      <c r="A29" s="257" t="s">
        <v>290</v>
      </c>
      <c r="B29" s="257"/>
      <c r="C29" s="7"/>
      <c r="D29" s="8"/>
      <c r="E29" s="9">
        <f>I28*I29</f>
        <v>0.14646017699115099</v>
      </c>
      <c r="F29" s="9"/>
      <c r="G29" s="9"/>
      <c r="H29" s="10">
        <v>4.48E-2</v>
      </c>
      <c r="I29" s="3">
        <v>3.3099999999999997E-2</v>
      </c>
    </row>
    <row r="30" spans="1:9" ht="24" customHeight="1">
      <c r="A30" s="257" t="s">
        <v>291</v>
      </c>
      <c r="B30" s="6" t="s">
        <v>292</v>
      </c>
      <c r="C30" s="7"/>
      <c r="D30" s="8"/>
      <c r="E30" s="9">
        <f>$I$28*I30</f>
        <v>0.155752212389381</v>
      </c>
      <c r="F30" s="9"/>
      <c r="G30" s="9"/>
      <c r="H30" s="10">
        <v>4.0399999999999998E-2</v>
      </c>
      <c r="I30" s="3">
        <v>3.5200000000000002E-2</v>
      </c>
    </row>
    <row r="31" spans="1:9" ht="24" customHeight="1">
      <c r="A31" s="257"/>
      <c r="B31" s="6" t="s">
        <v>293</v>
      </c>
      <c r="C31" s="7"/>
      <c r="D31" s="8"/>
      <c r="E31" s="9">
        <f t="shared" ref="E31:E36" si="2">$I$28*I31</f>
        <v>9.6017699115044305E-2</v>
      </c>
      <c r="F31" s="9"/>
      <c r="G31" s="9"/>
      <c r="H31" s="10">
        <v>1.66E-2</v>
      </c>
      <c r="I31" s="3">
        <v>2.1700000000000001E-2</v>
      </c>
    </row>
    <row r="32" spans="1:9" ht="24" customHeight="1">
      <c r="A32" s="254" t="s">
        <v>294</v>
      </c>
      <c r="B32" s="256"/>
      <c r="C32" s="11"/>
      <c r="D32" s="12"/>
      <c r="E32" s="9">
        <f t="shared" si="2"/>
        <v>0.39823008849557601</v>
      </c>
      <c r="F32" s="9"/>
      <c r="G32" s="9"/>
      <c r="H32" s="13">
        <f>SUM(H29:H31)</f>
        <v>0.1018</v>
      </c>
      <c r="I32" s="3">
        <f>SUM(I29:I31)</f>
        <v>0.09</v>
      </c>
    </row>
    <row r="33" spans="1:9" ht="24" customHeight="1">
      <c r="A33" s="257" t="s">
        <v>82</v>
      </c>
      <c r="B33" s="257"/>
      <c r="C33" s="7"/>
      <c r="D33" s="8"/>
      <c r="E33" s="9">
        <f t="shared" si="2"/>
        <v>4.4247787610619503E-2</v>
      </c>
      <c r="F33" s="9"/>
      <c r="G33" s="9"/>
      <c r="H33" s="10">
        <f>1.97%+0.75%</f>
        <v>2.7199999999999998E-2</v>
      </c>
      <c r="I33" s="3">
        <v>0.01</v>
      </c>
    </row>
    <row r="34" spans="1:9" ht="24" customHeight="1">
      <c r="A34" s="258" t="s">
        <v>295</v>
      </c>
      <c r="B34" s="6" t="s">
        <v>292</v>
      </c>
      <c r="C34" s="7"/>
      <c r="D34" s="8"/>
      <c r="E34" s="9">
        <f t="shared" si="2"/>
        <v>4.4247787610619503E-2</v>
      </c>
      <c r="F34" s="9"/>
      <c r="G34" s="9"/>
      <c r="H34" s="10">
        <v>5.3E-3</v>
      </c>
      <c r="I34" s="3">
        <v>0.01</v>
      </c>
    </row>
    <row r="35" spans="1:9" ht="24" customHeight="1">
      <c r="A35" s="259"/>
      <c r="B35" s="6" t="s">
        <v>293</v>
      </c>
      <c r="C35" s="7"/>
      <c r="D35" s="8"/>
      <c r="E35" s="9">
        <f t="shared" si="2"/>
        <v>4.4247787610619503E-2</v>
      </c>
      <c r="F35" s="9"/>
      <c r="G35" s="9"/>
      <c r="H35" s="10">
        <v>3.4099999999999998E-2</v>
      </c>
      <c r="I35" s="3">
        <v>0.01</v>
      </c>
    </row>
    <row r="36" spans="1:9" ht="24" customHeight="1">
      <c r="A36" s="257" t="s">
        <v>85</v>
      </c>
      <c r="B36" s="257"/>
      <c r="C36" s="7"/>
      <c r="D36" s="8"/>
      <c r="E36" s="9">
        <f t="shared" si="2"/>
        <v>0.1327433628318585</v>
      </c>
      <c r="F36" s="9"/>
      <c r="G36" s="9"/>
      <c r="H36" s="10">
        <v>1.0999999999999999E-2</v>
      </c>
      <c r="I36" s="3">
        <v>0.03</v>
      </c>
    </row>
    <row r="39" spans="1:9" s="1" customFormat="1" ht="18.75" customHeight="1">
      <c r="G39" s="253" t="s">
        <v>277</v>
      </c>
      <c r="H39" s="253"/>
      <c r="I39" s="17">
        <f>材料成本!G5</f>
        <v>0</v>
      </c>
    </row>
    <row r="40" spans="1:9" ht="39" customHeight="1">
      <c r="A40" s="260" t="s">
        <v>278</v>
      </c>
      <c r="B40" s="260"/>
      <c r="C40" s="254" t="s">
        <v>296</v>
      </c>
      <c r="D40" s="255"/>
      <c r="E40" s="255"/>
      <c r="F40" s="255"/>
      <c r="G40" s="255"/>
      <c r="H40" s="256"/>
      <c r="I40" s="3" t="s">
        <v>280</v>
      </c>
    </row>
    <row r="41" spans="1:9" ht="34.5" customHeight="1">
      <c r="A41" s="260"/>
      <c r="B41" s="260"/>
      <c r="C41" s="4" t="s">
        <v>284</v>
      </c>
      <c r="D41" s="4" t="s">
        <v>285</v>
      </c>
      <c r="E41" s="4" t="s">
        <v>286</v>
      </c>
      <c r="F41" s="5" t="s">
        <v>287</v>
      </c>
      <c r="G41" s="5" t="s">
        <v>288</v>
      </c>
      <c r="H41" s="5" t="s">
        <v>289</v>
      </c>
      <c r="I41" s="16">
        <f>销量!F8</f>
        <v>0</v>
      </c>
    </row>
    <row r="42" spans="1:9" ht="24" customHeight="1">
      <c r="A42" s="257" t="s">
        <v>290</v>
      </c>
      <c r="B42" s="257"/>
      <c r="C42" s="7"/>
      <c r="D42" s="8"/>
      <c r="E42" s="9">
        <f>I41*I42</f>
        <v>0</v>
      </c>
      <c r="F42" s="9"/>
      <c r="G42" s="9"/>
      <c r="H42" s="10">
        <v>4.48E-2</v>
      </c>
      <c r="I42" s="3">
        <v>4.3099999999999999E-2</v>
      </c>
    </row>
    <row r="43" spans="1:9" ht="24" customHeight="1">
      <c r="A43" s="257" t="s">
        <v>291</v>
      </c>
      <c r="B43" s="6" t="s">
        <v>292</v>
      </c>
      <c r="C43" s="7"/>
      <c r="D43" s="8"/>
      <c r="E43" s="9">
        <f>$I$41*I43</f>
        <v>0</v>
      </c>
      <c r="F43" s="9"/>
      <c r="G43" s="9"/>
      <c r="H43" s="10">
        <v>4.0399999999999998E-2</v>
      </c>
      <c r="I43" s="3">
        <v>4.1000000000000002E-2</v>
      </c>
    </row>
    <row r="44" spans="1:9" ht="24" customHeight="1">
      <c r="A44" s="257"/>
      <c r="B44" s="6" t="s">
        <v>293</v>
      </c>
      <c r="C44" s="7"/>
      <c r="D44" s="8"/>
      <c r="E44" s="9">
        <f>$I$41*I44</f>
        <v>0</v>
      </c>
      <c r="F44" s="9"/>
      <c r="G44" s="9"/>
      <c r="H44" s="10">
        <v>1.66E-2</v>
      </c>
      <c r="I44" s="3">
        <v>2.1700000000000001E-2</v>
      </c>
    </row>
    <row r="45" spans="1:9" ht="24" customHeight="1">
      <c r="A45" s="254" t="s">
        <v>294</v>
      </c>
      <c r="B45" s="256"/>
      <c r="C45" s="11"/>
      <c r="D45" s="12"/>
      <c r="E45" s="9">
        <f>$I$28*I45</f>
        <v>0.46814159292035401</v>
      </c>
      <c r="F45" s="9"/>
      <c r="G45" s="9"/>
      <c r="H45" s="13">
        <f>SUM(H42:H44)</f>
        <v>0.1018</v>
      </c>
      <c r="I45" s="3">
        <f>SUM(I42:I44)</f>
        <v>0.10580000000000001</v>
      </c>
    </row>
    <row r="46" spans="1:9" ht="24" customHeight="1">
      <c r="A46" s="257" t="s">
        <v>82</v>
      </c>
      <c r="B46" s="257"/>
      <c r="C46" s="7"/>
      <c r="D46" s="8"/>
      <c r="E46" s="9">
        <f>$I$41*I46</f>
        <v>0</v>
      </c>
      <c r="F46" s="9"/>
      <c r="G46" s="9"/>
      <c r="H46" s="10">
        <f>1.97%+0.75%</f>
        <v>2.7199999999999998E-2</v>
      </c>
      <c r="I46" s="3">
        <v>3.4000000000000002E-2</v>
      </c>
    </row>
    <row r="47" spans="1:9" ht="24" customHeight="1">
      <c r="A47" s="258" t="s">
        <v>295</v>
      </c>
      <c r="B47" s="6" t="s">
        <v>292</v>
      </c>
      <c r="C47" s="7"/>
      <c r="D47" s="8"/>
      <c r="E47" s="9">
        <f>$I$41*I47</f>
        <v>0</v>
      </c>
      <c r="F47" s="9"/>
      <c r="G47" s="9"/>
      <c r="H47" s="10">
        <v>5.3E-3</v>
      </c>
      <c r="I47" s="3">
        <v>7.0000000000000001E-3</v>
      </c>
    </row>
    <row r="48" spans="1:9" ht="24" customHeight="1">
      <c r="A48" s="259"/>
      <c r="B48" s="6" t="s">
        <v>293</v>
      </c>
      <c r="C48" s="7"/>
      <c r="D48" s="8"/>
      <c r="E48" s="9">
        <f>$I$41*I48</f>
        <v>0</v>
      </c>
      <c r="F48" s="9"/>
      <c r="G48" s="9"/>
      <c r="H48" s="10">
        <v>3.4099999999999998E-2</v>
      </c>
      <c r="I48" s="3">
        <f>2.8%+1.6%</f>
        <v>4.3999999999999997E-2</v>
      </c>
    </row>
    <row r="49" spans="1:9" ht="24" customHeight="1">
      <c r="A49" s="257" t="s">
        <v>85</v>
      </c>
      <c r="B49" s="257"/>
      <c r="C49" s="7"/>
      <c r="D49" s="8"/>
      <c r="E49" s="9">
        <f>$I$41*I49</f>
        <v>0</v>
      </c>
      <c r="F49" s="9"/>
      <c r="G49" s="9"/>
      <c r="H49" s="10">
        <v>1.0999999999999999E-2</v>
      </c>
      <c r="I49" s="3">
        <v>0.03</v>
      </c>
    </row>
    <row r="52" spans="1:9" s="1" customFormat="1" ht="18.75" customHeight="1">
      <c r="G52" s="253" t="s">
        <v>277</v>
      </c>
      <c r="H52" s="253"/>
      <c r="I52" s="17">
        <f>材料成本!H5</f>
        <v>0</v>
      </c>
    </row>
    <row r="53" spans="1:9" ht="39" customHeight="1">
      <c r="A53" s="260" t="s">
        <v>278</v>
      </c>
      <c r="B53" s="260"/>
      <c r="C53" s="254" t="s">
        <v>296</v>
      </c>
      <c r="D53" s="255"/>
      <c r="E53" s="255"/>
      <c r="F53" s="255"/>
      <c r="G53" s="255"/>
      <c r="H53" s="256"/>
      <c r="I53" s="3" t="s">
        <v>280</v>
      </c>
    </row>
    <row r="54" spans="1:9" ht="34.5" customHeight="1">
      <c r="A54" s="260"/>
      <c r="B54" s="260"/>
      <c r="C54" s="4" t="s">
        <v>284</v>
      </c>
      <c r="D54" s="4" t="s">
        <v>285</v>
      </c>
      <c r="E54" s="4" t="s">
        <v>286</v>
      </c>
      <c r="F54" s="5" t="s">
        <v>287</v>
      </c>
      <c r="G54" s="5" t="s">
        <v>288</v>
      </c>
      <c r="H54" s="5" t="s">
        <v>289</v>
      </c>
      <c r="I54" s="16">
        <f>销量!G8</f>
        <v>0</v>
      </c>
    </row>
    <row r="55" spans="1:9" ht="24" customHeight="1">
      <c r="A55" s="257" t="s">
        <v>290</v>
      </c>
      <c r="B55" s="257"/>
      <c r="C55" s="7"/>
      <c r="D55" s="8"/>
      <c r="E55" s="9">
        <f>I54*I55</f>
        <v>0</v>
      </c>
      <c r="F55" s="9"/>
      <c r="G55" s="9"/>
      <c r="H55" s="10">
        <v>4.48E-2</v>
      </c>
      <c r="I55" s="3">
        <v>4.3099999999999999E-2</v>
      </c>
    </row>
    <row r="56" spans="1:9" ht="24" customHeight="1">
      <c r="A56" s="257" t="s">
        <v>291</v>
      </c>
      <c r="B56" s="6" t="s">
        <v>292</v>
      </c>
      <c r="C56" s="7"/>
      <c r="D56" s="8"/>
      <c r="E56" s="9">
        <f t="shared" ref="E56:E62" si="3">$I$54*I56</f>
        <v>0</v>
      </c>
      <c r="F56" s="9"/>
      <c r="G56" s="9"/>
      <c r="H56" s="10">
        <v>4.0399999999999998E-2</v>
      </c>
      <c r="I56" s="3">
        <v>4.1000000000000002E-2</v>
      </c>
    </row>
    <row r="57" spans="1:9" ht="24" customHeight="1">
      <c r="A57" s="257"/>
      <c r="B57" s="6" t="s">
        <v>293</v>
      </c>
      <c r="C57" s="7"/>
      <c r="D57" s="8"/>
      <c r="E57" s="9">
        <f t="shared" si="3"/>
        <v>0</v>
      </c>
      <c r="F57" s="9"/>
      <c r="G57" s="9"/>
      <c r="H57" s="10">
        <v>1.66E-2</v>
      </c>
      <c r="I57" s="3">
        <v>2.1700000000000001E-2</v>
      </c>
    </row>
    <row r="58" spans="1:9" ht="24" customHeight="1">
      <c r="A58" s="254" t="s">
        <v>294</v>
      </c>
      <c r="B58" s="256"/>
      <c r="C58" s="11"/>
      <c r="D58" s="12"/>
      <c r="E58" s="9">
        <f t="shared" si="3"/>
        <v>0</v>
      </c>
      <c r="F58" s="9"/>
      <c r="G58" s="9"/>
      <c r="H58" s="13">
        <f>SUM(H55:H57)</f>
        <v>0.1018</v>
      </c>
      <c r="I58" s="3">
        <f>SUM(I55:I57)</f>
        <v>0.10580000000000001</v>
      </c>
    </row>
    <row r="59" spans="1:9" ht="24" customHeight="1">
      <c r="A59" s="257" t="s">
        <v>82</v>
      </c>
      <c r="B59" s="257"/>
      <c r="C59" s="7"/>
      <c r="D59" s="8"/>
      <c r="E59" s="9">
        <f t="shared" si="3"/>
        <v>0</v>
      </c>
      <c r="F59" s="9"/>
      <c r="G59" s="9"/>
      <c r="H59" s="10">
        <f>1.97%+0.75%</f>
        <v>2.7199999999999998E-2</v>
      </c>
      <c r="I59" s="3">
        <v>3.4000000000000002E-2</v>
      </c>
    </row>
    <row r="60" spans="1:9" ht="24" customHeight="1">
      <c r="A60" s="258" t="s">
        <v>295</v>
      </c>
      <c r="B60" s="6" t="s">
        <v>292</v>
      </c>
      <c r="C60" s="7"/>
      <c r="D60" s="8"/>
      <c r="E60" s="9">
        <f t="shared" si="3"/>
        <v>0</v>
      </c>
      <c r="F60" s="9"/>
      <c r="G60" s="9"/>
      <c r="H60" s="10">
        <v>5.3E-3</v>
      </c>
      <c r="I60" s="3">
        <v>7.0000000000000001E-3</v>
      </c>
    </row>
    <row r="61" spans="1:9" ht="24" customHeight="1">
      <c r="A61" s="259"/>
      <c r="B61" s="6" t="s">
        <v>293</v>
      </c>
      <c r="C61" s="7"/>
      <c r="D61" s="8"/>
      <c r="E61" s="9">
        <f t="shared" si="3"/>
        <v>0</v>
      </c>
      <c r="F61" s="9"/>
      <c r="G61" s="9"/>
      <c r="H61" s="10">
        <v>3.4099999999999998E-2</v>
      </c>
      <c r="I61" s="3">
        <f>2.8%+1.6%</f>
        <v>4.3999999999999997E-2</v>
      </c>
    </row>
    <row r="62" spans="1:9" ht="24" customHeight="1">
      <c r="A62" s="257" t="s">
        <v>85</v>
      </c>
      <c r="B62" s="257"/>
      <c r="C62" s="7"/>
      <c r="D62" s="8"/>
      <c r="E62" s="9">
        <f t="shared" si="3"/>
        <v>0</v>
      </c>
      <c r="F62" s="9"/>
      <c r="G62" s="9"/>
      <c r="H62" s="10">
        <v>1.0999999999999999E-2</v>
      </c>
      <c r="I62" s="3">
        <v>0.03</v>
      </c>
    </row>
    <row r="65" spans="1:9" s="1" customFormat="1" ht="18.75" customHeight="1">
      <c r="G65" s="253" t="s">
        <v>277</v>
      </c>
      <c r="H65" s="253"/>
      <c r="I65" s="17">
        <f>材料成本!I5</f>
        <v>0</v>
      </c>
    </row>
    <row r="66" spans="1:9" ht="39" customHeight="1">
      <c r="A66" s="260" t="s">
        <v>278</v>
      </c>
      <c r="B66" s="260"/>
      <c r="C66" s="254" t="s">
        <v>296</v>
      </c>
      <c r="D66" s="255"/>
      <c r="E66" s="255"/>
      <c r="F66" s="255"/>
      <c r="G66" s="255"/>
      <c r="H66" s="256"/>
      <c r="I66" s="3" t="s">
        <v>280</v>
      </c>
    </row>
    <row r="67" spans="1:9" ht="34.5" customHeight="1">
      <c r="A67" s="260"/>
      <c r="B67" s="260"/>
      <c r="C67" s="4" t="s">
        <v>284</v>
      </c>
      <c r="D67" s="4" t="s">
        <v>285</v>
      </c>
      <c r="E67" s="4" t="s">
        <v>286</v>
      </c>
      <c r="F67" s="5" t="s">
        <v>287</v>
      </c>
      <c r="G67" s="5" t="s">
        <v>288</v>
      </c>
      <c r="H67" s="5" t="s">
        <v>289</v>
      </c>
      <c r="I67" s="16">
        <f>销量!H8</f>
        <v>0</v>
      </c>
    </row>
    <row r="68" spans="1:9" ht="24" customHeight="1">
      <c r="A68" s="257" t="s">
        <v>290</v>
      </c>
      <c r="B68" s="257"/>
      <c r="C68" s="7"/>
      <c r="D68" s="8"/>
      <c r="E68" s="9">
        <f>I67*I68</f>
        <v>0</v>
      </c>
      <c r="F68" s="9"/>
      <c r="G68" s="9"/>
      <c r="H68" s="10">
        <v>4.48E-2</v>
      </c>
      <c r="I68" s="3">
        <v>4.3099999999999999E-2</v>
      </c>
    </row>
    <row r="69" spans="1:9" ht="24" customHeight="1">
      <c r="A69" s="257" t="s">
        <v>291</v>
      </c>
      <c r="B69" s="6" t="s">
        <v>292</v>
      </c>
      <c r="C69" s="7"/>
      <c r="D69" s="8"/>
      <c r="E69" s="9">
        <f>$I$67*I69</f>
        <v>0</v>
      </c>
      <c r="F69" s="9"/>
      <c r="G69" s="9"/>
      <c r="H69" s="10">
        <v>4.0399999999999998E-2</v>
      </c>
      <c r="I69" s="3">
        <v>4.1000000000000002E-2</v>
      </c>
    </row>
    <row r="70" spans="1:9" ht="24" customHeight="1">
      <c r="A70" s="257"/>
      <c r="B70" s="6" t="s">
        <v>293</v>
      </c>
      <c r="C70" s="7"/>
      <c r="D70" s="8"/>
      <c r="E70" s="9">
        <f t="shared" ref="E70:E75" si="4">$I$67*I70</f>
        <v>0</v>
      </c>
      <c r="F70" s="9"/>
      <c r="G70" s="9"/>
      <c r="H70" s="10">
        <v>1.66E-2</v>
      </c>
      <c r="I70" s="3">
        <v>2.1700000000000001E-2</v>
      </c>
    </row>
    <row r="71" spans="1:9" ht="24" customHeight="1">
      <c r="A71" s="254" t="s">
        <v>294</v>
      </c>
      <c r="B71" s="256"/>
      <c r="C71" s="11"/>
      <c r="D71" s="12"/>
      <c r="E71" s="9">
        <f t="shared" si="4"/>
        <v>0</v>
      </c>
      <c r="F71" s="9"/>
      <c r="G71" s="9"/>
      <c r="H71" s="13">
        <f>SUM(H68:H70)</f>
        <v>0.1018</v>
      </c>
      <c r="I71" s="3">
        <f>SUM(I68:I70)</f>
        <v>0.10580000000000001</v>
      </c>
    </row>
    <row r="72" spans="1:9" ht="24" customHeight="1">
      <c r="A72" s="257" t="s">
        <v>82</v>
      </c>
      <c r="B72" s="257"/>
      <c r="C72" s="7"/>
      <c r="D72" s="8"/>
      <c r="E72" s="9">
        <f t="shared" si="4"/>
        <v>0</v>
      </c>
      <c r="F72" s="9"/>
      <c r="G72" s="9"/>
      <c r="H72" s="10">
        <f>1.97%+0.75%</f>
        <v>2.7199999999999998E-2</v>
      </c>
      <c r="I72" s="3">
        <v>3.4000000000000002E-2</v>
      </c>
    </row>
    <row r="73" spans="1:9" ht="24" customHeight="1">
      <c r="A73" s="258" t="s">
        <v>295</v>
      </c>
      <c r="B73" s="6" t="s">
        <v>292</v>
      </c>
      <c r="C73" s="7"/>
      <c r="D73" s="8"/>
      <c r="E73" s="9">
        <f t="shared" si="4"/>
        <v>0</v>
      </c>
      <c r="F73" s="9"/>
      <c r="G73" s="9"/>
      <c r="H73" s="10">
        <v>5.3E-3</v>
      </c>
      <c r="I73" s="3">
        <v>7.0000000000000001E-3</v>
      </c>
    </row>
    <row r="74" spans="1:9" ht="24" customHeight="1">
      <c r="A74" s="259"/>
      <c r="B74" s="6" t="s">
        <v>293</v>
      </c>
      <c r="C74" s="7"/>
      <c r="D74" s="8"/>
      <c r="E74" s="9">
        <f t="shared" si="4"/>
        <v>0</v>
      </c>
      <c r="F74" s="9"/>
      <c r="G74" s="9"/>
      <c r="H74" s="10">
        <v>3.4099999999999998E-2</v>
      </c>
      <c r="I74" s="3">
        <f>2.8%+1.6%</f>
        <v>4.3999999999999997E-2</v>
      </c>
    </row>
    <row r="75" spans="1:9" ht="24" customHeight="1">
      <c r="A75" s="257" t="s">
        <v>85</v>
      </c>
      <c r="B75" s="257"/>
      <c r="C75" s="7"/>
      <c r="D75" s="8"/>
      <c r="E75" s="9">
        <f t="shared" si="4"/>
        <v>0</v>
      </c>
      <c r="F75" s="9"/>
      <c r="G75" s="9"/>
      <c r="H75" s="10">
        <v>1.0999999999999999E-2</v>
      </c>
      <c r="I75" s="3">
        <v>0.03</v>
      </c>
    </row>
    <row r="78" spans="1:9" s="1" customFormat="1" ht="18.75" customHeight="1">
      <c r="G78" s="253" t="s">
        <v>277</v>
      </c>
      <c r="H78" s="253"/>
      <c r="I78" s="17"/>
    </row>
    <row r="79" spans="1:9" ht="39" customHeight="1">
      <c r="A79" s="260" t="s">
        <v>278</v>
      </c>
      <c r="B79" s="260"/>
      <c r="C79" s="254" t="s">
        <v>296</v>
      </c>
      <c r="D79" s="255"/>
      <c r="E79" s="255"/>
      <c r="F79" s="255"/>
      <c r="G79" s="255"/>
      <c r="H79" s="256"/>
      <c r="I79" s="3" t="s">
        <v>280</v>
      </c>
    </row>
    <row r="80" spans="1:9" ht="34.5" customHeight="1">
      <c r="A80" s="260"/>
      <c r="B80" s="260"/>
      <c r="C80" s="4" t="s">
        <v>284</v>
      </c>
      <c r="D80" s="4" t="s">
        <v>285</v>
      </c>
      <c r="E80" s="4" t="s">
        <v>286</v>
      </c>
      <c r="F80" s="5" t="s">
        <v>287</v>
      </c>
      <c r="G80" s="5" t="s">
        <v>288</v>
      </c>
      <c r="H80" s="5" t="s">
        <v>289</v>
      </c>
      <c r="I80" s="16"/>
    </row>
    <row r="81" spans="1:9" ht="24" customHeight="1">
      <c r="A81" s="257" t="s">
        <v>290</v>
      </c>
      <c r="B81" s="257"/>
      <c r="C81" s="7"/>
      <c r="D81" s="8"/>
      <c r="E81" s="9">
        <f>I80*I81</f>
        <v>0</v>
      </c>
      <c r="F81" s="9"/>
      <c r="G81" s="9"/>
      <c r="H81" s="10">
        <v>4.48E-2</v>
      </c>
      <c r="I81" s="3">
        <v>4.3099999999999999E-2</v>
      </c>
    </row>
    <row r="82" spans="1:9" ht="24" customHeight="1">
      <c r="A82" s="257" t="s">
        <v>291</v>
      </c>
      <c r="B82" s="6" t="s">
        <v>292</v>
      </c>
      <c r="C82" s="7"/>
      <c r="D82" s="8"/>
      <c r="E82" s="9">
        <f t="shared" ref="E82:E88" si="5">$I$80*I82</f>
        <v>0</v>
      </c>
      <c r="F82" s="9"/>
      <c r="G82" s="9"/>
      <c r="H82" s="10">
        <v>4.0399999999999998E-2</v>
      </c>
      <c r="I82" s="3">
        <v>4.1000000000000002E-2</v>
      </c>
    </row>
    <row r="83" spans="1:9" ht="24" customHeight="1">
      <c r="A83" s="257"/>
      <c r="B83" s="6" t="s">
        <v>293</v>
      </c>
      <c r="C83" s="7"/>
      <c r="D83" s="8"/>
      <c r="E83" s="9">
        <f t="shared" si="5"/>
        <v>0</v>
      </c>
      <c r="F83" s="9"/>
      <c r="G83" s="9"/>
      <c r="H83" s="10">
        <v>1.66E-2</v>
      </c>
      <c r="I83" s="3">
        <v>2.1700000000000001E-2</v>
      </c>
    </row>
    <row r="84" spans="1:9" ht="24" customHeight="1">
      <c r="A84" s="254" t="s">
        <v>294</v>
      </c>
      <c r="B84" s="256"/>
      <c r="C84" s="11"/>
      <c r="D84" s="12"/>
      <c r="E84" s="9">
        <f t="shared" si="5"/>
        <v>0</v>
      </c>
      <c r="F84" s="9"/>
      <c r="G84" s="9"/>
      <c r="H84" s="13">
        <f>SUM(H81:H83)</f>
        <v>0.1018</v>
      </c>
      <c r="I84" s="3">
        <f>SUM(I81:I83)</f>
        <v>0.10580000000000001</v>
      </c>
    </row>
    <row r="85" spans="1:9" ht="24" customHeight="1">
      <c r="A85" s="257" t="s">
        <v>82</v>
      </c>
      <c r="B85" s="257"/>
      <c r="C85" s="7"/>
      <c r="D85" s="8"/>
      <c r="E85" s="9">
        <f t="shared" si="5"/>
        <v>0</v>
      </c>
      <c r="F85" s="9"/>
      <c r="G85" s="9"/>
      <c r="H85" s="10">
        <f>1.97%+0.75%</f>
        <v>2.7199999999999998E-2</v>
      </c>
      <c r="I85" s="3">
        <v>3.4000000000000002E-2</v>
      </c>
    </row>
    <row r="86" spans="1:9" ht="24" customHeight="1">
      <c r="A86" s="258" t="s">
        <v>295</v>
      </c>
      <c r="B86" s="6" t="s">
        <v>292</v>
      </c>
      <c r="C86" s="7"/>
      <c r="D86" s="8"/>
      <c r="E86" s="9">
        <f t="shared" si="5"/>
        <v>0</v>
      </c>
      <c r="F86" s="9"/>
      <c r="G86" s="9"/>
      <c r="H86" s="10">
        <v>5.3E-3</v>
      </c>
      <c r="I86" s="3">
        <v>7.0000000000000001E-3</v>
      </c>
    </row>
    <row r="87" spans="1:9" ht="24" customHeight="1">
      <c r="A87" s="259"/>
      <c r="B87" s="6" t="s">
        <v>293</v>
      </c>
      <c r="C87" s="7"/>
      <c r="D87" s="8"/>
      <c r="E87" s="9">
        <f t="shared" si="5"/>
        <v>0</v>
      </c>
      <c r="F87" s="9"/>
      <c r="G87" s="9"/>
      <c r="H87" s="10">
        <v>3.4099999999999998E-2</v>
      </c>
      <c r="I87" s="3">
        <f>2.8%+1.6%</f>
        <v>4.3999999999999997E-2</v>
      </c>
    </row>
    <row r="88" spans="1:9" ht="24" customHeight="1">
      <c r="A88" s="257" t="s">
        <v>85</v>
      </c>
      <c r="B88" s="257"/>
      <c r="C88" s="7"/>
      <c r="D88" s="8"/>
      <c r="E88" s="9">
        <f t="shared" si="5"/>
        <v>0</v>
      </c>
      <c r="F88" s="9"/>
      <c r="G88" s="9"/>
      <c r="H88" s="10">
        <v>1.0999999999999999E-2</v>
      </c>
      <c r="I88" s="3">
        <v>0.03</v>
      </c>
    </row>
    <row r="91" spans="1:9" s="1" customFormat="1" ht="18.75" customHeight="1">
      <c r="G91" s="253" t="s">
        <v>277</v>
      </c>
      <c r="H91" s="253"/>
      <c r="I91" s="17"/>
    </row>
    <row r="92" spans="1:9" ht="39" customHeight="1">
      <c r="A92" s="260" t="s">
        <v>278</v>
      </c>
      <c r="B92" s="260"/>
      <c r="C92" s="254" t="s">
        <v>296</v>
      </c>
      <c r="D92" s="255"/>
      <c r="E92" s="255"/>
      <c r="F92" s="255"/>
      <c r="G92" s="255"/>
      <c r="H92" s="256"/>
      <c r="I92" s="3" t="s">
        <v>280</v>
      </c>
    </row>
    <row r="93" spans="1:9" ht="34.5" customHeight="1">
      <c r="A93" s="260"/>
      <c r="B93" s="260"/>
      <c r="C93" s="4" t="s">
        <v>284</v>
      </c>
      <c r="D93" s="4" t="s">
        <v>285</v>
      </c>
      <c r="E93" s="4" t="s">
        <v>286</v>
      </c>
      <c r="F93" s="5" t="s">
        <v>287</v>
      </c>
      <c r="G93" s="5" t="s">
        <v>288</v>
      </c>
      <c r="H93" s="5" t="s">
        <v>289</v>
      </c>
      <c r="I93" s="16"/>
    </row>
    <row r="94" spans="1:9" ht="24" customHeight="1">
      <c r="A94" s="257" t="s">
        <v>290</v>
      </c>
      <c r="B94" s="257"/>
      <c r="C94" s="7"/>
      <c r="D94" s="8"/>
      <c r="E94" s="9">
        <f>I93*I94</f>
        <v>0</v>
      </c>
      <c r="F94" s="9"/>
      <c r="G94" s="9"/>
      <c r="H94" s="10">
        <v>4.48E-2</v>
      </c>
      <c r="I94" s="3">
        <v>4.3099999999999999E-2</v>
      </c>
    </row>
    <row r="95" spans="1:9" ht="24" customHeight="1">
      <c r="A95" s="257" t="s">
        <v>291</v>
      </c>
      <c r="B95" s="6" t="s">
        <v>292</v>
      </c>
      <c r="C95" s="7"/>
      <c r="D95" s="8"/>
      <c r="E95" s="9">
        <f>$I$93*I95</f>
        <v>0</v>
      </c>
      <c r="F95" s="9"/>
      <c r="G95" s="9"/>
      <c r="H95" s="10">
        <v>4.0399999999999998E-2</v>
      </c>
      <c r="I95" s="3">
        <v>4.1000000000000002E-2</v>
      </c>
    </row>
    <row r="96" spans="1:9" ht="24" customHeight="1">
      <c r="A96" s="257"/>
      <c r="B96" s="6" t="s">
        <v>293</v>
      </c>
      <c r="C96" s="7"/>
      <c r="D96" s="8"/>
      <c r="E96" s="9">
        <f t="shared" ref="E96:E101" si="6">$I$93*I96</f>
        <v>0</v>
      </c>
      <c r="F96" s="9"/>
      <c r="G96" s="9"/>
      <c r="H96" s="10">
        <v>1.66E-2</v>
      </c>
      <c r="I96" s="3">
        <v>2.1700000000000001E-2</v>
      </c>
    </row>
    <row r="97" spans="1:9" ht="24" customHeight="1">
      <c r="A97" s="254" t="s">
        <v>294</v>
      </c>
      <c r="B97" s="256"/>
      <c r="C97" s="11"/>
      <c r="D97" s="12"/>
      <c r="E97" s="9">
        <f t="shared" si="6"/>
        <v>0</v>
      </c>
      <c r="F97" s="9"/>
      <c r="G97" s="9"/>
      <c r="H97" s="13">
        <f>SUM(H94:H96)</f>
        <v>0.1018</v>
      </c>
      <c r="I97" s="3">
        <f>SUM(I94:I96)</f>
        <v>0.10580000000000001</v>
      </c>
    </row>
    <row r="98" spans="1:9" ht="24" customHeight="1">
      <c r="A98" s="257" t="s">
        <v>82</v>
      </c>
      <c r="B98" s="257"/>
      <c r="C98" s="7"/>
      <c r="D98" s="8"/>
      <c r="E98" s="9">
        <f t="shared" si="6"/>
        <v>0</v>
      </c>
      <c r="F98" s="9"/>
      <c r="G98" s="9"/>
      <c r="H98" s="10">
        <f>1.97%+0.75%</f>
        <v>2.7199999999999998E-2</v>
      </c>
      <c r="I98" s="3">
        <v>3.4000000000000002E-2</v>
      </c>
    </row>
    <row r="99" spans="1:9" ht="24" customHeight="1">
      <c r="A99" s="258" t="s">
        <v>295</v>
      </c>
      <c r="B99" s="6" t="s">
        <v>292</v>
      </c>
      <c r="C99" s="7"/>
      <c r="D99" s="8"/>
      <c r="E99" s="9">
        <f t="shared" si="6"/>
        <v>0</v>
      </c>
      <c r="F99" s="9"/>
      <c r="G99" s="9"/>
      <c r="H99" s="10">
        <v>5.3E-3</v>
      </c>
      <c r="I99" s="3">
        <v>7.0000000000000001E-3</v>
      </c>
    </row>
    <row r="100" spans="1:9" ht="24" customHeight="1">
      <c r="A100" s="259"/>
      <c r="B100" s="6" t="s">
        <v>293</v>
      </c>
      <c r="C100" s="7"/>
      <c r="D100" s="8"/>
      <c r="E100" s="9">
        <f t="shared" si="6"/>
        <v>0</v>
      </c>
      <c r="F100" s="9"/>
      <c r="G100" s="9"/>
      <c r="H100" s="10">
        <v>3.4099999999999998E-2</v>
      </c>
      <c r="I100" s="3">
        <f>2.8%+1.6%</f>
        <v>4.3999999999999997E-2</v>
      </c>
    </row>
    <row r="101" spans="1:9" ht="24" customHeight="1">
      <c r="A101" s="257" t="s">
        <v>85</v>
      </c>
      <c r="B101" s="257"/>
      <c r="C101" s="7"/>
      <c r="D101" s="8"/>
      <c r="E101" s="9">
        <f t="shared" si="6"/>
        <v>0</v>
      </c>
      <c r="F101" s="9"/>
      <c r="G101" s="9"/>
      <c r="H101" s="10">
        <v>1.0999999999999999E-2</v>
      </c>
      <c r="I101" s="3">
        <v>0.03</v>
      </c>
    </row>
    <row r="104" spans="1:9" s="1" customFormat="1" ht="18.75" customHeight="1">
      <c r="G104" s="253" t="s">
        <v>277</v>
      </c>
      <c r="H104" s="253"/>
      <c r="I104" s="17"/>
    </row>
    <row r="105" spans="1:9" ht="39" customHeight="1">
      <c r="A105" s="260" t="s">
        <v>278</v>
      </c>
      <c r="B105" s="260"/>
      <c r="C105" s="254" t="s">
        <v>296</v>
      </c>
      <c r="D105" s="255"/>
      <c r="E105" s="255"/>
      <c r="F105" s="255"/>
      <c r="G105" s="255"/>
      <c r="H105" s="256"/>
      <c r="I105" s="3" t="s">
        <v>280</v>
      </c>
    </row>
    <row r="106" spans="1:9" ht="34.5" customHeight="1">
      <c r="A106" s="260"/>
      <c r="B106" s="260"/>
      <c r="C106" s="4" t="s">
        <v>284</v>
      </c>
      <c r="D106" s="4" t="s">
        <v>285</v>
      </c>
      <c r="E106" s="4" t="s">
        <v>286</v>
      </c>
      <c r="F106" s="5" t="s">
        <v>287</v>
      </c>
      <c r="G106" s="5" t="s">
        <v>288</v>
      </c>
      <c r="H106" s="5" t="s">
        <v>289</v>
      </c>
      <c r="I106" s="16"/>
    </row>
    <row r="107" spans="1:9" ht="24" customHeight="1">
      <c r="A107" s="257" t="s">
        <v>290</v>
      </c>
      <c r="B107" s="257"/>
      <c r="C107" s="7"/>
      <c r="D107" s="8"/>
      <c r="E107" s="9">
        <f>I106*I107</f>
        <v>0</v>
      </c>
      <c r="F107" s="9"/>
      <c r="G107" s="9"/>
      <c r="H107" s="10">
        <v>4.48E-2</v>
      </c>
      <c r="I107" s="3">
        <v>4.3099999999999999E-2</v>
      </c>
    </row>
    <row r="108" spans="1:9" ht="24" customHeight="1">
      <c r="A108" s="257" t="s">
        <v>291</v>
      </c>
      <c r="B108" s="6" t="s">
        <v>292</v>
      </c>
      <c r="C108" s="7"/>
      <c r="D108" s="8"/>
      <c r="E108" s="9">
        <f t="shared" ref="E108:E114" si="7">$I$106*I108</f>
        <v>0</v>
      </c>
      <c r="F108" s="9"/>
      <c r="G108" s="9"/>
      <c r="H108" s="10">
        <v>4.0399999999999998E-2</v>
      </c>
      <c r="I108" s="3">
        <v>4.1000000000000002E-2</v>
      </c>
    </row>
    <row r="109" spans="1:9" ht="24" customHeight="1">
      <c r="A109" s="257"/>
      <c r="B109" s="6" t="s">
        <v>293</v>
      </c>
      <c r="C109" s="7"/>
      <c r="D109" s="8"/>
      <c r="E109" s="9">
        <f t="shared" si="7"/>
        <v>0</v>
      </c>
      <c r="F109" s="9"/>
      <c r="G109" s="9"/>
      <c r="H109" s="10">
        <v>1.66E-2</v>
      </c>
      <c r="I109" s="3">
        <v>2.1700000000000001E-2</v>
      </c>
    </row>
    <row r="110" spans="1:9" ht="24" customHeight="1">
      <c r="A110" s="254" t="s">
        <v>294</v>
      </c>
      <c r="B110" s="256"/>
      <c r="C110" s="11"/>
      <c r="D110" s="12"/>
      <c r="E110" s="9">
        <f t="shared" si="7"/>
        <v>0</v>
      </c>
      <c r="F110" s="9"/>
      <c r="G110" s="9"/>
      <c r="H110" s="13">
        <f>SUM(H107:H109)</f>
        <v>0.1018</v>
      </c>
      <c r="I110" s="3">
        <f>SUM(I107:I109)</f>
        <v>0.10580000000000001</v>
      </c>
    </row>
    <row r="111" spans="1:9" ht="24" customHeight="1">
      <c r="A111" s="257" t="s">
        <v>82</v>
      </c>
      <c r="B111" s="257"/>
      <c r="C111" s="7"/>
      <c r="D111" s="8"/>
      <c r="E111" s="9">
        <f t="shared" si="7"/>
        <v>0</v>
      </c>
      <c r="F111" s="9"/>
      <c r="G111" s="9"/>
      <c r="H111" s="10">
        <f>1.97%+0.75%</f>
        <v>2.7199999999999998E-2</v>
      </c>
      <c r="I111" s="3">
        <v>3.4000000000000002E-2</v>
      </c>
    </row>
    <row r="112" spans="1:9" ht="24" customHeight="1">
      <c r="A112" s="258" t="s">
        <v>295</v>
      </c>
      <c r="B112" s="6" t="s">
        <v>292</v>
      </c>
      <c r="C112" s="7"/>
      <c r="D112" s="8"/>
      <c r="E112" s="9">
        <f t="shared" si="7"/>
        <v>0</v>
      </c>
      <c r="F112" s="9"/>
      <c r="G112" s="9"/>
      <c r="H112" s="10">
        <v>5.3E-3</v>
      </c>
      <c r="I112" s="3">
        <v>7.0000000000000001E-3</v>
      </c>
    </row>
    <row r="113" spans="1:9" ht="24" customHeight="1">
      <c r="A113" s="259"/>
      <c r="B113" s="6" t="s">
        <v>293</v>
      </c>
      <c r="C113" s="7"/>
      <c r="D113" s="8"/>
      <c r="E113" s="9">
        <f t="shared" si="7"/>
        <v>0</v>
      </c>
      <c r="F113" s="9"/>
      <c r="G113" s="9"/>
      <c r="H113" s="10">
        <v>3.4099999999999998E-2</v>
      </c>
      <c r="I113" s="3">
        <f>2.8%+1.6%</f>
        <v>4.3999999999999997E-2</v>
      </c>
    </row>
    <row r="114" spans="1:9" ht="24" customHeight="1">
      <c r="A114" s="257" t="s">
        <v>85</v>
      </c>
      <c r="B114" s="257"/>
      <c r="C114" s="7"/>
      <c r="D114" s="8"/>
      <c r="E114" s="9">
        <f t="shared" si="7"/>
        <v>0</v>
      </c>
      <c r="F114" s="9"/>
      <c r="G114" s="9"/>
      <c r="H114" s="10">
        <v>1.0999999999999999E-2</v>
      </c>
      <c r="I114" s="3">
        <v>0.03</v>
      </c>
    </row>
    <row r="117" spans="1:9" s="1" customFormat="1" ht="18.75" customHeight="1">
      <c r="G117" s="253" t="s">
        <v>277</v>
      </c>
      <c r="H117" s="253"/>
      <c r="I117" s="17"/>
    </row>
    <row r="118" spans="1:9" ht="39" customHeight="1">
      <c r="A118" s="260" t="s">
        <v>278</v>
      </c>
      <c r="B118" s="260"/>
      <c r="C118" s="254" t="s">
        <v>296</v>
      </c>
      <c r="D118" s="255"/>
      <c r="E118" s="255"/>
      <c r="F118" s="255"/>
      <c r="G118" s="255"/>
      <c r="H118" s="256"/>
      <c r="I118" s="3" t="s">
        <v>280</v>
      </c>
    </row>
    <row r="119" spans="1:9" ht="34.5" customHeight="1">
      <c r="A119" s="260"/>
      <c r="B119" s="260"/>
      <c r="C119" s="4" t="s">
        <v>284</v>
      </c>
      <c r="D119" s="4" t="s">
        <v>285</v>
      </c>
      <c r="E119" s="4" t="s">
        <v>286</v>
      </c>
      <c r="F119" s="5" t="s">
        <v>287</v>
      </c>
      <c r="G119" s="5" t="s">
        <v>288</v>
      </c>
      <c r="H119" s="5" t="s">
        <v>289</v>
      </c>
      <c r="I119" s="16"/>
    </row>
    <row r="120" spans="1:9" ht="24" customHeight="1">
      <c r="A120" s="257" t="s">
        <v>290</v>
      </c>
      <c r="B120" s="257"/>
      <c r="C120" s="7"/>
      <c r="D120" s="8"/>
      <c r="E120" s="9">
        <f>I119*I120</f>
        <v>0</v>
      </c>
      <c r="F120" s="9"/>
      <c r="G120" s="9"/>
      <c r="H120" s="10">
        <v>4.48E-2</v>
      </c>
      <c r="I120" s="3">
        <v>4.3099999999999999E-2</v>
      </c>
    </row>
    <row r="121" spans="1:9" ht="24" customHeight="1">
      <c r="A121" s="257" t="s">
        <v>291</v>
      </c>
      <c r="B121" s="6" t="s">
        <v>292</v>
      </c>
      <c r="C121" s="7"/>
      <c r="D121" s="8"/>
      <c r="E121" s="9">
        <f>$I$119*I121</f>
        <v>0</v>
      </c>
      <c r="F121" s="9"/>
      <c r="G121" s="9"/>
      <c r="H121" s="10">
        <v>4.0399999999999998E-2</v>
      </c>
      <c r="I121" s="3">
        <v>4.1000000000000002E-2</v>
      </c>
    </row>
    <row r="122" spans="1:9" ht="24" customHeight="1">
      <c r="A122" s="257"/>
      <c r="B122" s="6" t="s">
        <v>293</v>
      </c>
      <c r="C122" s="7"/>
      <c r="D122" s="8"/>
      <c r="E122" s="9">
        <f t="shared" ref="E122:E127" si="8">$I$119*I122</f>
        <v>0</v>
      </c>
      <c r="F122" s="9"/>
      <c r="G122" s="9"/>
      <c r="H122" s="10">
        <v>1.66E-2</v>
      </c>
      <c r="I122" s="3">
        <v>2.1700000000000001E-2</v>
      </c>
    </row>
    <row r="123" spans="1:9" ht="24" customHeight="1">
      <c r="A123" s="254" t="s">
        <v>294</v>
      </c>
      <c r="B123" s="256"/>
      <c r="C123" s="11"/>
      <c r="D123" s="12"/>
      <c r="E123" s="9">
        <f t="shared" si="8"/>
        <v>0</v>
      </c>
      <c r="F123" s="9"/>
      <c r="G123" s="9"/>
      <c r="H123" s="13">
        <f>SUM(H120:H122)</f>
        <v>0.1018</v>
      </c>
      <c r="I123" s="3">
        <f>SUM(I120:I122)</f>
        <v>0.10580000000000001</v>
      </c>
    </row>
    <row r="124" spans="1:9" ht="24" customHeight="1">
      <c r="A124" s="257" t="s">
        <v>82</v>
      </c>
      <c r="B124" s="257"/>
      <c r="C124" s="7"/>
      <c r="D124" s="8"/>
      <c r="E124" s="9">
        <f t="shared" si="8"/>
        <v>0</v>
      </c>
      <c r="F124" s="9"/>
      <c r="G124" s="9"/>
      <c r="H124" s="10">
        <f>1.97%+0.75%</f>
        <v>2.7199999999999998E-2</v>
      </c>
      <c r="I124" s="3">
        <v>3.4000000000000002E-2</v>
      </c>
    </row>
    <row r="125" spans="1:9" ht="24" customHeight="1">
      <c r="A125" s="258" t="s">
        <v>295</v>
      </c>
      <c r="B125" s="6" t="s">
        <v>292</v>
      </c>
      <c r="C125" s="7"/>
      <c r="D125" s="8"/>
      <c r="E125" s="9">
        <f t="shared" si="8"/>
        <v>0</v>
      </c>
      <c r="F125" s="9"/>
      <c r="G125" s="9"/>
      <c r="H125" s="10">
        <v>5.3E-3</v>
      </c>
      <c r="I125" s="3">
        <v>7.0000000000000001E-3</v>
      </c>
    </row>
    <row r="126" spans="1:9" ht="24" customHeight="1">
      <c r="A126" s="259"/>
      <c r="B126" s="6" t="s">
        <v>293</v>
      </c>
      <c r="C126" s="7"/>
      <c r="D126" s="8"/>
      <c r="E126" s="9">
        <f t="shared" si="8"/>
        <v>0</v>
      </c>
      <c r="F126" s="9"/>
      <c r="G126" s="9"/>
      <c r="H126" s="10">
        <v>3.4099999999999998E-2</v>
      </c>
      <c r="I126" s="3">
        <f>2.8%+1.6%</f>
        <v>4.3999999999999997E-2</v>
      </c>
    </row>
    <row r="127" spans="1:9" ht="24" customHeight="1">
      <c r="A127" s="257" t="s">
        <v>85</v>
      </c>
      <c r="B127" s="257"/>
      <c r="C127" s="7"/>
      <c r="D127" s="8"/>
      <c r="E127" s="9">
        <f t="shared" si="8"/>
        <v>0</v>
      </c>
      <c r="F127" s="9"/>
      <c r="G127" s="9"/>
      <c r="H127" s="10">
        <v>1.0999999999999999E-2</v>
      </c>
      <c r="I127" s="3">
        <v>0.03</v>
      </c>
    </row>
    <row r="130" spans="1:9" s="1" customFormat="1" ht="18.75" customHeight="1">
      <c r="G130" s="253" t="s">
        <v>277</v>
      </c>
      <c r="H130" s="253"/>
      <c r="I130" s="17"/>
    </row>
    <row r="131" spans="1:9" ht="39" customHeight="1">
      <c r="A131" s="260" t="s">
        <v>278</v>
      </c>
      <c r="B131" s="260"/>
      <c r="C131" s="254" t="s">
        <v>296</v>
      </c>
      <c r="D131" s="255"/>
      <c r="E131" s="255"/>
      <c r="F131" s="255"/>
      <c r="G131" s="255"/>
      <c r="H131" s="256"/>
      <c r="I131" s="3" t="s">
        <v>280</v>
      </c>
    </row>
    <row r="132" spans="1:9" ht="34.5" customHeight="1">
      <c r="A132" s="260"/>
      <c r="B132" s="260"/>
      <c r="C132" s="4" t="s">
        <v>284</v>
      </c>
      <c r="D132" s="4" t="s">
        <v>285</v>
      </c>
      <c r="E132" s="4" t="s">
        <v>286</v>
      </c>
      <c r="F132" s="5" t="s">
        <v>287</v>
      </c>
      <c r="G132" s="5" t="s">
        <v>288</v>
      </c>
      <c r="H132" s="5" t="s">
        <v>289</v>
      </c>
      <c r="I132" s="16"/>
    </row>
    <row r="133" spans="1:9" ht="24" customHeight="1">
      <c r="A133" s="257" t="s">
        <v>290</v>
      </c>
      <c r="B133" s="257"/>
      <c r="C133" s="7"/>
      <c r="D133" s="8"/>
      <c r="E133" s="9">
        <f>I132*I133</f>
        <v>0</v>
      </c>
      <c r="F133" s="9"/>
      <c r="G133" s="9"/>
      <c r="H133" s="10">
        <v>4.48E-2</v>
      </c>
      <c r="I133" s="3">
        <v>4.3099999999999999E-2</v>
      </c>
    </row>
    <row r="134" spans="1:9" ht="24" customHeight="1">
      <c r="A134" s="257" t="s">
        <v>291</v>
      </c>
      <c r="B134" s="6" t="s">
        <v>292</v>
      </c>
      <c r="C134" s="7"/>
      <c r="D134" s="8"/>
      <c r="E134" s="9">
        <f>$I$132*I134</f>
        <v>0</v>
      </c>
      <c r="F134" s="9"/>
      <c r="G134" s="9"/>
      <c r="H134" s="10">
        <v>4.0399999999999998E-2</v>
      </c>
      <c r="I134" s="3">
        <v>4.1000000000000002E-2</v>
      </c>
    </row>
    <row r="135" spans="1:9" ht="24" customHeight="1">
      <c r="A135" s="257"/>
      <c r="B135" s="6" t="s">
        <v>293</v>
      </c>
      <c r="C135" s="7"/>
      <c r="D135" s="8"/>
      <c r="E135" s="9">
        <f t="shared" ref="E135:E140" si="9">$I$132*I135</f>
        <v>0</v>
      </c>
      <c r="F135" s="9"/>
      <c r="G135" s="9"/>
      <c r="H135" s="10">
        <v>1.66E-2</v>
      </c>
      <c r="I135" s="3">
        <v>2.1700000000000001E-2</v>
      </c>
    </row>
    <row r="136" spans="1:9" ht="24" customHeight="1">
      <c r="A136" s="254" t="s">
        <v>294</v>
      </c>
      <c r="B136" s="256"/>
      <c r="C136" s="11"/>
      <c r="D136" s="12"/>
      <c r="E136" s="9">
        <f t="shared" si="9"/>
        <v>0</v>
      </c>
      <c r="F136" s="9"/>
      <c r="G136" s="9"/>
      <c r="H136" s="13">
        <f>SUM(H133:H135)</f>
        <v>0.1018</v>
      </c>
      <c r="I136" s="3">
        <f>SUM(I133:I135)</f>
        <v>0.10580000000000001</v>
      </c>
    </row>
    <row r="137" spans="1:9" ht="24" customHeight="1">
      <c r="A137" s="257" t="s">
        <v>82</v>
      </c>
      <c r="B137" s="257"/>
      <c r="C137" s="7"/>
      <c r="D137" s="8"/>
      <c r="E137" s="9">
        <f t="shared" si="9"/>
        <v>0</v>
      </c>
      <c r="F137" s="9"/>
      <c r="G137" s="9"/>
      <c r="H137" s="10">
        <f>1.97%+0.75%</f>
        <v>2.7199999999999998E-2</v>
      </c>
      <c r="I137" s="3">
        <v>3.4000000000000002E-2</v>
      </c>
    </row>
    <row r="138" spans="1:9" ht="24" customHeight="1">
      <c r="A138" s="258" t="s">
        <v>295</v>
      </c>
      <c r="B138" s="6" t="s">
        <v>292</v>
      </c>
      <c r="C138" s="7"/>
      <c r="D138" s="8"/>
      <c r="E138" s="9">
        <f t="shared" si="9"/>
        <v>0</v>
      </c>
      <c r="F138" s="9"/>
      <c r="G138" s="9"/>
      <c r="H138" s="10">
        <v>5.3E-3</v>
      </c>
      <c r="I138" s="3">
        <v>7.0000000000000001E-3</v>
      </c>
    </row>
    <row r="139" spans="1:9" ht="24" customHeight="1">
      <c r="A139" s="259"/>
      <c r="B139" s="6" t="s">
        <v>293</v>
      </c>
      <c r="C139" s="7"/>
      <c r="D139" s="8"/>
      <c r="E139" s="9">
        <f t="shared" si="9"/>
        <v>0</v>
      </c>
      <c r="F139" s="9"/>
      <c r="G139" s="9"/>
      <c r="H139" s="10">
        <v>3.4099999999999998E-2</v>
      </c>
      <c r="I139" s="3">
        <f>2.8%+1.6%</f>
        <v>4.3999999999999997E-2</v>
      </c>
    </row>
    <row r="140" spans="1:9" ht="24" customHeight="1">
      <c r="A140" s="257" t="s">
        <v>85</v>
      </c>
      <c r="B140" s="257"/>
      <c r="C140" s="7"/>
      <c r="D140" s="8"/>
      <c r="E140" s="9">
        <f t="shared" si="9"/>
        <v>0</v>
      </c>
      <c r="F140" s="9"/>
      <c r="G140" s="9"/>
      <c r="H140" s="10">
        <v>1.0999999999999999E-2</v>
      </c>
      <c r="I140" s="3">
        <v>0.03</v>
      </c>
    </row>
  </sheetData>
  <mergeCells count="99"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G130:H130"/>
    <mergeCell ref="C131:H131"/>
    <mergeCell ref="A133:B133"/>
    <mergeCell ref="A136:B136"/>
    <mergeCell ref="A137:B137"/>
    <mergeCell ref="A134:A135"/>
    <mergeCell ref="C118:H118"/>
    <mergeCell ref="A120:B120"/>
    <mergeCell ref="A123:B123"/>
    <mergeCell ref="A124:B124"/>
    <mergeCell ref="A127:B127"/>
    <mergeCell ref="A121:A122"/>
    <mergeCell ref="A125:A126"/>
    <mergeCell ref="A107:B107"/>
    <mergeCell ref="A110:B110"/>
    <mergeCell ref="A111:B111"/>
    <mergeCell ref="A114:B114"/>
    <mergeCell ref="G117:H117"/>
    <mergeCell ref="A108:A109"/>
    <mergeCell ref="A112:A113"/>
    <mergeCell ref="A97:B97"/>
    <mergeCell ref="A98:B98"/>
    <mergeCell ref="A101:B101"/>
    <mergeCell ref="G104:H104"/>
    <mergeCell ref="C105:H105"/>
    <mergeCell ref="A99:A100"/>
    <mergeCell ref="A85:B85"/>
    <mergeCell ref="A88:B88"/>
    <mergeCell ref="G91:H91"/>
    <mergeCell ref="C92:H92"/>
    <mergeCell ref="A94:B94"/>
    <mergeCell ref="A75:B75"/>
    <mergeCell ref="G78:H78"/>
    <mergeCell ref="C79:H79"/>
    <mergeCell ref="A81:B81"/>
    <mergeCell ref="A84:B84"/>
    <mergeCell ref="G65:H65"/>
    <mergeCell ref="C66:H66"/>
    <mergeCell ref="A68:B68"/>
    <mergeCell ref="A71:B71"/>
    <mergeCell ref="A72:B72"/>
    <mergeCell ref="C53:H53"/>
    <mergeCell ref="A55:B55"/>
    <mergeCell ref="A58:B58"/>
    <mergeCell ref="A59:B59"/>
    <mergeCell ref="A62:B62"/>
    <mergeCell ref="A42:B42"/>
    <mergeCell ref="A45:B45"/>
    <mergeCell ref="A46:B46"/>
    <mergeCell ref="A49:B49"/>
    <mergeCell ref="G52:H52"/>
    <mergeCell ref="A32:B32"/>
    <mergeCell ref="A33:B33"/>
    <mergeCell ref="A36:B36"/>
    <mergeCell ref="G39:H39"/>
    <mergeCell ref="C40:H40"/>
    <mergeCell ref="A20:B20"/>
    <mergeCell ref="A23:B23"/>
    <mergeCell ref="G26:H26"/>
    <mergeCell ref="C27:H27"/>
    <mergeCell ref="A29:B29"/>
    <mergeCell ref="A11:B11"/>
    <mergeCell ref="G13:H13"/>
    <mergeCell ref="C14:H14"/>
    <mergeCell ref="A16:B16"/>
    <mergeCell ref="A19:B19"/>
    <mergeCell ref="G1:H1"/>
    <mergeCell ref="C2:H2"/>
    <mergeCell ref="A4:B4"/>
    <mergeCell ref="A7:B7"/>
    <mergeCell ref="A8:B8"/>
  </mergeCells>
  <phoneticPr fontId="4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09375" defaultRowHeight="19.95" customHeight="1"/>
  <cols>
    <col min="1" max="1" width="8" style="158" customWidth="1"/>
    <col min="2" max="2" width="28.44140625" style="158" customWidth="1"/>
    <col min="3" max="4" width="9.109375" style="158"/>
    <col min="5" max="5" width="13.88671875" style="158" customWidth="1"/>
    <col min="6" max="12" width="16.109375" style="158" customWidth="1"/>
    <col min="13" max="13" width="10.6640625" style="158" customWidth="1"/>
    <col min="14" max="254" width="9.109375" style="158"/>
    <col min="255" max="255" width="8" style="158" customWidth="1"/>
    <col min="256" max="256" width="28.44140625" style="158" customWidth="1"/>
    <col min="257" max="268" width="9.109375" style="158"/>
    <col min="269" max="269" width="10.6640625" style="158" customWidth="1"/>
    <col min="270" max="510" width="9.109375" style="158"/>
    <col min="511" max="511" width="8" style="158" customWidth="1"/>
    <col min="512" max="512" width="28.44140625" style="158" customWidth="1"/>
    <col min="513" max="524" width="9.109375" style="158"/>
    <col min="525" max="525" width="10.6640625" style="158" customWidth="1"/>
    <col min="526" max="766" width="9.109375" style="158"/>
    <col min="767" max="767" width="8" style="158" customWidth="1"/>
    <col min="768" max="768" width="28.44140625" style="158" customWidth="1"/>
    <col min="769" max="780" width="9.109375" style="158"/>
    <col min="781" max="781" width="10.6640625" style="158" customWidth="1"/>
    <col min="782" max="1022" width="9.109375" style="158"/>
    <col min="1023" max="1023" width="8" style="158" customWidth="1"/>
    <col min="1024" max="1024" width="28.44140625" style="158" customWidth="1"/>
    <col min="1025" max="1036" width="9.109375" style="158"/>
    <col min="1037" max="1037" width="10.6640625" style="158" customWidth="1"/>
    <col min="1038" max="1278" width="9.109375" style="158"/>
    <col min="1279" max="1279" width="8" style="158" customWidth="1"/>
    <col min="1280" max="1280" width="28.44140625" style="158" customWidth="1"/>
    <col min="1281" max="1292" width="9.109375" style="158"/>
    <col min="1293" max="1293" width="10.6640625" style="158" customWidth="1"/>
    <col min="1294" max="1534" width="9.109375" style="158"/>
    <col min="1535" max="1535" width="8" style="158" customWidth="1"/>
    <col min="1536" max="1536" width="28.44140625" style="158" customWidth="1"/>
    <col min="1537" max="1548" width="9.109375" style="158"/>
    <col min="1549" max="1549" width="10.6640625" style="158" customWidth="1"/>
    <col min="1550" max="1790" width="9.109375" style="158"/>
    <col min="1791" max="1791" width="8" style="158" customWidth="1"/>
    <col min="1792" max="1792" width="28.44140625" style="158" customWidth="1"/>
    <col min="1793" max="1804" width="9.109375" style="158"/>
    <col min="1805" max="1805" width="10.6640625" style="158" customWidth="1"/>
    <col min="1806" max="2046" width="9.109375" style="158"/>
    <col min="2047" max="2047" width="8" style="158" customWidth="1"/>
    <col min="2048" max="2048" width="28.44140625" style="158" customWidth="1"/>
    <col min="2049" max="2060" width="9.109375" style="158"/>
    <col min="2061" max="2061" width="10.6640625" style="158" customWidth="1"/>
    <col min="2062" max="2302" width="9.109375" style="158"/>
    <col min="2303" max="2303" width="8" style="158" customWidth="1"/>
    <col min="2304" max="2304" width="28.44140625" style="158" customWidth="1"/>
    <col min="2305" max="2316" width="9.109375" style="158"/>
    <col min="2317" max="2317" width="10.6640625" style="158" customWidth="1"/>
    <col min="2318" max="2558" width="9.109375" style="158"/>
    <col min="2559" max="2559" width="8" style="158" customWidth="1"/>
    <col min="2560" max="2560" width="28.44140625" style="158" customWidth="1"/>
    <col min="2561" max="2572" width="9.109375" style="158"/>
    <col min="2573" max="2573" width="10.6640625" style="158" customWidth="1"/>
    <col min="2574" max="2814" width="9.109375" style="158"/>
    <col min="2815" max="2815" width="8" style="158" customWidth="1"/>
    <col min="2816" max="2816" width="28.44140625" style="158" customWidth="1"/>
    <col min="2817" max="2828" width="9.109375" style="158"/>
    <col min="2829" max="2829" width="10.6640625" style="158" customWidth="1"/>
    <col min="2830" max="3070" width="9.109375" style="158"/>
    <col min="3071" max="3071" width="8" style="158" customWidth="1"/>
    <col min="3072" max="3072" width="28.44140625" style="158" customWidth="1"/>
    <col min="3073" max="3084" width="9.109375" style="158"/>
    <col min="3085" max="3085" width="10.6640625" style="158" customWidth="1"/>
    <col min="3086" max="3326" width="9.109375" style="158"/>
    <col min="3327" max="3327" width="8" style="158" customWidth="1"/>
    <col min="3328" max="3328" width="28.44140625" style="158" customWidth="1"/>
    <col min="3329" max="3340" width="9.109375" style="158"/>
    <col min="3341" max="3341" width="10.6640625" style="158" customWidth="1"/>
    <col min="3342" max="3582" width="9.109375" style="158"/>
    <col min="3583" max="3583" width="8" style="158" customWidth="1"/>
    <col min="3584" max="3584" width="28.44140625" style="158" customWidth="1"/>
    <col min="3585" max="3596" width="9.109375" style="158"/>
    <col min="3597" max="3597" width="10.6640625" style="158" customWidth="1"/>
    <col min="3598" max="3838" width="9.109375" style="158"/>
    <col min="3839" max="3839" width="8" style="158" customWidth="1"/>
    <col min="3840" max="3840" width="28.44140625" style="158" customWidth="1"/>
    <col min="3841" max="3852" width="9.109375" style="158"/>
    <col min="3853" max="3853" width="10.6640625" style="158" customWidth="1"/>
    <col min="3854" max="4094" width="9.109375" style="158"/>
    <col min="4095" max="4095" width="8" style="158" customWidth="1"/>
    <col min="4096" max="4096" width="28.44140625" style="158" customWidth="1"/>
    <col min="4097" max="4108" width="9.109375" style="158"/>
    <col min="4109" max="4109" width="10.6640625" style="158" customWidth="1"/>
    <col min="4110" max="4350" width="9.109375" style="158"/>
    <col min="4351" max="4351" width="8" style="158" customWidth="1"/>
    <col min="4352" max="4352" width="28.44140625" style="158" customWidth="1"/>
    <col min="4353" max="4364" width="9.109375" style="158"/>
    <col min="4365" max="4365" width="10.6640625" style="158" customWidth="1"/>
    <col min="4366" max="4606" width="9.109375" style="158"/>
    <col min="4607" max="4607" width="8" style="158" customWidth="1"/>
    <col min="4608" max="4608" width="28.44140625" style="158" customWidth="1"/>
    <col min="4609" max="4620" width="9.109375" style="158"/>
    <col min="4621" max="4621" width="10.6640625" style="158" customWidth="1"/>
    <col min="4622" max="4862" width="9.109375" style="158"/>
    <col min="4863" max="4863" width="8" style="158" customWidth="1"/>
    <col min="4864" max="4864" width="28.44140625" style="158" customWidth="1"/>
    <col min="4865" max="4876" width="9.109375" style="158"/>
    <col min="4877" max="4877" width="10.6640625" style="158" customWidth="1"/>
    <col min="4878" max="5118" width="9.109375" style="158"/>
    <col min="5119" max="5119" width="8" style="158" customWidth="1"/>
    <col min="5120" max="5120" width="28.44140625" style="158" customWidth="1"/>
    <col min="5121" max="5132" width="9.109375" style="158"/>
    <col min="5133" max="5133" width="10.6640625" style="158" customWidth="1"/>
    <col min="5134" max="5374" width="9.109375" style="158"/>
    <col min="5375" max="5375" width="8" style="158" customWidth="1"/>
    <col min="5376" max="5376" width="28.44140625" style="158" customWidth="1"/>
    <col min="5377" max="5388" width="9.109375" style="158"/>
    <col min="5389" max="5389" width="10.6640625" style="158" customWidth="1"/>
    <col min="5390" max="5630" width="9.109375" style="158"/>
    <col min="5631" max="5631" width="8" style="158" customWidth="1"/>
    <col min="5632" max="5632" width="28.44140625" style="158" customWidth="1"/>
    <col min="5633" max="5644" width="9.109375" style="158"/>
    <col min="5645" max="5645" width="10.6640625" style="158" customWidth="1"/>
    <col min="5646" max="5886" width="9.109375" style="158"/>
    <col min="5887" max="5887" width="8" style="158" customWidth="1"/>
    <col min="5888" max="5888" width="28.44140625" style="158" customWidth="1"/>
    <col min="5889" max="5900" width="9.109375" style="158"/>
    <col min="5901" max="5901" width="10.6640625" style="158" customWidth="1"/>
    <col min="5902" max="6142" width="9.109375" style="158"/>
    <col min="6143" max="6143" width="8" style="158" customWidth="1"/>
    <col min="6144" max="6144" width="28.44140625" style="158" customWidth="1"/>
    <col min="6145" max="6156" width="9.109375" style="158"/>
    <col min="6157" max="6157" width="10.6640625" style="158" customWidth="1"/>
    <col min="6158" max="6398" width="9.109375" style="158"/>
    <col min="6399" max="6399" width="8" style="158" customWidth="1"/>
    <col min="6400" max="6400" width="28.44140625" style="158" customWidth="1"/>
    <col min="6401" max="6412" width="9.109375" style="158"/>
    <col min="6413" max="6413" width="10.6640625" style="158" customWidth="1"/>
    <col min="6414" max="6654" width="9.109375" style="158"/>
    <col min="6655" max="6655" width="8" style="158" customWidth="1"/>
    <col min="6656" max="6656" width="28.44140625" style="158" customWidth="1"/>
    <col min="6657" max="6668" width="9.109375" style="158"/>
    <col min="6669" max="6669" width="10.6640625" style="158" customWidth="1"/>
    <col min="6670" max="6910" width="9.109375" style="158"/>
    <col min="6911" max="6911" width="8" style="158" customWidth="1"/>
    <col min="6912" max="6912" width="28.44140625" style="158" customWidth="1"/>
    <col min="6913" max="6924" width="9.109375" style="158"/>
    <col min="6925" max="6925" width="10.6640625" style="158" customWidth="1"/>
    <col min="6926" max="7166" width="9.109375" style="158"/>
    <col min="7167" max="7167" width="8" style="158" customWidth="1"/>
    <col min="7168" max="7168" width="28.44140625" style="158" customWidth="1"/>
    <col min="7169" max="7180" width="9.109375" style="158"/>
    <col min="7181" max="7181" width="10.6640625" style="158" customWidth="1"/>
    <col min="7182" max="7422" width="9.109375" style="158"/>
    <col min="7423" max="7423" width="8" style="158" customWidth="1"/>
    <col min="7424" max="7424" width="28.44140625" style="158" customWidth="1"/>
    <col min="7425" max="7436" width="9.109375" style="158"/>
    <col min="7437" max="7437" width="10.6640625" style="158" customWidth="1"/>
    <col min="7438" max="7678" width="9.109375" style="158"/>
    <col min="7679" max="7679" width="8" style="158" customWidth="1"/>
    <col min="7680" max="7680" width="28.44140625" style="158" customWidth="1"/>
    <col min="7681" max="7692" width="9.109375" style="158"/>
    <col min="7693" max="7693" width="10.6640625" style="158" customWidth="1"/>
    <col min="7694" max="7934" width="9.109375" style="158"/>
    <col min="7935" max="7935" width="8" style="158" customWidth="1"/>
    <col min="7936" max="7936" width="28.44140625" style="158" customWidth="1"/>
    <col min="7937" max="7948" width="9.109375" style="158"/>
    <col min="7949" max="7949" width="10.6640625" style="158" customWidth="1"/>
    <col min="7950" max="8190" width="9.109375" style="158"/>
    <col min="8191" max="8191" width="8" style="158" customWidth="1"/>
    <col min="8192" max="8192" width="28.44140625" style="158" customWidth="1"/>
    <col min="8193" max="8204" width="9.109375" style="158"/>
    <col min="8205" max="8205" width="10.6640625" style="158" customWidth="1"/>
    <col min="8206" max="8446" width="9.109375" style="158"/>
    <col min="8447" max="8447" width="8" style="158" customWidth="1"/>
    <col min="8448" max="8448" width="28.44140625" style="158" customWidth="1"/>
    <col min="8449" max="8460" width="9.109375" style="158"/>
    <col min="8461" max="8461" width="10.6640625" style="158" customWidth="1"/>
    <col min="8462" max="8702" width="9.109375" style="158"/>
    <col min="8703" max="8703" width="8" style="158" customWidth="1"/>
    <col min="8704" max="8704" width="28.44140625" style="158" customWidth="1"/>
    <col min="8705" max="8716" width="9.109375" style="158"/>
    <col min="8717" max="8717" width="10.6640625" style="158" customWidth="1"/>
    <col min="8718" max="8958" width="9.109375" style="158"/>
    <col min="8959" max="8959" width="8" style="158" customWidth="1"/>
    <col min="8960" max="8960" width="28.44140625" style="158" customWidth="1"/>
    <col min="8961" max="8972" width="9.109375" style="158"/>
    <col min="8973" max="8973" width="10.6640625" style="158" customWidth="1"/>
    <col min="8974" max="9214" width="9.109375" style="158"/>
    <col min="9215" max="9215" width="8" style="158" customWidth="1"/>
    <col min="9216" max="9216" width="28.44140625" style="158" customWidth="1"/>
    <col min="9217" max="9228" width="9.109375" style="158"/>
    <col min="9229" max="9229" width="10.6640625" style="158" customWidth="1"/>
    <col min="9230" max="9470" width="9.109375" style="158"/>
    <col min="9471" max="9471" width="8" style="158" customWidth="1"/>
    <col min="9472" max="9472" width="28.44140625" style="158" customWidth="1"/>
    <col min="9473" max="9484" width="9.109375" style="158"/>
    <col min="9485" max="9485" width="10.6640625" style="158" customWidth="1"/>
    <col min="9486" max="9726" width="9.109375" style="158"/>
    <col min="9727" max="9727" width="8" style="158" customWidth="1"/>
    <col min="9728" max="9728" width="28.44140625" style="158" customWidth="1"/>
    <col min="9729" max="9740" width="9.109375" style="158"/>
    <col min="9741" max="9741" width="10.6640625" style="158" customWidth="1"/>
    <col min="9742" max="9982" width="9.109375" style="158"/>
    <col min="9983" max="9983" width="8" style="158" customWidth="1"/>
    <col min="9984" max="9984" width="28.44140625" style="158" customWidth="1"/>
    <col min="9985" max="9996" width="9.109375" style="158"/>
    <col min="9997" max="9997" width="10.6640625" style="158" customWidth="1"/>
    <col min="9998" max="10238" width="9.109375" style="158"/>
    <col min="10239" max="10239" width="8" style="158" customWidth="1"/>
    <col min="10240" max="10240" width="28.44140625" style="158" customWidth="1"/>
    <col min="10241" max="10252" width="9.109375" style="158"/>
    <col min="10253" max="10253" width="10.6640625" style="158" customWidth="1"/>
    <col min="10254" max="10494" width="9.109375" style="158"/>
    <col min="10495" max="10495" width="8" style="158" customWidth="1"/>
    <col min="10496" max="10496" width="28.44140625" style="158" customWidth="1"/>
    <col min="10497" max="10508" width="9.109375" style="158"/>
    <col min="10509" max="10509" width="10.6640625" style="158" customWidth="1"/>
    <col min="10510" max="10750" width="9.109375" style="158"/>
    <col min="10751" max="10751" width="8" style="158" customWidth="1"/>
    <col min="10752" max="10752" width="28.44140625" style="158" customWidth="1"/>
    <col min="10753" max="10764" width="9.109375" style="158"/>
    <col min="10765" max="10765" width="10.6640625" style="158" customWidth="1"/>
    <col min="10766" max="11006" width="9.109375" style="158"/>
    <col min="11007" max="11007" width="8" style="158" customWidth="1"/>
    <col min="11008" max="11008" width="28.44140625" style="158" customWidth="1"/>
    <col min="11009" max="11020" width="9.109375" style="158"/>
    <col min="11021" max="11021" width="10.6640625" style="158" customWidth="1"/>
    <col min="11022" max="11262" width="9.109375" style="158"/>
    <col min="11263" max="11263" width="8" style="158" customWidth="1"/>
    <col min="11264" max="11264" width="28.44140625" style="158" customWidth="1"/>
    <col min="11265" max="11276" width="9.109375" style="158"/>
    <col min="11277" max="11277" width="10.6640625" style="158" customWidth="1"/>
    <col min="11278" max="11518" width="9.109375" style="158"/>
    <col min="11519" max="11519" width="8" style="158" customWidth="1"/>
    <col min="11520" max="11520" width="28.44140625" style="158" customWidth="1"/>
    <col min="11521" max="11532" width="9.109375" style="158"/>
    <col min="11533" max="11533" width="10.6640625" style="158" customWidth="1"/>
    <col min="11534" max="11774" width="9.109375" style="158"/>
    <col min="11775" max="11775" width="8" style="158" customWidth="1"/>
    <col min="11776" max="11776" width="28.44140625" style="158" customWidth="1"/>
    <col min="11777" max="11788" width="9.109375" style="158"/>
    <col min="11789" max="11789" width="10.6640625" style="158" customWidth="1"/>
    <col min="11790" max="12030" width="9.109375" style="158"/>
    <col min="12031" max="12031" width="8" style="158" customWidth="1"/>
    <col min="12032" max="12032" width="28.44140625" style="158" customWidth="1"/>
    <col min="12033" max="12044" width="9.109375" style="158"/>
    <col min="12045" max="12045" width="10.6640625" style="158" customWidth="1"/>
    <col min="12046" max="12286" width="9.109375" style="158"/>
    <col min="12287" max="12287" width="8" style="158" customWidth="1"/>
    <col min="12288" max="12288" width="28.44140625" style="158" customWidth="1"/>
    <col min="12289" max="12300" width="9.109375" style="158"/>
    <col min="12301" max="12301" width="10.6640625" style="158" customWidth="1"/>
    <col min="12302" max="12542" width="9.109375" style="158"/>
    <col min="12543" max="12543" width="8" style="158" customWidth="1"/>
    <col min="12544" max="12544" width="28.44140625" style="158" customWidth="1"/>
    <col min="12545" max="12556" width="9.109375" style="158"/>
    <col min="12557" max="12557" width="10.6640625" style="158" customWidth="1"/>
    <col min="12558" max="12798" width="9.109375" style="158"/>
    <col min="12799" max="12799" width="8" style="158" customWidth="1"/>
    <col min="12800" max="12800" width="28.44140625" style="158" customWidth="1"/>
    <col min="12801" max="12812" width="9.109375" style="158"/>
    <col min="12813" max="12813" width="10.6640625" style="158" customWidth="1"/>
    <col min="12814" max="13054" width="9.109375" style="158"/>
    <col min="13055" max="13055" width="8" style="158" customWidth="1"/>
    <col min="13056" max="13056" width="28.44140625" style="158" customWidth="1"/>
    <col min="13057" max="13068" width="9.109375" style="158"/>
    <col min="13069" max="13069" width="10.6640625" style="158" customWidth="1"/>
    <col min="13070" max="13310" width="9.109375" style="158"/>
    <col min="13311" max="13311" width="8" style="158" customWidth="1"/>
    <col min="13312" max="13312" width="28.44140625" style="158" customWidth="1"/>
    <col min="13313" max="13324" width="9.109375" style="158"/>
    <col min="13325" max="13325" width="10.6640625" style="158" customWidth="1"/>
    <col min="13326" max="13566" width="9.109375" style="158"/>
    <col min="13567" max="13567" width="8" style="158" customWidth="1"/>
    <col min="13568" max="13568" width="28.44140625" style="158" customWidth="1"/>
    <col min="13569" max="13580" width="9.109375" style="158"/>
    <col min="13581" max="13581" width="10.6640625" style="158" customWidth="1"/>
    <col min="13582" max="13822" width="9.109375" style="158"/>
    <col min="13823" max="13823" width="8" style="158" customWidth="1"/>
    <col min="13824" max="13824" width="28.44140625" style="158" customWidth="1"/>
    <col min="13825" max="13836" width="9.109375" style="158"/>
    <col min="13837" max="13837" width="10.6640625" style="158" customWidth="1"/>
    <col min="13838" max="14078" width="9.109375" style="158"/>
    <col min="14079" max="14079" width="8" style="158" customWidth="1"/>
    <col min="14080" max="14080" width="28.44140625" style="158" customWidth="1"/>
    <col min="14081" max="14092" width="9.109375" style="158"/>
    <col min="14093" max="14093" width="10.6640625" style="158" customWidth="1"/>
    <col min="14094" max="14334" width="9.109375" style="158"/>
    <col min="14335" max="14335" width="8" style="158" customWidth="1"/>
    <col min="14336" max="14336" width="28.44140625" style="158" customWidth="1"/>
    <col min="14337" max="14348" width="9.109375" style="158"/>
    <col min="14349" max="14349" width="10.6640625" style="158" customWidth="1"/>
    <col min="14350" max="14590" width="9.109375" style="158"/>
    <col min="14591" max="14591" width="8" style="158" customWidth="1"/>
    <col min="14592" max="14592" width="28.44140625" style="158" customWidth="1"/>
    <col min="14593" max="14604" width="9.109375" style="158"/>
    <col min="14605" max="14605" width="10.6640625" style="158" customWidth="1"/>
    <col min="14606" max="14846" width="9.109375" style="158"/>
    <col min="14847" max="14847" width="8" style="158" customWidth="1"/>
    <col min="14848" max="14848" width="28.44140625" style="158" customWidth="1"/>
    <col min="14849" max="14860" width="9.109375" style="158"/>
    <col min="14861" max="14861" width="10.6640625" style="158" customWidth="1"/>
    <col min="14862" max="15102" width="9.109375" style="158"/>
    <col min="15103" max="15103" width="8" style="158" customWidth="1"/>
    <col min="15104" max="15104" width="28.44140625" style="158" customWidth="1"/>
    <col min="15105" max="15116" width="9.109375" style="158"/>
    <col min="15117" max="15117" width="10.6640625" style="158" customWidth="1"/>
    <col min="15118" max="15358" width="9.109375" style="158"/>
    <col min="15359" max="15359" width="8" style="158" customWidth="1"/>
    <col min="15360" max="15360" width="28.44140625" style="158" customWidth="1"/>
    <col min="15361" max="15372" width="9.109375" style="158"/>
    <col min="15373" max="15373" width="10.6640625" style="158" customWidth="1"/>
    <col min="15374" max="15614" width="9.109375" style="158"/>
    <col min="15615" max="15615" width="8" style="158" customWidth="1"/>
    <col min="15616" max="15616" width="28.44140625" style="158" customWidth="1"/>
    <col min="15617" max="15628" width="9.109375" style="158"/>
    <col min="15629" max="15629" width="10.6640625" style="158" customWidth="1"/>
    <col min="15630" max="15870" width="9.109375" style="158"/>
    <col min="15871" max="15871" width="8" style="158" customWidth="1"/>
    <col min="15872" max="15872" width="28.44140625" style="158" customWidth="1"/>
    <col min="15873" max="15884" width="9.109375" style="158"/>
    <col min="15885" max="15885" width="10.6640625" style="158" customWidth="1"/>
    <col min="15886" max="16126" width="9.109375" style="158"/>
    <col min="16127" max="16127" width="8" style="158" customWidth="1"/>
    <col min="16128" max="16128" width="28.44140625" style="158" customWidth="1"/>
    <col min="16129" max="16140" width="9.109375" style="158"/>
    <col min="16141" max="16141" width="10.6640625" style="158" customWidth="1"/>
    <col min="16142" max="16384" width="9.109375" style="158"/>
  </cols>
  <sheetData>
    <row r="1" spans="1:13" ht="17.399999999999999">
      <c r="A1" s="159" t="s">
        <v>15</v>
      </c>
      <c r="B1" s="160"/>
      <c r="C1" s="161"/>
      <c r="D1" s="161"/>
      <c r="E1" s="160"/>
      <c r="F1" s="161"/>
      <c r="G1" s="161"/>
      <c r="H1" s="160"/>
      <c r="I1" s="161"/>
      <c r="J1" s="161"/>
      <c r="K1" s="161"/>
      <c r="L1" s="161"/>
      <c r="M1" s="161"/>
    </row>
    <row r="2" spans="1:13" ht="12">
      <c r="A2" s="158" t="s">
        <v>16</v>
      </c>
      <c r="B2" s="162"/>
    </row>
    <row r="3" spans="1:13" ht="16.95" customHeight="1">
      <c r="A3" s="163" t="s">
        <v>17</v>
      </c>
      <c r="B3" s="163" t="s">
        <v>18</v>
      </c>
      <c r="C3" s="203" t="s">
        <v>19</v>
      </c>
      <c r="D3" s="203"/>
      <c r="E3" s="203"/>
      <c r="F3" s="165"/>
      <c r="G3" s="166"/>
      <c r="H3" s="167"/>
      <c r="I3" s="167"/>
      <c r="J3" s="167" t="s">
        <v>20</v>
      </c>
      <c r="K3" s="167"/>
      <c r="L3" s="167"/>
      <c r="M3" s="188"/>
    </row>
    <row r="4" spans="1:13" ht="16.2" customHeight="1">
      <c r="A4" s="168"/>
      <c r="B4" s="168" t="s">
        <v>21</v>
      </c>
      <c r="C4" s="164">
        <v>2017</v>
      </c>
      <c r="D4" s="164">
        <f t="shared" ref="D4:L4" si="0">C4+1</f>
        <v>2018</v>
      </c>
      <c r="E4" s="164">
        <f t="shared" si="0"/>
        <v>2019</v>
      </c>
      <c r="F4" s="164">
        <f t="shared" si="0"/>
        <v>2020</v>
      </c>
      <c r="G4" s="164">
        <f t="shared" si="0"/>
        <v>2021</v>
      </c>
      <c r="H4" s="169">
        <f t="shared" si="0"/>
        <v>2022</v>
      </c>
      <c r="I4" s="169">
        <f t="shared" si="0"/>
        <v>2023</v>
      </c>
      <c r="J4" s="169">
        <f t="shared" si="0"/>
        <v>2024</v>
      </c>
      <c r="K4" s="169">
        <f t="shared" si="0"/>
        <v>2025</v>
      </c>
      <c r="L4" s="169">
        <f t="shared" si="0"/>
        <v>2026</v>
      </c>
      <c r="M4" s="189" t="s">
        <v>22</v>
      </c>
    </row>
    <row r="5" spans="1:13" ht="15.6" customHeight="1">
      <c r="A5" s="170">
        <v>1</v>
      </c>
      <c r="B5" s="171" t="s">
        <v>23</v>
      </c>
      <c r="C5" s="172">
        <f>SUM(C6:C9)</f>
        <v>0</v>
      </c>
      <c r="D5" s="172">
        <f t="shared" ref="D5:L5" si="1">SUM(D6:D9)</f>
        <v>0</v>
      </c>
      <c r="E5" s="172" t="e">
        <f t="shared" si="1"/>
        <v>#REF!</v>
      </c>
      <c r="F5" s="172" t="e">
        <f t="shared" si="1"/>
        <v>#REF!</v>
      </c>
      <c r="G5" s="172" t="e">
        <f t="shared" si="1"/>
        <v>#REF!</v>
      </c>
      <c r="H5" s="172" t="e">
        <f t="shared" si="1"/>
        <v>#REF!</v>
      </c>
      <c r="I5" s="172" t="e">
        <f t="shared" si="1"/>
        <v>#REF!</v>
      </c>
      <c r="J5" s="172" t="e">
        <f t="shared" si="1"/>
        <v>#REF!</v>
      </c>
      <c r="K5" s="172" t="e">
        <f t="shared" si="1"/>
        <v>#REF!</v>
      </c>
      <c r="L5" s="172" t="e">
        <f t="shared" si="1"/>
        <v>#REF!</v>
      </c>
      <c r="M5" s="176" t="e">
        <f t="shared" ref="M5:M17" si="2">SUM(C5:L5)</f>
        <v>#REF!</v>
      </c>
    </row>
    <row r="6" spans="1:13" ht="15.6" customHeight="1">
      <c r="A6" s="170">
        <v>1.1000000000000001</v>
      </c>
      <c r="B6" s="173" t="s">
        <v>24</v>
      </c>
      <c r="C6" s="174"/>
      <c r="D6" s="174"/>
      <c r="E6" s="174" t="e">
        <f>#REF!</f>
        <v>#REF!</v>
      </c>
      <c r="F6" s="174" t="e">
        <f>#REF!</f>
        <v>#REF!</v>
      </c>
      <c r="G6" s="174" t="e">
        <f>#REF!</f>
        <v>#REF!</v>
      </c>
      <c r="H6" s="174" t="e">
        <f>#REF!</f>
        <v>#REF!</v>
      </c>
      <c r="I6" s="174" t="e">
        <f>#REF!</f>
        <v>#REF!</v>
      </c>
      <c r="J6" s="174" t="e">
        <f>#REF!</f>
        <v>#REF!</v>
      </c>
      <c r="K6" s="174" t="e">
        <f>#REF!</f>
        <v>#REF!</v>
      </c>
      <c r="L6" s="174" t="e">
        <f>#REF!</f>
        <v>#REF!</v>
      </c>
      <c r="M6" s="176" t="e">
        <f t="shared" si="2"/>
        <v>#REF!</v>
      </c>
    </row>
    <row r="7" spans="1:13" ht="15.6" customHeight="1">
      <c r="A7" s="170">
        <v>1.2</v>
      </c>
      <c r="B7" s="173" t="s">
        <v>25</v>
      </c>
      <c r="C7" s="174"/>
      <c r="D7" s="174"/>
      <c r="E7" s="174">
        <f>[1]折、摊!G18</f>
        <v>0</v>
      </c>
      <c r="F7" s="174">
        <f>[1]折、摊!H18</f>
        <v>0</v>
      </c>
      <c r="G7" s="174">
        <f>[1]折、摊!I18</f>
        <v>0</v>
      </c>
      <c r="H7" s="174">
        <f>[1]折、摊!J18</f>
        <v>0</v>
      </c>
      <c r="I7" s="174">
        <f>[1]折、摊!K18</f>
        <v>0</v>
      </c>
      <c r="J7" s="174">
        <f>[1]折、摊!L18</f>
        <v>0</v>
      </c>
      <c r="K7" s="174">
        <f>[1]折、摊!M18</f>
        <v>0</v>
      </c>
      <c r="L7" s="174">
        <f>[1]折、摊!N18</f>
        <v>0</v>
      </c>
      <c r="M7" s="176">
        <f t="shared" si="2"/>
        <v>0</v>
      </c>
    </row>
    <row r="8" spans="1:13" ht="15.6" customHeight="1">
      <c r="A8" s="170">
        <v>1.3</v>
      </c>
      <c r="B8" s="173" t="s">
        <v>26</v>
      </c>
      <c r="C8" s="174" t="s">
        <v>27</v>
      </c>
      <c r="D8" s="174" t="s">
        <v>27</v>
      </c>
      <c r="E8" s="174" t="s">
        <v>27</v>
      </c>
      <c r="F8" s="174" t="s">
        <v>27</v>
      </c>
      <c r="G8" s="174" t="s">
        <v>27</v>
      </c>
      <c r="H8" s="174" t="s">
        <v>27</v>
      </c>
      <c r="I8" s="174" t="s">
        <v>27</v>
      </c>
      <c r="J8" s="174" t="s">
        <v>27</v>
      </c>
      <c r="K8" s="174" t="s">
        <v>27</v>
      </c>
      <c r="L8" s="174"/>
      <c r="M8" s="176">
        <f t="shared" si="2"/>
        <v>0</v>
      </c>
    </row>
    <row r="9" spans="1:13" s="157" customFormat="1" ht="15.6" customHeight="1">
      <c r="A9" s="175">
        <v>1.4</v>
      </c>
      <c r="B9" s="176" t="s">
        <v>28</v>
      </c>
      <c r="C9" s="174" t="s">
        <v>27</v>
      </c>
      <c r="D9" s="174" t="s">
        <v>27</v>
      </c>
      <c r="E9" s="174" t="s">
        <v>27</v>
      </c>
      <c r="F9" s="174" t="s">
        <v>27</v>
      </c>
      <c r="G9" s="174" t="s">
        <v>27</v>
      </c>
      <c r="H9" s="174" t="s">
        <v>27</v>
      </c>
      <c r="I9" s="174" t="s">
        <v>27</v>
      </c>
      <c r="J9" s="174" t="s">
        <v>27</v>
      </c>
      <c r="K9" s="174" t="s">
        <v>27</v>
      </c>
      <c r="L9" s="174" t="s">
        <v>27</v>
      </c>
      <c r="M9" s="176">
        <f t="shared" si="2"/>
        <v>0</v>
      </c>
    </row>
    <row r="10" spans="1:13" ht="15.6" customHeight="1">
      <c r="A10" s="175">
        <v>2</v>
      </c>
      <c r="B10" s="171" t="s">
        <v>29</v>
      </c>
      <c r="C10" s="172">
        <f t="shared" ref="C10:L10" si="3">SUM(C11:C16)</f>
        <v>0</v>
      </c>
      <c r="D10" s="172">
        <f t="shared" si="3"/>
        <v>0</v>
      </c>
      <c r="E10" s="172">
        <f t="shared" si="3"/>
        <v>0</v>
      </c>
      <c r="F10" s="172">
        <f t="shared" si="3"/>
        <v>0</v>
      </c>
      <c r="G10" s="172">
        <f t="shared" si="3"/>
        <v>0</v>
      </c>
      <c r="H10" s="172">
        <f t="shared" si="3"/>
        <v>0</v>
      </c>
      <c r="I10" s="172">
        <f t="shared" si="3"/>
        <v>0</v>
      </c>
      <c r="J10" s="172">
        <f t="shared" si="3"/>
        <v>0</v>
      </c>
      <c r="K10" s="172">
        <f t="shared" si="3"/>
        <v>0</v>
      </c>
      <c r="L10" s="172">
        <f t="shared" si="3"/>
        <v>0</v>
      </c>
      <c r="M10" s="176">
        <f t="shared" si="2"/>
        <v>0</v>
      </c>
    </row>
    <row r="11" spans="1:13" ht="15" customHeight="1">
      <c r="A11" s="170">
        <v>2.1</v>
      </c>
      <c r="B11" s="170" t="s">
        <v>30</v>
      </c>
      <c r="C11" s="174">
        <f>([1]计划!C6-[1]计划!C7)</f>
        <v>0</v>
      </c>
      <c r="D11" s="174">
        <f>([1]计划!D6-[1]计划!D7)</f>
        <v>0</v>
      </c>
      <c r="E11" s="174">
        <f>([1]计划!E6-[1]计划!E7)</f>
        <v>0</v>
      </c>
      <c r="F11" s="174">
        <f>([1]计划!F6-[1]计划!F7)</f>
        <v>0</v>
      </c>
      <c r="G11" s="174">
        <f>([1]计划!G6-[1]计划!G7)</f>
        <v>0</v>
      </c>
      <c r="H11" s="174">
        <f>([1]计划!H6-[1]计划!H7)</f>
        <v>0</v>
      </c>
      <c r="I11" s="174">
        <f>([1]计划!I6-[1]计划!I7)</f>
        <v>0</v>
      </c>
      <c r="J11" s="174">
        <f>([1]计划!J6-[1]计划!J7)</f>
        <v>0</v>
      </c>
      <c r="K11" s="174">
        <f>([1]计划!K6-[1]计划!K7)</f>
        <v>0</v>
      </c>
      <c r="L11" s="174">
        <f>([1]计划!L6-[1]计划!L7)</f>
        <v>0</v>
      </c>
      <c r="M11" s="176">
        <f t="shared" si="2"/>
        <v>0</v>
      </c>
    </row>
    <row r="12" spans="1:13" s="157" customFormat="1" ht="15" customHeight="1">
      <c r="A12" s="170">
        <v>2.2000000000000002</v>
      </c>
      <c r="B12" s="176" t="s">
        <v>31</v>
      </c>
      <c r="C12" s="174">
        <f>[1]计划!C8</f>
        <v>0</v>
      </c>
      <c r="D12" s="174">
        <f>[1]计划!D8</f>
        <v>0</v>
      </c>
      <c r="E12" s="174">
        <f>[1]计划!E8</f>
        <v>0</v>
      </c>
      <c r="F12" s="174">
        <f>[1]计划!F8</f>
        <v>0</v>
      </c>
      <c r="G12" s="174">
        <f>[1]计划!G8</f>
        <v>0</v>
      </c>
      <c r="H12" s="174">
        <f>[1]计划!H8</f>
        <v>0</v>
      </c>
      <c r="I12" s="174">
        <f>[1]计划!I8</f>
        <v>0</v>
      </c>
      <c r="J12" s="174">
        <f>[1]计划!J8</f>
        <v>0</v>
      </c>
      <c r="K12" s="174">
        <f>[1]计划!K8</f>
        <v>0</v>
      </c>
      <c r="L12" s="174">
        <f>[1]计划!L8</f>
        <v>0</v>
      </c>
      <c r="M12" s="176">
        <f t="shared" si="2"/>
        <v>0</v>
      </c>
    </row>
    <row r="13" spans="1:13" ht="15" customHeight="1">
      <c r="A13" s="170">
        <v>2.2999999999999998</v>
      </c>
      <c r="B13" s="173" t="s">
        <v>32</v>
      </c>
      <c r="C13" s="174">
        <f>[1]总成本!C22</f>
        <v>0</v>
      </c>
      <c r="D13" s="174">
        <f>[1]总成本!D22</f>
        <v>0</v>
      </c>
      <c r="E13" s="174">
        <f>[1]总成本!E22</f>
        <v>0</v>
      </c>
      <c r="F13" s="174">
        <f>[1]总成本!F22</f>
        <v>0</v>
      </c>
      <c r="G13" s="174">
        <f>[1]总成本!G22</f>
        <v>0</v>
      </c>
      <c r="H13" s="174">
        <f>[1]总成本!H22</f>
        <v>0</v>
      </c>
      <c r="I13" s="174">
        <f>[1]总成本!I22</f>
        <v>0</v>
      </c>
      <c r="J13" s="174">
        <f>[1]总成本!J22</f>
        <v>0</v>
      </c>
      <c r="K13" s="174">
        <f>[1]总成本!K22</f>
        <v>0</v>
      </c>
      <c r="L13" s="174">
        <f>[1]总成本!L22</f>
        <v>0</v>
      </c>
      <c r="M13" s="176">
        <f t="shared" si="2"/>
        <v>0</v>
      </c>
    </row>
    <row r="14" spans="1:13" ht="15" customHeight="1">
      <c r="A14" s="170">
        <v>2.4</v>
      </c>
      <c r="B14" s="173" t="s">
        <v>33</v>
      </c>
      <c r="C14" s="174">
        <f>[1]价格!D15</f>
        <v>0</v>
      </c>
      <c r="D14" s="174">
        <f>[1]价格!E15</f>
        <v>0</v>
      </c>
      <c r="E14" s="174">
        <f>[1]价格!F15</f>
        <v>0</v>
      </c>
      <c r="F14" s="174">
        <f>[1]价格!G15</f>
        <v>0</v>
      </c>
      <c r="G14" s="174">
        <f>[1]价格!H15</f>
        <v>0</v>
      </c>
      <c r="H14" s="174">
        <f>[1]价格!I15</f>
        <v>0</v>
      </c>
      <c r="I14" s="174">
        <f>[1]价格!J15</f>
        <v>0</v>
      </c>
      <c r="J14" s="174">
        <f>[1]价格!K15</f>
        <v>0</v>
      </c>
      <c r="K14" s="174">
        <f>[1]价格!L15</f>
        <v>0</v>
      </c>
      <c r="L14" s="174">
        <f>[1]价格!M15</f>
        <v>0</v>
      </c>
      <c r="M14" s="176">
        <f t="shared" si="2"/>
        <v>0</v>
      </c>
    </row>
    <row r="15" spans="1:13" ht="15" customHeight="1">
      <c r="A15" s="170">
        <v>2.5</v>
      </c>
      <c r="B15" s="173" t="s">
        <v>34</v>
      </c>
      <c r="C15" s="174">
        <f>[1]利润!C13</f>
        <v>0</v>
      </c>
      <c r="D15" s="174">
        <f>[1]利润!D13</f>
        <v>0</v>
      </c>
      <c r="E15" s="174">
        <f>[1]利润!E13</f>
        <v>0</v>
      </c>
      <c r="F15" s="174">
        <f>[1]利润!F13</f>
        <v>0</v>
      </c>
      <c r="G15" s="174">
        <f>[1]利润!G13</f>
        <v>0</v>
      </c>
      <c r="H15" s="174">
        <f>[1]利润!H13</f>
        <v>0</v>
      </c>
      <c r="I15" s="174">
        <f>[1]利润!I13</f>
        <v>0</v>
      </c>
      <c r="J15" s="174">
        <f>[1]利润!J13</f>
        <v>0</v>
      </c>
      <c r="K15" s="174">
        <f>[1]利润!K13</f>
        <v>0</v>
      </c>
      <c r="L15" s="174">
        <f>[1]利润!L13</f>
        <v>0</v>
      </c>
      <c r="M15" s="176">
        <f t="shared" si="2"/>
        <v>0</v>
      </c>
    </row>
    <row r="16" spans="1:13" ht="15" customHeight="1">
      <c r="A16" s="170">
        <v>2.6</v>
      </c>
      <c r="B16" s="173" t="s">
        <v>35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6">
        <f t="shared" si="2"/>
        <v>0</v>
      </c>
    </row>
    <row r="17" spans="1:18" ht="12">
      <c r="A17" s="170">
        <v>3</v>
      </c>
      <c r="B17" s="171" t="s">
        <v>36</v>
      </c>
      <c r="C17" s="172">
        <f t="shared" ref="C17:L17" si="4">C5-C10</f>
        <v>0</v>
      </c>
      <c r="D17" s="172">
        <f t="shared" si="4"/>
        <v>0</v>
      </c>
      <c r="E17" s="172" t="e">
        <f t="shared" si="4"/>
        <v>#REF!</v>
      </c>
      <c r="F17" s="172" t="e">
        <f t="shared" si="4"/>
        <v>#REF!</v>
      </c>
      <c r="G17" s="172" t="e">
        <f t="shared" si="4"/>
        <v>#REF!</v>
      </c>
      <c r="H17" s="172" t="e">
        <f t="shared" si="4"/>
        <v>#REF!</v>
      </c>
      <c r="I17" s="172" t="e">
        <f t="shared" si="4"/>
        <v>#REF!</v>
      </c>
      <c r="J17" s="172" t="e">
        <f t="shared" si="4"/>
        <v>#REF!</v>
      </c>
      <c r="K17" s="172" t="e">
        <f t="shared" si="4"/>
        <v>#REF!</v>
      </c>
      <c r="L17" s="172" t="e">
        <f t="shared" si="4"/>
        <v>#REF!</v>
      </c>
      <c r="M17" s="176" t="e">
        <f t="shared" si="2"/>
        <v>#REF!</v>
      </c>
    </row>
    <row r="18" spans="1:18" ht="12">
      <c r="A18" s="177">
        <v>4</v>
      </c>
      <c r="B18" s="173" t="s">
        <v>37</v>
      </c>
      <c r="C18" s="174">
        <f>C17</f>
        <v>0</v>
      </c>
      <c r="D18" s="174">
        <f t="shared" ref="D18:L18" si="5">C18+D17</f>
        <v>0</v>
      </c>
      <c r="E18" s="174" t="e">
        <f t="shared" si="5"/>
        <v>#REF!</v>
      </c>
      <c r="F18" s="174" t="e">
        <f t="shared" si="5"/>
        <v>#REF!</v>
      </c>
      <c r="G18" s="174" t="e">
        <f t="shared" si="5"/>
        <v>#REF!</v>
      </c>
      <c r="H18" s="174" t="e">
        <f t="shared" si="5"/>
        <v>#REF!</v>
      </c>
      <c r="I18" s="174" t="e">
        <f t="shared" si="5"/>
        <v>#REF!</v>
      </c>
      <c r="J18" s="174" t="e">
        <f t="shared" si="5"/>
        <v>#REF!</v>
      </c>
      <c r="K18" s="174" t="e">
        <f t="shared" si="5"/>
        <v>#REF!</v>
      </c>
      <c r="L18" s="174" t="e">
        <f t="shared" si="5"/>
        <v>#REF!</v>
      </c>
      <c r="M18" s="173" t="s">
        <v>27</v>
      </c>
    </row>
    <row r="19" spans="1:18" s="157" customFormat="1" ht="12">
      <c r="A19" s="177">
        <v>5</v>
      </c>
      <c r="B19" s="173" t="s">
        <v>38</v>
      </c>
      <c r="C19" s="174">
        <f t="shared" ref="C19:L19" si="6">C17+C15</f>
        <v>0</v>
      </c>
      <c r="D19" s="174">
        <f t="shared" si="6"/>
        <v>0</v>
      </c>
      <c r="E19" s="174" t="e">
        <f t="shared" si="6"/>
        <v>#REF!</v>
      </c>
      <c r="F19" s="174" t="e">
        <f t="shared" si="6"/>
        <v>#REF!</v>
      </c>
      <c r="G19" s="174" t="e">
        <f t="shared" si="6"/>
        <v>#REF!</v>
      </c>
      <c r="H19" s="174" t="e">
        <f t="shared" si="6"/>
        <v>#REF!</v>
      </c>
      <c r="I19" s="174" t="e">
        <f t="shared" si="6"/>
        <v>#REF!</v>
      </c>
      <c r="J19" s="174" t="e">
        <f t="shared" si="6"/>
        <v>#REF!</v>
      </c>
      <c r="K19" s="174" t="e">
        <f t="shared" si="6"/>
        <v>#REF!</v>
      </c>
      <c r="L19" s="174" t="e">
        <f t="shared" si="6"/>
        <v>#REF!</v>
      </c>
      <c r="M19" s="176" t="e">
        <f>SUM(C19:L19)</f>
        <v>#REF!</v>
      </c>
    </row>
    <row r="20" spans="1:18" s="157" customFormat="1" ht="12">
      <c r="A20" s="170">
        <v>6</v>
      </c>
      <c r="B20" s="173" t="s">
        <v>39</v>
      </c>
      <c r="C20" s="174">
        <f>C19</f>
        <v>0</v>
      </c>
      <c r="D20" s="174">
        <f t="shared" ref="D20:L20" si="7">C20+D19</f>
        <v>0</v>
      </c>
      <c r="E20" s="174" t="e">
        <f t="shared" si="7"/>
        <v>#REF!</v>
      </c>
      <c r="F20" s="174" t="e">
        <f t="shared" si="7"/>
        <v>#REF!</v>
      </c>
      <c r="G20" s="174" t="e">
        <f t="shared" si="7"/>
        <v>#REF!</v>
      </c>
      <c r="H20" s="174" t="e">
        <f t="shared" si="7"/>
        <v>#REF!</v>
      </c>
      <c r="I20" s="174" t="e">
        <f t="shared" si="7"/>
        <v>#REF!</v>
      </c>
      <c r="J20" s="174" t="e">
        <f t="shared" si="7"/>
        <v>#REF!</v>
      </c>
      <c r="K20" s="174" t="e">
        <f t="shared" si="7"/>
        <v>#REF!</v>
      </c>
      <c r="L20" s="174" t="e">
        <f t="shared" si="7"/>
        <v>#REF!</v>
      </c>
      <c r="M20" s="173" t="s">
        <v>27</v>
      </c>
    </row>
    <row r="21" spans="1:18" ht="12">
      <c r="A21" s="178"/>
      <c r="B21" s="179" t="s">
        <v>40</v>
      </c>
      <c r="C21" s="179"/>
      <c r="D21" s="179"/>
      <c r="E21" s="179" t="s">
        <v>41</v>
      </c>
      <c r="F21" s="179"/>
      <c r="G21" s="179"/>
      <c r="H21" s="179"/>
      <c r="I21" s="179" t="s">
        <v>42</v>
      </c>
      <c r="J21" s="179"/>
      <c r="K21" s="179"/>
      <c r="L21" s="179"/>
      <c r="M21" s="190"/>
    </row>
    <row r="22" spans="1:18" ht="12">
      <c r="A22" s="180"/>
      <c r="B22" s="181" t="s">
        <v>43</v>
      </c>
      <c r="C22" s="181"/>
      <c r="D22" s="182" t="s">
        <v>44</v>
      </c>
      <c r="E22" s="183" t="e">
        <f>IRR(C17:L17,0.15)</f>
        <v>#VALUE!</v>
      </c>
      <c r="F22" s="181"/>
      <c r="G22" s="181"/>
      <c r="H22" s="181"/>
      <c r="I22" s="183" t="e">
        <f>IRR(C19:L19,0.15)</f>
        <v>#VALUE!</v>
      </c>
      <c r="J22" s="181"/>
      <c r="K22" s="181"/>
      <c r="L22" s="181"/>
      <c r="M22" s="191"/>
    </row>
    <row r="23" spans="1:18" ht="12">
      <c r="A23" s="180"/>
      <c r="B23" s="181" t="s">
        <v>45</v>
      </c>
      <c r="C23" s="181"/>
      <c r="D23" s="181"/>
      <c r="E23" s="184" t="e">
        <f>NPV(0.12,C17:L17)</f>
        <v>#REF!</v>
      </c>
      <c r="F23" s="181"/>
      <c r="G23" s="181"/>
      <c r="H23" s="181"/>
      <c r="I23" s="184" t="e">
        <f>NPV(0.12,C19:L19)</f>
        <v>#REF!</v>
      </c>
      <c r="J23" s="181"/>
      <c r="K23" s="181"/>
      <c r="L23" s="181"/>
      <c r="M23" s="191"/>
      <c r="R23" s="158">
        <f>30.9-29.82</f>
        <v>1.08</v>
      </c>
    </row>
    <row r="24" spans="1:18" ht="12">
      <c r="A24" s="185"/>
      <c r="B24" s="186" t="s">
        <v>46</v>
      </c>
      <c r="C24" s="186"/>
      <c r="D24" s="186"/>
      <c r="E24" s="187" t="e">
        <f>6-H18/I17</f>
        <v>#REF!</v>
      </c>
      <c r="F24" s="186"/>
      <c r="G24" s="186"/>
      <c r="H24" s="186"/>
      <c r="I24" s="187" t="e">
        <f>6-H20/I19</f>
        <v>#REF!</v>
      </c>
      <c r="J24" s="186"/>
      <c r="K24" s="186"/>
      <c r="L24" s="186"/>
      <c r="M24" s="192"/>
    </row>
  </sheetData>
  <mergeCells count="1">
    <mergeCell ref="C3:E3"/>
  </mergeCells>
  <phoneticPr fontId="4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workbookViewId="0">
      <pane xSplit="2" ySplit="4" topLeftCell="C8" activePane="bottomRight" state="frozen"/>
      <selection pane="topRight"/>
      <selection pane="bottomLeft"/>
      <selection pane="bottomRight" activeCell="H14" sqref="H14"/>
    </sheetView>
  </sheetViews>
  <sheetFormatPr defaultColWidth="9" defaultRowHeight="15"/>
  <cols>
    <col min="1" max="1" width="5.109375" style="129" customWidth="1"/>
    <col min="2" max="2" width="32.6640625" style="129" customWidth="1"/>
    <col min="3" max="3" width="14.44140625" style="130" customWidth="1"/>
    <col min="4" max="5" width="14.77734375" style="130" customWidth="1"/>
    <col min="6" max="6" width="16.44140625" style="130" customWidth="1"/>
    <col min="7" max="7" width="15.44140625" style="129" customWidth="1"/>
    <col min="8" max="33" width="9" style="129"/>
    <col min="34" max="34" width="4.33203125" style="129" customWidth="1"/>
    <col min="35" max="35" width="13.88671875" style="129" customWidth="1"/>
    <col min="36" max="16384" width="9" style="129"/>
  </cols>
  <sheetData>
    <row r="1" spans="1:36" ht="27" customHeight="1">
      <c r="A1" s="204" t="s">
        <v>47</v>
      </c>
      <c r="B1" s="204"/>
      <c r="C1" s="204"/>
      <c r="D1" s="204"/>
      <c r="E1" s="204"/>
      <c r="F1" s="204"/>
      <c r="G1" s="65"/>
    </row>
    <row r="2" spans="1:36" ht="15.75" customHeight="1">
      <c r="A2" s="205" t="s">
        <v>17</v>
      </c>
      <c r="B2" s="131" t="s">
        <v>1</v>
      </c>
      <c r="C2" s="131" t="s">
        <v>49</v>
      </c>
      <c r="D2" s="131" t="s">
        <v>50</v>
      </c>
      <c r="E2" s="131" t="s">
        <v>51</v>
      </c>
      <c r="F2" s="132" t="s">
        <v>52</v>
      </c>
      <c r="AJ2" s="129" t="s">
        <v>53</v>
      </c>
    </row>
    <row r="3" spans="1:36" s="103" customFormat="1" ht="15.75" customHeight="1">
      <c r="A3" s="206"/>
      <c r="B3" s="107" t="s">
        <v>3</v>
      </c>
      <c r="C3" s="133">
        <f>'2025年'!F6</f>
        <v>28000</v>
      </c>
      <c r="D3" s="133">
        <f>'2026年'!F6</f>
        <v>60000</v>
      </c>
      <c r="E3" s="133">
        <f>'2027年'!F6</f>
        <v>60000</v>
      </c>
      <c r="F3" s="133">
        <f t="shared" ref="F3:F7" si="0">SUM(C3:E3)</f>
        <v>148000</v>
      </c>
      <c r="G3" s="110"/>
      <c r="AH3" s="106" t="s">
        <v>17</v>
      </c>
      <c r="AI3" s="107" t="s">
        <v>3</v>
      </c>
      <c r="AJ3" s="103" t="s">
        <v>54</v>
      </c>
    </row>
    <row r="4" spans="1:36" s="103" customFormat="1" ht="15.75" customHeight="1">
      <c r="A4" s="105">
        <v>1</v>
      </c>
      <c r="B4" s="107" t="s">
        <v>55</v>
      </c>
      <c r="C4" s="133">
        <f>'2025年'!F7</f>
        <v>6690265.48672566</v>
      </c>
      <c r="D4" s="133">
        <f>'2026年'!F7</f>
        <v>14336283.1858407</v>
      </c>
      <c r="E4" s="133">
        <f>'2027年'!F7</f>
        <v>14336283.1858407</v>
      </c>
      <c r="F4" s="133">
        <f t="shared" si="0"/>
        <v>35362831.858407103</v>
      </c>
      <c r="G4" s="110"/>
      <c r="AH4" s="106" t="s">
        <v>56</v>
      </c>
      <c r="AI4" s="107" t="s">
        <v>55</v>
      </c>
      <c r="AJ4" s="103" t="s">
        <v>54</v>
      </c>
    </row>
    <row r="5" spans="1:36" s="103" customFormat="1" ht="15.75" customHeight="1">
      <c r="A5" s="105">
        <v>2</v>
      </c>
      <c r="B5" s="105" t="s">
        <v>57</v>
      </c>
      <c r="C5" s="133">
        <f>'2025年'!F8</f>
        <v>0</v>
      </c>
      <c r="D5" s="133">
        <f>'2026年'!F8</f>
        <v>0</v>
      </c>
      <c r="E5" s="133">
        <f>'2027年'!F8</f>
        <v>0</v>
      </c>
      <c r="F5" s="133">
        <f t="shared" si="0"/>
        <v>0</v>
      </c>
      <c r="G5" s="110"/>
      <c r="AH5" s="106" t="s">
        <v>58</v>
      </c>
      <c r="AI5" s="105" t="s">
        <v>59</v>
      </c>
      <c r="AJ5" s="103" t="s">
        <v>54</v>
      </c>
    </row>
    <row r="6" spans="1:36" s="103" customFormat="1" ht="15.75" customHeight="1">
      <c r="A6" s="105">
        <v>3</v>
      </c>
      <c r="B6" s="107" t="s">
        <v>60</v>
      </c>
      <c r="C6" s="134">
        <f>C4-C5</f>
        <v>6690265.48672566</v>
      </c>
      <c r="D6" s="134">
        <f>'2026年'!F9</f>
        <v>14336283.1858407</v>
      </c>
      <c r="E6" s="133">
        <f>'2027年'!F9</f>
        <v>14336283.1858407</v>
      </c>
      <c r="F6" s="133">
        <f t="shared" si="0"/>
        <v>35362831.858407103</v>
      </c>
      <c r="G6" s="110"/>
      <c r="AH6" s="106" t="s">
        <v>61</v>
      </c>
      <c r="AI6" s="107" t="s">
        <v>60</v>
      </c>
      <c r="AJ6" s="103" t="s">
        <v>62</v>
      </c>
    </row>
    <row r="7" spans="1:36" s="103" customFormat="1" ht="15.75" customHeight="1">
      <c r="A7" s="105">
        <v>4</v>
      </c>
      <c r="B7" s="265" t="s">
        <v>301</v>
      </c>
      <c r="C7" s="133">
        <f>'2025年'!F10</f>
        <v>5186214.5999999996</v>
      </c>
      <c r="D7" s="134">
        <f>'2026年'!F10</f>
        <v>11113317</v>
      </c>
      <c r="E7" s="133">
        <f>'2027年'!F10</f>
        <v>11113317</v>
      </c>
      <c r="F7" s="133">
        <f t="shared" si="0"/>
        <v>27412848.600000001</v>
      </c>
      <c r="G7" s="110"/>
      <c r="AH7" s="106" t="s">
        <v>63</v>
      </c>
      <c r="AI7" s="106" t="s">
        <v>64</v>
      </c>
      <c r="AJ7" s="103" t="s">
        <v>65</v>
      </c>
    </row>
    <row r="8" spans="1:36" s="103" customFormat="1" ht="15.75" customHeight="1">
      <c r="A8" s="105">
        <v>5</v>
      </c>
      <c r="B8" s="106" t="s">
        <v>66</v>
      </c>
      <c r="C8" s="133">
        <f>'2025年'!F11</f>
        <v>221447.78761061901</v>
      </c>
      <c r="D8" s="134">
        <f>'2026年'!F11</f>
        <v>474530.97345132701</v>
      </c>
      <c r="E8" s="133">
        <f>'2027年'!F11</f>
        <v>474530.97345132701</v>
      </c>
      <c r="F8" s="133">
        <f t="shared" ref="F8:F19" si="1">SUM(C8:E8)</f>
        <v>1170509.73451327</v>
      </c>
      <c r="G8" s="110"/>
      <c r="AH8" s="106" t="s">
        <v>67</v>
      </c>
      <c r="AI8" s="106" t="s">
        <v>66</v>
      </c>
    </row>
    <row r="9" spans="1:36" s="103" customFormat="1" ht="15.75" customHeight="1">
      <c r="A9" s="105">
        <v>6</v>
      </c>
      <c r="B9" s="106" t="s">
        <v>68</v>
      </c>
      <c r="C9" s="133">
        <f>'2025年'!F12</f>
        <v>145178.76106194701</v>
      </c>
      <c r="D9" s="134">
        <f>'2026年'!F12</f>
        <v>311097.34513274301</v>
      </c>
      <c r="E9" s="133">
        <f>'2027年'!F12</f>
        <v>311097.34513274301</v>
      </c>
      <c r="F9" s="133">
        <f t="shared" si="1"/>
        <v>767373.45132743299</v>
      </c>
      <c r="G9" s="110"/>
      <c r="AH9" s="106" t="s">
        <v>69</v>
      </c>
      <c r="AI9" s="106" t="s">
        <v>68</v>
      </c>
    </row>
    <row r="10" spans="1:36" s="103" customFormat="1" ht="15.75" customHeight="1">
      <c r="A10" s="105">
        <v>7</v>
      </c>
      <c r="B10" s="106" t="s">
        <v>70</v>
      </c>
      <c r="C10" s="133">
        <f>'2025年'!F13</f>
        <v>402902.65486725699</v>
      </c>
      <c r="D10" s="134">
        <f>'2026年'!F13</f>
        <v>863362.83185840701</v>
      </c>
      <c r="E10" s="133">
        <f>'2027年'!F13</f>
        <v>863362.83185840701</v>
      </c>
      <c r="F10" s="133">
        <f t="shared" si="1"/>
        <v>2129628.3185840701</v>
      </c>
      <c r="G10" s="110"/>
      <c r="AH10" s="106" t="s">
        <v>71</v>
      </c>
      <c r="AI10" s="106" t="s">
        <v>70</v>
      </c>
      <c r="AJ10" s="103" t="s">
        <v>54</v>
      </c>
    </row>
    <row r="11" spans="1:36" s="103" customFormat="1" ht="15.75" customHeight="1">
      <c r="A11" s="105">
        <v>8</v>
      </c>
      <c r="B11" s="135" t="s">
        <v>72</v>
      </c>
      <c r="C11" s="136">
        <f>SUM(C8:C10)</f>
        <v>769529.20353982202</v>
      </c>
      <c r="D11" s="136">
        <f>SUM(D8:D10)</f>
        <v>1648991.1504424801</v>
      </c>
      <c r="E11" s="136">
        <f>SUM(E8:E10)</f>
        <v>1648991.1504424801</v>
      </c>
      <c r="F11" s="136">
        <f>SUM(F8:F10)</f>
        <v>4067511.5044247699</v>
      </c>
      <c r="G11" s="110"/>
      <c r="AH11" s="106" t="s">
        <v>73</v>
      </c>
      <c r="AI11" s="111" t="s">
        <v>72</v>
      </c>
    </row>
    <row r="12" spans="1:36" s="103" customFormat="1" ht="15.75" customHeight="1">
      <c r="A12" s="105">
        <v>9</v>
      </c>
      <c r="B12" s="137" t="s">
        <v>74</v>
      </c>
      <c r="C12" s="133">
        <f>'2025年'!F15</f>
        <v>734521.68318584398</v>
      </c>
      <c r="D12" s="134">
        <f>'2026年'!F15</f>
        <v>1573975.03539824</v>
      </c>
      <c r="E12" s="133">
        <f>'2027年'!F15</f>
        <v>1573975.03539824</v>
      </c>
      <c r="F12" s="133">
        <f>SUM(C12:E12)</f>
        <v>3882471.7539823302</v>
      </c>
      <c r="G12" s="110"/>
      <c r="I12" s="129"/>
      <c r="J12" s="129"/>
      <c r="K12" s="129"/>
      <c r="L12" s="129"/>
      <c r="M12" s="129"/>
      <c r="N12" s="129"/>
      <c r="AH12" s="106" t="s">
        <v>75</v>
      </c>
      <c r="AI12" s="111" t="s">
        <v>74</v>
      </c>
    </row>
    <row r="13" spans="1:36" ht="15.75" customHeight="1">
      <c r="A13" s="105">
        <v>10</v>
      </c>
      <c r="B13" s="138" t="s">
        <v>76</v>
      </c>
      <c r="C13" s="139">
        <f t="shared" ref="C13:F13" si="2">+C12/C6</f>
        <v>0.10978961666666701</v>
      </c>
      <c r="D13" s="139">
        <f t="shared" si="2"/>
        <v>0.10978961666666801</v>
      </c>
      <c r="E13" s="139">
        <f t="shared" si="2"/>
        <v>0.10978961666666801</v>
      </c>
      <c r="F13" s="139">
        <f t="shared" si="2"/>
        <v>0.10978961666666701</v>
      </c>
      <c r="G13" s="110"/>
      <c r="AH13" s="138" t="s">
        <v>77</v>
      </c>
      <c r="AI13" s="138" t="s">
        <v>76</v>
      </c>
    </row>
    <row r="14" spans="1:36" ht="15.75" customHeight="1">
      <c r="A14" s="105">
        <v>11</v>
      </c>
      <c r="B14" s="138" t="s">
        <v>78</v>
      </c>
      <c r="C14" s="133">
        <f>'2025年'!F17</f>
        <v>254497.34513274301</v>
      </c>
      <c r="D14" s="134">
        <f>'2026年'!F17</f>
        <v>523637.16814159299</v>
      </c>
      <c r="E14" s="133">
        <f>'2027年'!F17</f>
        <v>523637.16814159299</v>
      </c>
      <c r="F14" s="133">
        <f>SUM(C14:E14)</f>
        <v>1301771.6814159299</v>
      </c>
      <c r="G14" s="110"/>
      <c r="AH14" s="138" t="s">
        <v>79</v>
      </c>
      <c r="AI14" s="138" t="s">
        <v>78</v>
      </c>
    </row>
    <row r="15" spans="1:36" ht="15.75" customHeight="1">
      <c r="A15" s="105"/>
      <c r="B15" s="138"/>
      <c r="C15" s="133"/>
      <c r="D15" s="133"/>
      <c r="E15" s="133"/>
      <c r="F15" s="133">
        <f>SUM(C15:E15)</f>
        <v>0</v>
      </c>
      <c r="G15" s="110"/>
      <c r="AH15" s="138"/>
      <c r="AI15" s="138"/>
    </row>
    <row r="16" spans="1:36" ht="15.75" customHeight="1">
      <c r="A16" s="105">
        <v>12</v>
      </c>
      <c r="B16" s="138" t="s">
        <v>80</v>
      </c>
      <c r="C16" s="140">
        <f>'2025年'!F19</f>
        <v>66902.654867256599</v>
      </c>
      <c r="D16" s="140">
        <f>'2026年'!F19</f>
        <v>143362.83185840701</v>
      </c>
      <c r="E16" s="133">
        <f>'2027年'!F19</f>
        <v>143362.83185840701</v>
      </c>
      <c r="F16" s="133">
        <f t="shared" si="1"/>
        <v>353628.31858407101</v>
      </c>
      <c r="G16" s="110"/>
      <c r="O16" s="110"/>
      <c r="AH16" s="138" t="s">
        <v>81</v>
      </c>
      <c r="AI16" s="138" t="s">
        <v>80</v>
      </c>
      <c r="AJ16" s="129" t="s">
        <v>54</v>
      </c>
    </row>
    <row r="17" spans="1:36" ht="15.75" customHeight="1">
      <c r="A17" s="105">
        <v>13</v>
      </c>
      <c r="B17" s="138" t="s">
        <v>82</v>
      </c>
      <c r="C17" s="140">
        <f>'2025年'!F20</f>
        <v>66902.654867256599</v>
      </c>
      <c r="D17" s="140">
        <f>'2026年'!F20</f>
        <v>143362.83185840701</v>
      </c>
      <c r="E17" s="133">
        <f>'2027年'!F20</f>
        <v>143362.83185840701</v>
      </c>
      <c r="F17" s="133">
        <f t="shared" si="1"/>
        <v>353628.31858407101</v>
      </c>
      <c r="G17" s="110"/>
      <c r="AH17" s="138" t="s">
        <v>83</v>
      </c>
      <c r="AI17" s="138" t="s">
        <v>82</v>
      </c>
    </row>
    <row r="18" spans="1:36" s="102" customFormat="1" ht="15.75" customHeight="1">
      <c r="A18" s="105">
        <v>14</v>
      </c>
      <c r="B18" s="118" t="s">
        <v>84</v>
      </c>
      <c r="C18" s="141">
        <f>'2025年'!F21</f>
        <v>26666.666666666701</v>
      </c>
      <c r="D18" s="141">
        <f>'2026年'!F21</f>
        <v>26666.666666666701</v>
      </c>
      <c r="E18" s="141">
        <f>'2027年'!F21</f>
        <v>26666.666666666701</v>
      </c>
      <c r="F18" s="133">
        <f t="shared" si="1"/>
        <v>80000</v>
      </c>
      <c r="G18" s="110"/>
      <c r="AH18" s="118"/>
      <c r="AI18" s="118"/>
    </row>
    <row r="19" spans="1:36" s="103" customFormat="1" ht="15.75" customHeight="1">
      <c r="A19" s="105">
        <v>15</v>
      </c>
      <c r="B19" s="106" t="s">
        <v>85</v>
      </c>
      <c r="C19" s="140">
        <f>'2025年'!F22</f>
        <v>200707.96460176978</v>
      </c>
      <c r="D19" s="140">
        <f>'2026年'!F22</f>
        <v>430088.49557522096</v>
      </c>
      <c r="E19" s="133">
        <f>'2027年'!F22</f>
        <v>430088.49557522096</v>
      </c>
      <c r="F19" s="133">
        <f t="shared" si="1"/>
        <v>1060884.9557522116</v>
      </c>
      <c r="G19" s="110"/>
      <c r="AH19" s="106" t="s">
        <v>86</v>
      </c>
      <c r="AI19" s="106" t="s">
        <v>85</v>
      </c>
    </row>
    <row r="20" spans="1:36" s="127" customFormat="1" ht="15.75" customHeight="1">
      <c r="A20" s="105">
        <v>16</v>
      </c>
      <c r="B20" s="142" t="s">
        <v>87</v>
      </c>
      <c r="C20" s="136">
        <f t="shared" ref="C20:F20" si="3">+C19+C18+C17+C16+C14</f>
        <v>615677.28613569262</v>
      </c>
      <c r="D20" s="136">
        <f t="shared" si="3"/>
        <v>1267117.9941002945</v>
      </c>
      <c r="E20" s="136">
        <f t="shared" si="3"/>
        <v>1267117.9941002945</v>
      </c>
      <c r="F20" s="136">
        <f t="shared" si="3"/>
        <v>3149913.2743362836</v>
      </c>
      <c r="G20" s="110"/>
      <c r="AH20" s="154" t="s">
        <v>88</v>
      </c>
      <c r="AI20" s="155" t="s">
        <v>87</v>
      </c>
    </row>
    <row r="21" spans="1:36" ht="15.75" customHeight="1">
      <c r="A21" s="105">
        <v>17</v>
      </c>
      <c r="B21" s="138" t="s">
        <v>89</v>
      </c>
      <c r="C21" s="143">
        <f>'2025年'!F24</f>
        <v>118844.39705015137</v>
      </c>
      <c r="D21" s="143">
        <f>'2026年'!F24</f>
        <v>306857.04129794543</v>
      </c>
      <c r="E21" s="133">
        <f>'2027年'!F24</f>
        <v>306857.04129794543</v>
      </c>
      <c r="F21" s="133">
        <f>SUM(C21:E21)</f>
        <v>732558.47964604222</v>
      </c>
      <c r="G21" s="144"/>
      <c r="AH21" s="138" t="s">
        <v>90</v>
      </c>
      <c r="AI21" s="138" t="s">
        <v>89</v>
      </c>
    </row>
    <row r="22" spans="1:36" ht="15.75" customHeight="1">
      <c r="A22" s="105">
        <v>18</v>
      </c>
      <c r="B22" s="138" t="s">
        <v>34</v>
      </c>
      <c r="C22" s="143">
        <f>'2025年'!F25</f>
        <v>29711.099262537842</v>
      </c>
      <c r="D22" s="143">
        <f>'2026年'!F25</f>
        <v>76714.260324486357</v>
      </c>
      <c r="E22" s="133">
        <f>'2027年'!F25</f>
        <v>76714.260324486357</v>
      </c>
      <c r="F22" s="143">
        <f>IF(F21&lt;0,0,F21*0.25)</f>
        <v>183139.61991151056</v>
      </c>
      <c r="G22" s="110"/>
      <c r="AH22" s="138" t="s">
        <v>91</v>
      </c>
      <c r="AI22" s="138" t="s">
        <v>34</v>
      </c>
    </row>
    <row r="23" spans="1:36" ht="15.75" customHeight="1">
      <c r="A23" s="105">
        <v>19</v>
      </c>
      <c r="B23" s="138" t="s">
        <v>92</v>
      </c>
      <c r="C23" s="143">
        <f>'2025年'!F26</f>
        <v>89133.297787613061</v>
      </c>
      <c r="D23" s="143">
        <f>'2026年'!F26</f>
        <v>230142.78097345907</v>
      </c>
      <c r="E23" s="133">
        <f>'2027年'!F26</f>
        <v>230142.78097345907</v>
      </c>
      <c r="F23" s="133">
        <f>SUM(C23:E23)</f>
        <v>549418.85973453126</v>
      </c>
      <c r="G23" s="144"/>
      <c r="AH23" s="138" t="s">
        <v>93</v>
      </c>
      <c r="AI23" s="138" t="s">
        <v>92</v>
      </c>
    </row>
    <row r="24" spans="1:36" ht="15.75" customHeight="1">
      <c r="A24" s="105">
        <v>20</v>
      </c>
      <c r="B24" s="138" t="s">
        <v>94</v>
      </c>
      <c r="C24" s="145">
        <f t="shared" ref="C24:F24" si="4">C23/C4</f>
        <v>1.3322834193122066E-2</v>
      </c>
      <c r="D24" s="145">
        <f t="shared" si="4"/>
        <v>1.6053169290124007E-2</v>
      </c>
      <c r="E24" s="145">
        <f t="shared" si="4"/>
        <v>1.6053169290124007E-2</v>
      </c>
      <c r="F24" s="145">
        <f t="shared" si="4"/>
        <v>1.5536619406907405E-2</v>
      </c>
      <c r="G24" s="144"/>
      <c r="AH24" s="156" t="s">
        <v>95</v>
      </c>
      <c r="AI24" s="156" t="s">
        <v>96</v>
      </c>
    </row>
    <row r="25" spans="1:36" s="128" customFormat="1" ht="15.75" customHeight="1">
      <c r="C25" s="146"/>
      <c r="D25" s="146"/>
      <c r="E25" s="146"/>
      <c r="F25" s="146"/>
      <c r="G25" s="147"/>
    </row>
    <row r="26" spans="1:36" s="128" customFormat="1" ht="15.75" customHeight="1">
      <c r="A26" s="128" t="s">
        <v>97</v>
      </c>
      <c r="C26" s="148"/>
      <c r="D26" s="148"/>
      <c r="E26" s="148"/>
      <c r="F26" s="148"/>
      <c r="G26" s="147"/>
      <c r="AH26" s="128" t="s">
        <v>97</v>
      </c>
    </row>
    <row r="27" spans="1:36" ht="15.75" customHeight="1">
      <c r="A27" s="138" t="s">
        <v>17</v>
      </c>
      <c r="B27" s="149" t="s">
        <v>1</v>
      </c>
      <c r="C27" s="131" t="s">
        <v>49</v>
      </c>
      <c r="D27" s="131" t="s">
        <v>50</v>
      </c>
      <c r="E27" s="131" t="s">
        <v>51</v>
      </c>
      <c r="F27" s="132" t="s">
        <v>52</v>
      </c>
      <c r="AJ27" s="129" t="s">
        <v>53</v>
      </c>
    </row>
    <row r="28" spans="1:36" s="103" customFormat="1" ht="15.75" customHeight="1">
      <c r="A28" s="106" t="s">
        <v>98</v>
      </c>
      <c r="B28" s="111" t="s">
        <v>99</v>
      </c>
      <c r="C28" s="117"/>
      <c r="D28" s="117"/>
      <c r="E28" s="117"/>
      <c r="F28" s="117"/>
      <c r="G28" s="110"/>
      <c r="AH28" s="106" t="s">
        <v>100</v>
      </c>
      <c r="AI28" s="111" t="s">
        <v>99</v>
      </c>
    </row>
    <row r="29" spans="1:36" s="103" customFormat="1" ht="15.75" customHeight="1">
      <c r="A29" s="106" t="s">
        <v>56</v>
      </c>
      <c r="B29" s="106" t="s">
        <v>101</v>
      </c>
      <c r="C29" s="109">
        <f t="shared" ref="C29:F29" si="5">+C6/C3</f>
        <v>238.938053097345</v>
      </c>
      <c r="D29" s="109">
        <f t="shared" si="5"/>
        <v>238.938053097345</v>
      </c>
      <c r="E29" s="109">
        <f t="shared" si="5"/>
        <v>238.938053097345</v>
      </c>
      <c r="F29" s="109">
        <f t="shared" si="5"/>
        <v>238.938053097345</v>
      </c>
      <c r="G29" s="110"/>
      <c r="AH29" s="106" t="s">
        <v>56</v>
      </c>
      <c r="AI29" s="106" t="s">
        <v>101</v>
      </c>
    </row>
    <row r="30" spans="1:36" s="103" customFormat="1" ht="15.75" customHeight="1">
      <c r="A30" s="106" t="s">
        <v>58</v>
      </c>
      <c r="B30" s="106" t="s">
        <v>102</v>
      </c>
      <c r="C30" s="109">
        <f t="shared" ref="C30:F30" si="6">+C7/C3</f>
        <v>185.22194999999999</v>
      </c>
      <c r="D30" s="109">
        <f t="shared" si="6"/>
        <v>185.22194999999999</v>
      </c>
      <c r="E30" s="109">
        <f t="shared" si="6"/>
        <v>185.22194999999999</v>
      </c>
      <c r="F30" s="109">
        <f t="shared" si="6"/>
        <v>185.22194999999999</v>
      </c>
      <c r="G30" s="110"/>
      <c r="AH30" s="106" t="s">
        <v>58</v>
      </c>
      <c r="AI30" s="106" t="s">
        <v>102</v>
      </c>
    </row>
    <row r="31" spans="1:36" s="103" customFormat="1" ht="15.75" customHeight="1">
      <c r="A31" s="106" t="s">
        <v>103</v>
      </c>
      <c r="B31" s="106" t="s">
        <v>104</v>
      </c>
      <c r="C31" s="117">
        <f t="shared" ref="C31:F31" si="7">C29-C30</f>
        <v>53.716103097344998</v>
      </c>
      <c r="D31" s="117">
        <f t="shared" si="7"/>
        <v>53.716103097344998</v>
      </c>
      <c r="E31" s="117">
        <f t="shared" si="7"/>
        <v>53.716103097344998</v>
      </c>
      <c r="F31" s="117">
        <f t="shared" si="7"/>
        <v>53.716103097344998</v>
      </c>
      <c r="G31" s="110"/>
      <c r="AH31" s="106" t="s">
        <v>103</v>
      </c>
      <c r="AI31" s="106" t="s">
        <v>104</v>
      </c>
    </row>
    <row r="32" spans="1:36" s="103" customFormat="1" ht="15.75" customHeight="1">
      <c r="A32" s="106">
        <v>3.1</v>
      </c>
      <c r="B32" s="106" t="s">
        <v>105</v>
      </c>
      <c r="C32" s="112">
        <f t="shared" ref="C32:F32" si="8">C31/C29</f>
        <v>0.224811838888889</v>
      </c>
      <c r="D32" s="112">
        <f t="shared" si="8"/>
        <v>0.224811838888889</v>
      </c>
      <c r="E32" s="112">
        <f t="shared" si="8"/>
        <v>0.224811838888889</v>
      </c>
      <c r="F32" s="112">
        <f t="shared" si="8"/>
        <v>0.224811838888888</v>
      </c>
      <c r="G32" s="110"/>
      <c r="AH32" s="106"/>
      <c r="AI32" s="106"/>
    </row>
    <row r="33" spans="1:35" s="103" customFormat="1" ht="15.75" customHeight="1">
      <c r="A33" s="106" t="s">
        <v>100</v>
      </c>
      <c r="B33" s="111" t="s">
        <v>7</v>
      </c>
      <c r="C33" s="117"/>
      <c r="D33" s="117"/>
      <c r="E33" s="117"/>
      <c r="F33" s="117"/>
      <c r="G33" s="110"/>
      <c r="AH33" s="106" t="s">
        <v>106</v>
      </c>
      <c r="AI33" s="111" t="s">
        <v>7</v>
      </c>
    </row>
    <row r="34" spans="1:35" s="103" customFormat="1" ht="15.75" customHeight="1">
      <c r="A34" s="106" t="s">
        <v>56</v>
      </c>
      <c r="B34" s="118" t="s">
        <v>107</v>
      </c>
      <c r="C34" s="109">
        <f t="shared" ref="C34:F34" si="9">+C8/C3</f>
        <v>7.90884955752212</v>
      </c>
      <c r="D34" s="109">
        <f t="shared" si="9"/>
        <v>7.90884955752212</v>
      </c>
      <c r="E34" s="109">
        <f t="shared" si="9"/>
        <v>7.90884955752212</v>
      </c>
      <c r="F34" s="109">
        <f t="shared" si="9"/>
        <v>7.90884955752212</v>
      </c>
      <c r="G34" s="110"/>
      <c r="AH34" s="106" t="s">
        <v>103</v>
      </c>
      <c r="AI34" s="106" t="s">
        <v>107</v>
      </c>
    </row>
    <row r="35" spans="1:35" s="103" customFormat="1" ht="15.75" customHeight="1">
      <c r="A35" s="106" t="s">
        <v>58</v>
      </c>
      <c r="B35" s="118" t="s">
        <v>108</v>
      </c>
      <c r="C35" s="109">
        <f t="shared" ref="C35:F35" si="10">+C9/C3</f>
        <v>5.1849557522123897</v>
      </c>
      <c r="D35" s="109">
        <f t="shared" si="10"/>
        <v>5.1849557522123897</v>
      </c>
      <c r="E35" s="109">
        <f t="shared" si="10"/>
        <v>5.1849557522123897</v>
      </c>
      <c r="F35" s="109">
        <f t="shared" si="10"/>
        <v>5.1849557522123897</v>
      </c>
      <c r="G35" s="110"/>
      <c r="AH35" s="106" t="s">
        <v>61</v>
      </c>
      <c r="AI35" s="106" t="s">
        <v>108</v>
      </c>
    </row>
    <row r="36" spans="1:35" s="103" customFormat="1" ht="15.75" customHeight="1">
      <c r="A36" s="106" t="s">
        <v>103</v>
      </c>
      <c r="B36" s="118" t="s">
        <v>109</v>
      </c>
      <c r="C36" s="109">
        <f t="shared" ref="C36:F36" si="11">+C10/C3</f>
        <v>14.3893805309734</v>
      </c>
      <c r="D36" s="109">
        <f t="shared" si="11"/>
        <v>14.3893805309734</v>
      </c>
      <c r="E36" s="109">
        <f t="shared" si="11"/>
        <v>14.3893805309734</v>
      </c>
      <c r="F36" s="109">
        <f t="shared" si="11"/>
        <v>14.3893805309734</v>
      </c>
      <c r="G36" s="110"/>
      <c r="AH36" s="106" t="s">
        <v>67</v>
      </c>
      <c r="AI36" s="106" t="s">
        <v>109</v>
      </c>
    </row>
    <row r="37" spans="1:35" s="103" customFormat="1" ht="15.75" customHeight="1">
      <c r="A37" s="106" t="s">
        <v>110</v>
      </c>
      <c r="B37" s="137" t="s">
        <v>111</v>
      </c>
      <c r="C37" s="109"/>
      <c r="D37" s="109"/>
      <c r="E37" s="109"/>
      <c r="F37" s="109"/>
      <c r="G37" s="110"/>
      <c r="AH37" s="106" t="s">
        <v>110</v>
      </c>
      <c r="AI37" s="111" t="s">
        <v>111</v>
      </c>
    </row>
    <row r="38" spans="1:35" s="103" customFormat="1">
      <c r="A38" s="106" t="s">
        <v>56</v>
      </c>
      <c r="B38" s="118" t="s">
        <v>112</v>
      </c>
      <c r="C38" s="109">
        <f t="shared" ref="C38:F38" si="12">+C12/C3</f>
        <v>26.2329172566373</v>
      </c>
      <c r="D38" s="109">
        <f t="shared" si="12"/>
        <v>26.2329172566374</v>
      </c>
      <c r="E38" s="109">
        <f t="shared" si="12"/>
        <v>26.2329172566374</v>
      </c>
      <c r="F38" s="109">
        <f t="shared" si="12"/>
        <v>26.2329172566373</v>
      </c>
      <c r="G38" s="110"/>
      <c r="AH38" s="106" t="s">
        <v>56</v>
      </c>
      <c r="AI38" s="106" t="s">
        <v>113</v>
      </c>
    </row>
    <row r="39" spans="1:35" s="103" customFormat="1" ht="15.75" customHeight="1">
      <c r="A39" s="106" t="s">
        <v>58</v>
      </c>
      <c r="B39" s="118" t="s">
        <v>114</v>
      </c>
      <c r="C39" s="133">
        <f>+C20/C38</f>
        <v>23469.646174403937</v>
      </c>
      <c r="D39" s="133">
        <f t="shared" ref="D39:F39" si="13">+D20/D38</f>
        <v>48302.595616951097</v>
      </c>
      <c r="E39" s="133">
        <f t="shared" si="13"/>
        <v>48302.595616951097</v>
      </c>
      <c r="F39" s="133">
        <f t="shared" si="13"/>
        <v>120074.83740830657</v>
      </c>
      <c r="G39" s="110"/>
      <c r="AH39" s="106" t="s">
        <v>58</v>
      </c>
      <c r="AI39" s="106" t="s">
        <v>114</v>
      </c>
    </row>
    <row r="40" spans="1:35" s="103" customFormat="1" ht="15.75" customHeight="1">
      <c r="A40" s="106" t="s">
        <v>115</v>
      </c>
      <c r="B40" s="111" t="s">
        <v>116</v>
      </c>
      <c r="C40" s="117"/>
      <c r="D40" s="117"/>
      <c r="E40" s="117"/>
      <c r="F40" s="117"/>
      <c r="G40" s="110"/>
      <c r="AH40" s="106" t="s">
        <v>115</v>
      </c>
      <c r="AI40" s="111" t="s">
        <v>116</v>
      </c>
    </row>
    <row r="41" spans="1:35" s="103" customFormat="1" ht="15.75" customHeight="1">
      <c r="A41" s="106" t="s">
        <v>56</v>
      </c>
      <c r="B41" s="106" t="s">
        <v>117</v>
      </c>
      <c r="C41" s="117">
        <f t="shared" ref="C41:F41" si="14">+C14/C3</f>
        <v>9.0891908975979696</v>
      </c>
      <c r="D41" s="117">
        <f t="shared" si="14"/>
        <v>8.7272861356932108</v>
      </c>
      <c r="E41" s="117">
        <f t="shared" si="14"/>
        <v>8.7272861356932108</v>
      </c>
      <c r="F41" s="117">
        <f t="shared" si="14"/>
        <v>8.7957546041616794</v>
      </c>
      <c r="G41" s="110"/>
      <c r="AH41" s="106" t="s">
        <v>56</v>
      </c>
      <c r="AI41" s="106" t="s">
        <v>117</v>
      </c>
    </row>
    <row r="42" spans="1:35" s="103" customFormat="1" ht="15.75" customHeight="1">
      <c r="A42" s="106" t="s">
        <v>58</v>
      </c>
      <c r="B42" s="106" t="s">
        <v>118</v>
      </c>
      <c r="C42" s="117">
        <f t="shared" ref="C42:F42" si="15">+C16/C3</f>
        <v>2.3893805309734502</v>
      </c>
      <c r="D42" s="117">
        <f t="shared" si="15"/>
        <v>2.3893805309734502</v>
      </c>
      <c r="E42" s="117">
        <f t="shared" si="15"/>
        <v>2.3893805309734502</v>
      </c>
      <c r="F42" s="117">
        <f t="shared" si="15"/>
        <v>2.3893805309734502</v>
      </c>
      <c r="G42" s="110"/>
      <c r="AH42" s="106" t="s">
        <v>58</v>
      </c>
      <c r="AI42" s="106" t="s">
        <v>118</v>
      </c>
    </row>
    <row r="43" spans="1:35" s="103" customFormat="1" ht="15.75" customHeight="1">
      <c r="A43" s="106" t="s">
        <v>103</v>
      </c>
      <c r="B43" s="106" t="s">
        <v>119</v>
      </c>
      <c r="C43" s="117">
        <f>+C17/C3</f>
        <v>2.3893805309734502</v>
      </c>
      <c r="D43" s="117">
        <f t="shared" ref="D43:F43" si="16">+D17/D3</f>
        <v>2.3893805309734502</v>
      </c>
      <c r="E43" s="117">
        <f t="shared" si="16"/>
        <v>2.3893805309734502</v>
      </c>
      <c r="F43" s="117">
        <f t="shared" si="16"/>
        <v>2.3893805309734502</v>
      </c>
      <c r="G43" s="110"/>
      <c r="AH43" s="106" t="s">
        <v>103</v>
      </c>
      <c r="AI43" s="106" t="s">
        <v>119</v>
      </c>
    </row>
    <row r="44" spans="1:35" s="103" customFormat="1" ht="15.75" customHeight="1">
      <c r="A44" s="106" t="s">
        <v>61</v>
      </c>
      <c r="B44" s="106" t="s">
        <v>120</v>
      </c>
      <c r="C44" s="117">
        <f t="shared" ref="C44:F44" si="17">C18/C3</f>
        <v>0.952380952380952</v>
      </c>
      <c r="D44" s="117">
        <f t="shared" si="17"/>
        <v>0.44444444444444398</v>
      </c>
      <c r="E44" s="117">
        <f t="shared" si="17"/>
        <v>0.44444444444444398</v>
      </c>
      <c r="F44" s="117">
        <f t="shared" si="17"/>
        <v>0.54054054054054101</v>
      </c>
      <c r="G44" s="110"/>
      <c r="AH44" s="106" t="s">
        <v>61</v>
      </c>
      <c r="AI44" s="106" t="s">
        <v>121</v>
      </c>
    </row>
    <row r="45" spans="1:35" s="103" customFormat="1" ht="15.75" customHeight="1">
      <c r="A45" s="106" t="s">
        <v>63</v>
      </c>
      <c r="B45" s="106" t="s">
        <v>122</v>
      </c>
      <c r="C45" s="117">
        <f>C19/C3</f>
        <v>7.1681415929203496</v>
      </c>
      <c r="D45" s="117">
        <f>D19/D3</f>
        <v>7.1681415929203496</v>
      </c>
      <c r="E45" s="117">
        <f t="shared" ref="E45:F45" si="18">E19/E3</f>
        <v>7.1681415929203496</v>
      </c>
      <c r="F45" s="117">
        <f t="shared" si="18"/>
        <v>7.1681415929203487</v>
      </c>
      <c r="G45" s="110"/>
      <c r="AH45" s="106" t="s">
        <v>63</v>
      </c>
      <c r="AI45" s="106" t="s">
        <v>122</v>
      </c>
    </row>
    <row r="46" spans="1:35" s="103" customFormat="1" ht="15.75" customHeight="1">
      <c r="A46" s="106" t="s">
        <v>123</v>
      </c>
      <c r="B46" s="111" t="s">
        <v>124</v>
      </c>
      <c r="C46" s="117"/>
      <c r="D46" s="117"/>
      <c r="E46" s="117"/>
      <c r="F46" s="117"/>
      <c r="G46" s="110"/>
      <c r="AH46" s="106" t="s">
        <v>123</v>
      </c>
      <c r="AI46" s="111" t="s">
        <v>124</v>
      </c>
    </row>
    <row r="47" spans="1:35" s="103" customFormat="1" ht="15.75" customHeight="1">
      <c r="A47" s="106" t="s">
        <v>56</v>
      </c>
      <c r="B47" s="106" t="s">
        <v>125</v>
      </c>
      <c r="C47" s="121">
        <f t="shared" ref="C47:F47" si="19">+(C10+C16)/C6</f>
        <v>7.02222222222222E-2</v>
      </c>
      <c r="D47" s="121">
        <f t="shared" si="19"/>
        <v>7.0222222222222297E-2</v>
      </c>
      <c r="E47" s="121">
        <f t="shared" si="19"/>
        <v>7.0222222222222297E-2</v>
      </c>
      <c r="F47" s="121">
        <f t="shared" si="19"/>
        <v>7.02222222222222E-2</v>
      </c>
      <c r="G47" s="110"/>
      <c r="AH47" s="106" t="s">
        <v>56</v>
      </c>
      <c r="AI47" s="106" t="s">
        <v>125</v>
      </c>
    </row>
    <row r="48" spans="1:35" s="103" customFormat="1" ht="15.75" customHeight="1">
      <c r="A48" s="106" t="s">
        <v>58</v>
      </c>
      <c r="B48" s="106" t="s">
        <v>126</v>
      </c>
      <c r="C48" s="121">
        <f t="shared" ref="C48:F48" si="20">+(C8+C9+C14)/C6</f>
        <v>9.2839947089947E-2</v>
      </c>
      <c r="D48" s="121">
        <f t="shared" si="20"/>
        <v>9.13253086419753E-2</v>
      </c>
      <c r="E48" s="121">
        <f t="shared" si="20"/>
        <v>9.13253086419753E-2</v>
      </c>
      <c r="F48" s="121">
        <f t="shared" si="20"/>
        <v>9.1611861861861696E-2</v>
      </c>
      <c r="G48" s="110"/>
      <c r="AH48" s="106" t="s">
        <v>58</v>
      </c>
      <c r="AI48" s="106" t="s">
        <v>126</v>
      </c>
    </row>
    <row r="49" spans="1:35" s="103" customFormat="1" ht="15.75" customHeight="1">
      <c r="A49" s="106" t="s">
        <v>103</v>
      </c>
      <c r="B49" s="106" t="s">
        <v>127</v>
      </c>
      <c r="C49" s="121">
        <f t="shared" ref="C49:F49" si="21">+C17/C6</f>
        <v>0.01</v>
      </c>
      <c r="D49" s="121">
        <f t="shared" si="21"/>
        <v>0.01</v>
      </c>
      <c r="E49" s="121">
        <f t="shared" si="21"/>
        <v>0.01</v>
      </c>
      <c r="F49" s="121">
        <f t="shared" si="21"/>
        <v>9.9999999999999898E-3</v>
      </c>
      <c r="G49" s="110"/>
      <c r="AH49" s="106" t="s">
        <v>103</v>
      </c>
      <c r="AI49" s="106" t="s">
        <v>127</v>
      </c>
    </row>
    <row r="50" spans="1:35" s="103" customFormat="1" ht="15.75" customHeight="1">
      <c r="A50" s="106" t="s">
        <v>61</v>
      </c>
      <c r="B50" s="106" t="s">
        <v>128</v>
      </c>
      <c r="C50" s="121">
        <f t="shared" ref="C50:F50" si="22">+C18/C6</f>
        <v>3.9858906525573204E-3</v>
      </c>
      <c r="D50" s="121">
        <f t="shared" si="22"/>
        <v>1.8600823045267501E-3</v>
      </c>
      <c r="E50" s="121">
        <f t="shared" si="22"/>
        <v>1.8600823045267501E-3</v>
      </c>
      <c r="F50" s="121">
        <f t="shared" si="22"/>
        <v>2.2622622622622602E-3</v>
      </c>
      <c r="G50" s="110"/>
      <c r="AH50" s="106" t="s">
        <v>61</v>
      </c>
      <c r="AI50" s="106" t="s">
        <v>128</v>
      </c>
    </row>
    <row r="51" spans="1:35" s="103" customFormat="1" ht="15.75" customHeight="1">
      <c r="A51" s="106" t="s">
        <v>63</v>
      </c>
      <c r="B51" s="106" t="s">
        <v>129</v>
      </c>
      <c r="C51" s="121">
        <f t="shared" ref="C51:F51" si="23">+C19/C6</f>
        <v>2.9999999999999995E-2</v>
      </c>
      <c r="D51" s="121">
        <f t="shared" si="23"/>
        <v>0.03</v>
      </c>
      <c r="E51" s="121">
        <f t="shared" si="23"/>
        <v>0.03</v>
      </c>
      <c r="F51" s="121">
        <f t="shared" si="23"/>
        <v>2.9999999999999957E-2</v>
      </c>
      <c r="G51" s="110"/>
      <c r="AH51" s="106" t="s">
        <v>63</v>
      </c>
      <c r="AI51" s="106" t="s">
        <v>129</v>
      </c>
    </row>
    <row r="52" spans="1:35" s="103" customFormat="1" ht="15.75" customHeight="1">
      <c r="A52" s="106" t="s">
        <v>67</v>
      </c>
      <c r="B52" s="106" t="s">
        <v>130</v>
      </c>
      <c r="C52" s="121">
        <f t="shared" ref="C52:F52" si="24">+C23/C6</f>
        <v>1.3322834193122066E-2</v>
      </c>
      <c r="D52" s="121">
        <f t="shared" si="24"/>
        <v>1.6053169290124007E-2</v>
      </c>
      <c r="E52" s="121">
        <f t="shared" si="24"/>
        <v>1.6053169290124007E-2</v>
      </c>
      <c r="F52" s="121">
        <f t="shared" si="24"/>
        <v>1.5536619406907405E-2</v>
      </c>
      <c r="G52" s="110"/>
      <c r="AH52" s="106" t="s">
        <v>67</v>
      </c>
      <c r="AI52" s="106" t="s">
        <v>131</v>
      </c>
    </row>
    <row r="53" spans="1:35" s="103" customFormat="1" ht="15.75" customHeight="1">
      <c r="A53" s="106" t="s">
        <v>132</v>
      </c>
      <c r="B53" s="111" t="s">
        <v>133</v>
      </c>
      <c r="C53" s="117">
        <f>+C21/C3</f>
        <v>4.2444427517911203</v>
      </c>
      <c r="D53" s="117">
        <f t="shared" ref="D53:F53" si="25">+D21/D3</f>
        <v>5.1142840216324235</v>
      </c>
      <c r="E53" s="117">
        <f t="shared" si="25"/>
        <v>5.1142840216324235</v>
      </c>
      <c r="F53" s="117">
        <f t="shared" si="25"/>
        <v>4.9497194570678529</v>
      </c>
      <c r="G53" s="110"/>
      <c r="AH53" s="106" t="s">
        <v>132</v>
      </c>
      <c r="AI53" s="111" t="s">
        <v>133</v>
      </c>
    </row>
    <row r="54" spans="1:35" s="103" customFormat="1" ht="15.75" customHeight="1">
      <c r="A54" s="106" t="s">
        <v>134</v>
      </c>
      <c r="B54" s="150" t="s">
        <v>135</v>
      </c>
      <c r="C54" s="117"/>
      <c r="D54" s="117"/>
      <c r="E54" s="117"/>
      <c r="F54" s="117"/>
      <c r="G54" s="110"/>
      <c r="AH54" s="106"/>
      <c r="AI54" s="111"/>
    </row>
    <row r="55" spans="1:35" s="103" customFormat="1" ht="15.75" customHeight="1">
      <c r="A55" s="106" t="s">
        <v>56</v>
      </c>
      <c r="B55" s="106" t="s">
        <v>136</v>
      </c>
      <c r="C55" s="117">
        <f>C56+C57</f>
        <v>140000</v>
      </c>
      <c r="D55" s="117"/>
      <c r="E55" s="117"/>
      <c r="F55" s="117"/>
      <c r="G55" s="110"/>
    </row>
    <row r="56" spans="1:35" s="103" customFormat="1" ht="15.75" customHeight="1">
      <c r="A56" s="106">
        <v>1.1000000000000001</v>
      </c>
      <c r="B56" s="151" t="s">
        <v>137</v>
      </c>
      <c r="C56" s="117">
        <f>项目投资!B27</f>
        <v>80000</v>
      </c>
      <c r="D56" s="117"/>
      <c r="E56" s="117"/>
      <c r="F56" s="117"/>
      <c r="G56" s="110"/>
    </row>
    <row r="57" spans="1:35" s="103" customFormat="1" ht="15.75" customHeight="1">
      <c r="A57" s="106">
        <v>1.2</v>
      </c>
      <c r="B57" s="106" t="s">
        <v>138</v>
      </c>
      <c r="C57" s="117">
        <f>项目投资!B26</f>
        <v>60000</v>
      </c>
      <c r="D57" s="117"/>
      <c r="E57" s="117"/>
      <c r="F57" s="117"/>
      <c r="G57" s="110"/>
    </row>
    <row r="58" spans="1:35" ht="15.75" customHeight="1">
      <c r="A58" s="138" t="s">
        <v>58</v>
      </c>
      <c r="B58" s="138" t="s">
        <v>139</v>
      </c>
      <c r="C58" s="152">
        <f>C59+C60</f>
        <v>89133.297787613061</v>
      </c>
      <c r="D58" s="152">
        <f t="shared" ref="D58:F58" si="26">D59+D60</f>
        <v>230142.78097345907</v>
      </c>
      <c r="E58" s="152">
        <f t="shared" si="26"/>
        <v>230142.78097345907</v>
      </c>
      <c r="F58" s="152">
        <f t="shared" si="26"/>
        <v>549418.85973453126</v>
      </c>
      <c r="G58" s="110"/>
    </row>
    <row r="59" spans="1:35" ht="15.75" customHeight="1">
      <c r="A59" s="138" t="s">
        <v>103</v>
      </c>
      <c r="B59" s="138" t="s">
        <v>140</v>
      </c>
      <c r="C59" s="152">
        <f t="shared" ref="C59:F59" si="27">C23</f>
        <v>89133.297787613061</v>
      </c>
      <c r="D59" s="152">
        <f t="shared" si="27"/>
        <v>230142.78097345907</v>
      </c>
      <c r="E59" s="152">
        <f t="shared" si="27"/>
        <v>230142.78097345907</v>
      </c>
      <c r="F59" s="152">
        <f t="shared" si="27"/>
        <v>549418.85973453126</v>
      </c>
      <c r="G59" s="110"/>
    </row>
    <row r="60" spans="1:35" ht="15.75" customHeight="1">
      <c r="A60" s="138" t="s">
        <v>61</v>
      </c>
      <c r="B60" s="138" t="s">
        <v>141</v>
      </c>
      <c r="C60" s="152">
        <f>'[2]2023年'!I18</f>
        <v>0</v>
      </c>
      <c r="D60" s="152"/>
      <c r="E60" s="152"/>
      <c r="F60" s="152">
        <f>[2]项目投资!G26</f>
        <v>0</v>
      </c>
      <c r="G60" s="110"/>
    </row>
    <row r="61" spans="1:35" ht="15.75" customHeight="1">
      <c r="A61" s="138" t="s">
        <v>63</v>
      </c>
      <c r="B61" s="138" t="s">
        <v>142</v>
      </c>
      <c r="C61" s="153"/>
      <c r="D61" s="153"/>
      <c r="E61" s="153"/>
      <c r="F61" s="152"/>
      <c r="G61" s="110"/>
    </row>
    <row r="63" spans="1:35">
      <c r="B63"/>
    </row>
  </sheetData>
  <mergeCells count="2">
    <mergeCell ref="A1:F1"/>
    <mergeCell ref="A2:A3"/>
  </mergeCells>
  <phoneticPr fontId="4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F25" sqref="F25"/>
    </sheetView>
  </sheetViews>
  <sheetFormatPr defaultColWidth="9" defaultRowHeight="15"/>
  <cols>
    <col min="1" max="1" width="5.109375" style="103" customWidth="1"/>
    <col min="2" max="2" width="17.44140625" style="103" customWidth="1"/>
    <col min="3" max="4" width="14.33203125" style="104" customWidth="1"/>
    <col min="5" max="5" width="15.5546875" style="104" customWidth="1"/>
    <col min="6" max="6" width="18.77734375" style="104" customWidth="1"/>
    <col min="7" max="7" width="12.33203125" style="103" customWidth="1"/>
    <col min="8" max="8" width="10.109375" style="103" customWidth="1"/>
    <col min="9" max="15" width="9" style="103" customWidth="1"/>
    <col min="16" max="32" width="9" style="103"/>
    <col min="33" max="33" width="4.33203125" style="103" customWidth="1"/>
    <col min="34" max="34" width="13.88671875" style="103" customWidth="1"/>
    <col min="35" max="16384" width="9" style="103"/>
  </cols>
  <sheetData>
    <row r="1" spans="1:35">
      <c r="A1" s="207" t="s">
        <v>143</v>
      </c>
      <c r="B1" s="207"/>
      <c r="C1" s="208" t="s">
        <v>144</v>
      </c>
      <c r="D1" s="209"/>
      <c r="E1" s="209"/>
      <c r="F1" s="210"/>
    </row>
    <row r="2" spans="1:35">
      <c r="A2" s="207" t="s">
        <v>145</v>
      </c>
      <c r="B2" s="207"/>
      <c r="C2" s="211" t="s">
        <v>146</v>
      </c>
      <c r="D2" s="211"/>
      <c r="E2" s="211"/>
      <c r="F2" s="211"/>
    </row>
    <row r="3" spans="1:35" ht="15.6">
      <c r="A3" s="207" t="s">
        <v>147</v>
      </c>
      <c r="B3" s="207"/>
      <c r="C3" s="14" t="s">
        <v>148</v>
      </c>
      <c r="D3" s="14" t="s">
        <v>149</v>
      </c>
      <c r="E3" s="14" t="s">
        <v>148</v>
      </c>
      <c r="F3" s="212" t="s">
        <v>52</v>
      </c>
    </row>
    <row r="4" spans="1:35" ht="31.2">
      <c r="A4" s="207" t="s">
        <v>150</v>
      </c>
      <c r="B4" s="207"/>
      <c r="C4" s="14" t="s">
        <v>151</v>
      </c>
      <c r="D4" s="17" t="s">
        <v>152</v>
      </c>
      <c r="E4" s="17" t="s">
        <v>153</v>
      </c>
      <c r="F4" s="213"/>
    </row>
    <row r="5" spans="1:35" ht="15.6">
      <c r="A5" s="207" t="s">
        <v>154</v>
      </c>
      <c r="B5" s="207"/>
      <c r="C5" s="57" t="s">
        <v>155</v>
      </c>
      <c r="D5" s="57" t="s">
        <v>155</v>
      </c>
      <c r="E5" s="17" t="s">
        <v>156</v>
      </c>
      <c r="F5" s="214"/>
      <c r="AI5" s="103" t="s">
        <v>53</v>
      </c>
    </row>
    <row r="6" spans="1:35" ht="17.399999999999999">
      <c r="A6" s="106" t="s">
        <v>17</v>
      </c>
      <c r="B6" s="107" t="s">
        <v>157</v>
      </c>
      <c r="C6" s="108">
        <f>销量!C9</f>
        <v>7000</v>
      </c>
      <c r="D6" s="108">
        <f>销量!D9</f>
        <v>7000</v>
      </c>
      <c r="E6" s="108">
        <f>销量!E9</f>
        <v>14000</v>
      </c>
      <c r="F6" s="109">
        <f>+SUM(C6:E6)</f>
        <v>28000</v>
      </c>
      <c r="Q6" s="107" t="s">
        <v>3</v>
      </c>
      <c r="AG6" s="106" t="s">
        <v>17</v>
      </c>
      <c r="AH6" s="107" t="s">
        <v>3</v>
      </c>
      <c r="AI6" s="103" t="s">
        <v>54</v>
      </c>
    </row>
    <row r="7" spans="1:35" ht="15.6">
      <c r="A7" s="105">
        <v>1</v>
      </c>
      <c r="B7" s="107" t="s">
        <v>55</v>
      </c>
      <c r="C7" s="109">
        <f>C6*销量!C8</f>
        <v>3314159.2920353999</v>
      </c>
      <c r="D7" s="109">
        <f>D6*销量!D8</f>
        <v>3314159.2920353999</v>
      </c>
      <c r="E7" s="109">
        <f>E6*销量!E8</f>
        <v>61946.902654867299</v>
      </c>
      <c r="F7" s="109">
        <f t="shared" ref="F7:F15" si="0">+SUM(C7:E7)</f>
        <v>6690265.48672566</v>
      </c>
      <c r="G7" s="104"/>
      <c r="Q7" s="107" t="s">
        <v>55</v>
      </c>
      <c r="AG7" s="106" t="s">
        <v>56</v>
      </c>
      <c r="AH7" s="107" t="s">
        <v>55</v>
      </c>
      <c r="AI7" s="103" t="s">
        <v>54</v>
      </c>
    </row>
    <row r="8" spans="1:35">
      <c r="A8" s="105">
        <v>2</v>
      </c>
      <c r="B8" s="105" t="s">
        <v>57</v>
      </c>
      <c r="C8" s="109"/>
      <c r="D8" s="109"/>
      <c r="E8" s="109"/>
      <c r="F8" s="109">
        <f t="shared" si="0"/>
        <v>0</v>
      </c>
      <c r="G8" s="110"/>
      <c r="Q8" s="105" t="s">
        <v>59</v>
      </c>
      <c r="AG8" s="106" t="s">
        <v>58</v>
      </c>
      <c r="AH8" s="105" t="s">
        <v>59</v>
      </c>
      <c r="AI8" s="103" t="s">
        <v>54</v>
      </c>
    </row>
    <row r="9" spans="1:35" ht="15.6">
      <c r="A9" s="105">
        <v>3</v>
      </c>
      <c r="B9" s="107" t="s">
        <v>60</v>
      </c>
      <c r="C9" s="109">
        <f>+C7-C8</f>
        <v>3314159.2920353999</v>
      </c>
      <c r="D9" s="109">
        <f>+D7-D8</f>
        <v>3314159.2920353999</v>
      </c>
      <c r="E9" s="109">
        <f>+E7-E8</f>
        <v>61946.902654867299</v>
      </c>
      <c r="F9" s="109">
        <f t="shared" si="0"/>
        <v>6690265.48672566</v>
      </c>
      <c r="Q9" s="107" t="s">
        <v>60</v>
      </c>
      <c r="AG9" s="106" t="s">
        <v>61</v>
      </c>
      <c r="AH9" s="107" t="s">
        <v>60</v>
      </c>
      <c r="AI9" s="103" t="s">
        <v>62</v>
      </c>
    </row>
    <row r="10" spans="1:35">
      <c r="A10" s="105">
        <v>4</v>
      </c>
      <c r="B10" s="106" t="s">
        <v>64</v>
      </c>
      <c r="C10" s="109">
        <f>C6*C33</f>
        <v>2590000</v>
      </c>
      <c r="D10" s="109">
        <f>D6*D33</f>
        <v>2590000</v>
      </c>
      <c r="E10" s="109">
        <f>E6*E33</f>
        <v>6214.6</v>
      </c>
      <c r="F10" s="109">
        <f t="shared" si="0"/>
        <v>5186214.5999999996</v>
      </c>
      <c r="Q10" s="106" t="s">
        <v>64</v>
      </c>
      <c r="AG10" s="106" t="s">
        <v>63</v>
      </c>
      <c r="AH10" s="106" t="s">
        <v>64</v>
      </c>
      <c r="AI10" s="103" t="s">
        <v>65</v>
      </c>
    </row>
    <row r="11" spans="1:35">
      <c r="A11" s="105">
        <v>5</v>
      </c>
      <c r="B11" s="106" t="s">
        <v>66</v>
      </c>
      <c r="C11" s="109">
        <f>+C6*C36</f>
        <v>109698.672566372</v>
      </c>
      <c r="D11" s="109">
        <f>+D6*D36</f>
        <v>109698.672566372</v>
      </c>
      <c r="E11" s="109">
        <f>+E6*E36</f>
        <v>2050.4424778761099</v>
      </c>
      <c r="F11" s="109">
        <f t="shared" si="0"/>
        <v>221447.78761061901</v>
      </c>
      <c r="Q11" s="106" t="s">
        <v>66</v>
      </c>
      <c r="AG11" s="106" t="s">
        <v>67</v>
      </c>
      <c r="AH11" s="106" t="s">
        <v>66</v>
      </c>
    </row>
    <row r="12" spans="1:35">
      <c r="A12" s="105">
        <v>6</v>
      </c>
      <c r="B12" s="106" t="s">
        <v>68</v>
      </c>
      <c r="C12" s="109">
        <f>+C6*C37</f>
        <v>71917.256637168204</v>
      </c>
      <c r="D12" s="109">
        <f>+D6*D37</f>
        <v>71917.256637168102</v>
      </c>
      <c r="E12" s="109">
        <f>+E6*E37</f>
        <v>1344.24778761062</v>
      </c>
      <c r="F12" s="109">
        <f t="shared" si="0"/>
        <v>145178.76106194701</v>
      </c>
      <c r="Q12" s="106" t="s">
        <v>68</v>
      </c>
      <c r="AG12" s="106" t="s">
        <v>69</v>
      </c>
      <c r="AH12" s="106" t="s">
        <v>68</v>
      </c>
    </row>
    <row r="13" spans="1:35">
      <c r="A13" s="105">
        <v>7</v>
      </c>
      <c r="B13" s="106" t="s">
        <v>70</v>
      </c>
      <c r="C13" s="109">
        <f>+C6*C38</f>
        <v>201141.59292035401</v>
      </c>
      <c r="D13" s="109">
        <f>+D6*D38</f>
        <v>201141.59292035401</v>
      </c>
      <c r="E13" s="109">
        <f>+E6*E38</f>
        <v>619.46902654867301</v>
      </c>
      <c r="F13" s="109">
        <f t="shared" si="0"/>
        <v>402902.65486725699</v>
      </c>
      <c r="Q13" s="106" t="s">
        <v>70</v>
      </c>
      <c r="AG13" s="106" t="s">
        <v>71</v>
      </c>
      <c r="AH13" s="106" t="s">
        <v>70</v>
      </c>
      <c r="AI13" s="103" t="s">
        <v>54</v>
      </c>
    </row>
    <row r="14" spans="1:35" ht="15.6">
      <c r="A14" s="105">
        <v>8</v>
      </c>
      <c r="B14" s="111" t="s">
        <v>72</v>
      </c>
      <c r="C14" s="109">
        <f>SUM(C11:C13)</f>
        <v>382757.52212389401</v>
      </c>
      <c r="D14" s="109">
        <f>SUM(D11:D13)</f>
        <v>382757.52212389401</v>
      </c>
      <c r="E14" s="109">
        <f>SUM(E11:E13)</f>
        <v>4014.1592920354001</v>
      </c>
      <c r="F14" s="109">
        <f t="shared" si="0"/>
        <v>769529.203539824</v>
      </c>
      <c r="Q14" s="111" t="s">
        <v>72</v>
      </c>
      <c r="AG14" s="106" t="s">
        <v>73</v>
      </c>
      <c r="AH14" s="111" t="s">
        <v>72</v>
      </c>
    </row>
    <row r="15" spans="1:35" ht="15.6">
      <c r="A15" s="105">
        <v>9</v>
      </c>
      <c r="B15" s="111" t="s">
        <v>74</v>
      </c>
      <c r="C15" s="109">
        <f>+C9-C10-C14</f>
        <v>341401.76991150598</v>
      </c>
      <c r="D15" s="109">
        <f>+D9-D10-D14</f>
        <v>341401.76991150598</v>
      </c>
      <c r="E15" s="109">
        <f>+E9-E10-E14</f>
        <v>51718.143362831899</v>
      </c>
      <c r="F15" s="109">
        <f t="shared" si="0"/>
        <v>734521.68318584398</v>
      </c>
      <c r="Q15" s="111" t="s">
        <v>74</v>
      </c>
      <c r="AG15" s="106" t="s">
        <v>75</v>
      </c>
      <c r="AH15" s="111" t="s">
        <v>74</v>
      </c>
    </row>
    <row r="16" spans="1:35">
      <c r="A16" s="105">
        <v>10</v>
      </c>
      <c r="B16" s="106" t="s">
        <v>76</v>
      </c>
      <c r="C16" s="112">
        <f>+C15/C9</f>
        <v>0.10301308411215</v>
      </c>
      <c r="D16" s="112">
        <f>+D15/D9</f>
        <v>0.10301308411215</v>
      </c>
      <c r="E16" s="112">
        <f>+E15/E9</f>
        <v>0.83487860000000003</v>
      </c>
      <c r="F16" s="112">
        <f>+F15/F9</f>
        <v>0.10978961666666701</v>
      </c>
      <c r="Q16" s="106" t="s">
        <v>76</v>
      </c>
      <c r="AG16" s="106" t="s">
        <v>77</v>
      </c>
      <c r="AH16" s="106" t="s">
        <v>76</v>
      </c>
    </row>
    <row r="17" spans="1:35">
      <c r="A17" s="105">
        <v>11</v>
      </c>
      <c r="B17" s="106" t="s">
        <v>78</v>
      </c>
      <c r="C17" s="109">
        <f>C6*C43+C18</f>
        <v>121408.407079646</v>
      </c>
      <c r="D17" s="109">
        <f>D6*D43+D18</f>
        <v>121408.407079646</v>
      </c>
      <c r="E17" s="109">
        <f>E6*E43+E18</f>
        <v>11680.530973451299</v>
      </c>
      <c r="F17" s="109">
        <f>+SUM(C17:E17)</f>
        <v>254497.34513274301</v>
      </c>
      <c r="G17" s="110"/>
      <c r="Q17" s="106" t="s">
        <v>78</v>
      </c>
      <c r="AG17" s="106" t="s">
        <v>79</v>
      </c>
      <c r="AH17" s="106" t="s">
        <v>78</v>
      </c>
    </row>
    <row r="18" spans="1:35" s="101" customFormat="1">
      <c r="A18" s="105">
        <v>12</v>
      </c>
      <c r="B18" s="114" t="s">
        <v>158</v>
      </c>
      <c r="C18" s="115">
        <f>$F$18/$F$6*C6</f>
        <v>4750</v>
      </c>
      <c r="D18" s="115">
        <f>$F$18/$F$6*D6</f>
        <v>4750</v>
      </c>
      <c r="E18" s="115">
        <f>$F$18/$F$6*E6</f>
        <v>9500</v>
      </c>
      <c r="F18" s="109">
        <f>项目投资!D26</f>
        <v>19000</v>
      </c>
      <c r="G18" s="116" t="s">
        <v>159</v>
      </c>
      <c r="H18" s="116"/>
      <c r="I18" s="116"/>
    </row>
    <row r="19" spans="1:35">
      <c r="A19" s="105">
        <v>13</v>
      </c>
      <c r="B19" s="106" t="s">
        <v>80</v>
      </c>
      <c r="C19" s="109">
        <f>C6*C44</f>
        <v>33141.592920354</v>
      </c>
      <c r="D19" s="109">
        <f>D6*D44</f>
        <v>33141.592920354</v>
      </c>
      <c r="E19" s="109">
        <f>E6*E44</f>
        <v>619.46902654867301</v>
      </c>
      <c r="F19" s="109">
        <f>+SUM(C19:E19)</f>
        <v>66902.654867256599</v>
      </c>
      <c r="G19" s="101"/>
      <c r="Q19" s="106" t="s">
        <v>80</v>
      </c>
      <c r="AG19" s="106" t="s">
        <v>81</v>
      </c>
      <c r="AH19" s="106" t="s">
        <v>80</v>
      </c>
      <c r="AI19" s="103" t="s">
        <v>54</v>
      </c>
    </row>
    <row r="20" spans="1:35">
      <c r="A20" s="105">
        <v>14</v>
      </c>
      <c r="B20" s="106" t="s">
        <v>82</v>
      </c>
      <c r="C20" s="109">
        <f>C6*C45</f>
        <v>33141.592920354</v>
      </c>
      <c r="D20" s="109">
        <f>D6*D45</f>
        <v>33141.592920354</v>
      </c>
      <c r="E20" s="109">
        <f>E6*E45</f>
        <v>619.46902654867301</v>
      </c>
      <c r="F20" s="109">
        <f>+SUM(C20:E20)</f>
        <v>66902.654867256599</v>
      </c>
      <c r="Q20" s="106" t="s">
        <v>82</v>
      </c>
      <c r="AG20" s="106" t="s">
        <v>83</v>
      </c>
      <c r="AH20" s="106" t="s">
        <v>82</v>
      </c>
    </row>
    <row r="21" spans="1:35">
      <c r="A21" s="105">
        <v>15</v>
      </c>
      <c r="B21" s="106" t="s">
        <v>84</v>
      </c>
      <c r="C21" s="117">
        <f>$F$21/$F$6*C6</f>
        <v>6666.6666666666697</v>
      </c>
      <c r="D21" s="117">
        <f>$F$21/$F$6*D6</f>
        <v>6666.6666666666697</v>
      </c>
      <c r="E21" s="117">
        <f>$F$21/$F$6*E6</f>
        <v>13333.333333333299</v>
      </c>
      <c r="F21" s="109">
        <f>项目投资!D27</f>
        <v>26666.666666666701</v>
      </c>
      <c r="Q21" s="106" t="s">
        <v>84</v>
      </c>
      <c r="AG21" s="106"/>
      <c r="AH21" s="106"/>
    </row>
    <row r="22" spans="1:35">
      <c r="A22" s="105">
        <v>16</v>
      </c>
      <c r="B22" s="106" t="s">
        <v>85</v>
      </c>
      <c r="C22" s="109">
        <f>C6*C47</f>
        <v>99424.778761061883</v>
      </c>
      <c r="D22" s="109">
        <f>D6*D47</f>
        <v>99424.778761061883</v>
      </c>
      <c r="E22" s="109">
        <f>E6*E47</f>
        <v>1858.4070796460189</v>
      </c>
      <c r="F22" s="109">
        <f>+SUM(C22:E22)</f>
        <v>200707.96460176978</v>
      </c>
      <c r="Q22" s="106" t="s">
        <v>85</v>
      </c>
      <c r="AG22" s="106" t="s">
        <v>86</v>
      </c>
      <c r="AH22" s="106" t="s">
        <v>85</v>
      </c>
    </row>
    <row r="23" spans="1:35" ht="15.6">
      <c r="A23" s="105">
        <v>17</v>
      </c>
      <c r="B23" s="111" t="s">
        <v>87</v>
      </c>
      <c r="C23" s="117">
        <f>+C22+C21+C20+C19+C17</f>
        <v>293783.03834808257</v>
      </c>
      <c r="D23" s="117">
        <f>+D22+D21+D20+D19+D17</f>
        <v>293783.03834808257</v>
      </c>
      <c r="E23" s="117">
        <f>+E22+E21+E20+E19+E17</f>
        <v>28111.209439527964</v>
      </c>
      <c r="F23" s="117">
        <f t="shared" ref="F23" si="1">+F22+F21+F20+F19+F17</f>
        <v>615677.28613569262</v>
      </c>
      <c r="Q23" s="111" t="s">
        <v>87</v>
      </c>
      <c r="AG23" s="106" t="s">
        <v>88</v>
      </c>
      <c r="AH23" s="111" t="s">
        <v>87</v>
      </c>
    </row>
    <row r="24" spans="1:35">
      <c r="A24" s="105">
        <v>18</v>
      </c>
      <c r="B24" s="118" t="s">
        <v>89</v>
      </c>
      <c r="C24" s="117">
        <f>+C15-C23</f>
        <v>47618.731563423411</v>
      </c>
      <c r="D24" s="117">
        <f>+D15-D23</f>
        <v>47618.731563423411</v>
      </c>
      <c r="E24" s="117">
        <f>+E15-E23</f>
        <v>23606.933923303935</v>
      </c>
      <c r="F24" s="117">
        <f>+F15-F23</f>
        <v>118844.39705015137</v>
      </c>
      <c r="H24" s="119"/>
      <c r="Q24" s="106" t="s">
        <v>89</v>
      </c>
      <c r="AG24" s="106" t="s">
        <v>90</v>
      </c>
      <c r="AH24" s="106" t="s">
        <v>89</v>
      </c>
    </row>
    <row r="25" spans="1:35">
      <c r="A25" s="105">
        <v>19</v>
      </c>
      <c r="B25" s="106" t="s">
        <v>160</v>
      </c>
      <c r="C25" s="117">
        <f>IF(C24&lt;0,0,C24*0.25)</f>
        <v>11904.682890855853</v>
      </c>
      <c r="D25" s="117">
        <f>IF(D24&lt;0,0,D24*0.25)</f>
        <v>11904.682890855853</v>
      </c>
      <c r="E25" s="117">
        <f>IF(E24&lt;0,0,E24*0.25)</f>
        <v>5901.7334808259839</v>
      </c>
      <c r="F25" s="117">
        <f>IF(F24&lt;0,0,F24*0.25)</f>
        <v>29711.099262537842</v>
      </c>
      <c r="G25" s="2"/>
      <c r="H25" s="2"/>
      <c r="I25" s="2"/>
      <c r="Q25" s="106" t="s">
        <v>34</v>
      </c>
      <c r="AG25" s="106" t="s">
        <v>91</v>
      </c>
      <c r="AH25" s="106" t="s">
        <v>34</v>
      </c>
    </row>
    <row r="26" spans="1:35">
      <c r="A26" s="105">
        <v>20</v>
      </c>
      <c r="B26" s="106" t="s">
        <v>92</v>
      </c>
      <c r="C26" s="117">
        <f>C24-C25</f>
        <v>35714.048672567558</v>
      </c>
      <c r="D26" s="117">
        <f>D24-D25</f>
        <v>35714.048672567558</v>
      </c>
      <c r="E26" s="117">
        <f>E24-E25</f>
        <v>17705.200442477952</v>
      </c>
      <c r="F26" s="109">
        <f>+SUM(C26:E26)</f>
        <v>89133.297787613061</v>
      </c>
      <c r="G26" s="2"/>
      <c r="H26" s="2"/>
      <c r="I26" s="2"/>
      <c r="Q26" s="106" t="s">
        <v>92</v>
      </c>
      <c r="AG26" s="106" t="s">
        <v>93</v>
      </c>
      <c r="AH26" s="106" t="s">
        <v>92</v>
      </c>
    </row>
    <row r="27" spans="1:35">
      <c r="A27" s="105">
        <v>21</v>
      </c>
      <c r="B27" s="106" t="s">
        <v>96</v>
      </c>
      <c r="C27" s="120">
        <f>C26/C7</f>
        <v>1.0776201602136534E-2</v>
      </c>
      <c r="D27" s="120">
        <f>D26/D7</f>
        <v>1.0776201602136534E-2</v>
      </c>
      <c r="E27" s="120">
        <f>E26/E7</f>
        <v>0.28581252142857244</v>
      </c>
      <c r="F27" s="120">
        <f>F26/F7</f>
        <v>1.3322834193122066E-2</v>
      </c>
      <c r="G27" s="2"/>
      <c r="H27" s="2"/>
      <c r="I27" s="2"/>
      <c r="Q27" s="106" t="s">
        <v>96</v>
      </c>
      <c r="AG27" s="106" t="s">
        <v>95</v>
      </c>
      <c r="AH27" s="106" t="s">
        <v>96</v>
      </c>
    </row>
    <row r="28" spans="1:35">
      <c r="G28" s="2"/>
      <c r="H28" s="2"/>
      <c r="I28" s="2"/>
      <c r="Q28" s="106"/>
    </row>
    <row r="29" spans="1:35">
      <c r="A29" s="103" t="s">
        <v>97</v>
      </c>
      <c r="F29" s="104" t="s">
        <v>161</v>
      </c>
      <c r="G29" s="2"/>
      <c r="H29" s="2"/>
      <c r="I29" s="2"/>
      <c r="Q29" s="106"/>
      <c r="AG29" s="103" t="s">
        <v>97</v>
      </c>
    </row>
    <row r="30" spans="1:35" ht="15.6">
      <c r="A30" s="106" t="s">
        <v>98</v>
      </c>
      <c r="B30" s="111" t="s">
        <v>99</v>
      </c>
      <c r="C30" s="117"/>
      <c r="D30" s="117"/>
      <c r="E30" s="117"/>
      <c r="F30" s="117"/>
      <c r="G30" s="2"/>
      <c r="H30" s="2"/>
      <c r="I30" s="2"/>
      <c r="K30" s="2"/>
      <c r="Q30" s="111" t="s">
        <v>99</v>
      </c>
      <c r="AG30" s="106" t="s">
        <v>100</v>
      </c>
      <c r="AH30" s="111" t="s">
        <v>99</v>
      </c>
    </row>
    <row r="31" spans="1:35">
      <c r="A31" s="105">
        <v>1</v>
      </c>
      <c r="B31" s="114" t="s">
        <v>101</v>
      </c>
      <c r="C31" s="122">
        <f>销量!C8</f>
        <v>473.45132743362802</v>
      </c>
      <c r="D31" s="122">
        <f>销量!D8</f>
        <v>473.45132743362802</v>
      </c>
      <c r="E31" s="122">
        <f>销量!E8</f>
        <v>4.4247787610619502</v>
      </c>
      <c r="F31" s="117"/>
      <c r="G31" s="2"/>
      <c r="H31" s="2"/>
      <c r="I31" s="2"/>
      <c r="K31" s="2"/>
      <c r="Q31" s="106" t="s">
        <v>101</v>
      </c>
      <c r="AG31" s="106" t="s">
        <v>56</v>
      </c>
      <c r="AH31" s="106" t="s">
        <v>101</v>
      </c>
    </row>
    <row r="32" spans="1:35">
      <c r="A32" s="105">
        <v>2</v>
      </c>
      <c r="B32" s="106" t="s">
        <v>162</v>
      </c>
      <c r="C32" s="109">
        <f>C31*1</f>
        <v>473.45132743362802</v>
      </c>
      <c r="D32" s="109">
        <f>D31*1</f>
        <v>473.45132743362802</v>
      </c>
      <c r="E32" s="109">
        <f>E31*1</f>
        <v>4.4247787610619502</v>
      </c>
      <c r="F32" s="117"/>
      <c r="G32" s="2"/>
      <c r="H32" s="2"/>
      <c r="I32" s="2"/>
      <c r="J32" s="2"/>
      <c r="K32" s="2"/>
      <c r="L32" s="2"/>
      <c r="M32" s="2"/>
      <c r="AG32" s="106"/>
      <c r="AH32" s="106"/>
    </row>
    <row r="33" spans="1:34">
      <c r="A33" s="105">
        <v>3</v>
      </c>
      <c r="B33" s="114" t="s">
        <v>102</v>
      </c>
      <c r="C33" s="109">
        <f>材料成本!D24</f>
        <v>370</v>
      </c>
      <c r="D33" s="109">
        <f>材料成本!E24</f>
        <v>370</v>
      </c>
      <c r="E33" s="109">
        <f>材料成本!F24</f>
        <v>0.44390000000000002</v>
      </c>
      <c r="F33" s="117"/>
      <c r="H33" s="2"/>
      <c r="I33" s="2"/>
      <c r="J33" s="2"/>
      <c r="K33" s="2"/>
      <c r="L33" s="2"/>
      <c r="M33" s="2"/>
      <c r="Q33" s="106" t="s">
        <v>102</v>
      </c>
      <c r="AG33" s="106" t="s">
        <v>58</v>
      </c>
      <c r="AH33" s="106" t="s">
        <v>102</v>
      </c>
    </row>
    <row r="34" spans="1:34" ht="17.25" customHeight="1">
      <c r="A34" s="105">
        <v>4</v>
      </c>
      <c r="B34" s="106" t="s">
        <v>104</v>
      </c>
      <c r="C34" s="123">
        <f>C32-C33</f>
        <v>103.45132743362799</v>
      </c>
      <c r="D34" s="123">
        <f>D32-D33</f>
        <v>103.45132743362799</v>
      </c>
      <c r="E34" s="123">
        <f>E32-E33</f>
        <v>3.98087876106195</v>
      </c>
      <c r="F34" s="117"/>
      <c r="H34" s="2"/>
      <c r="I34" s="2"/>
      <c r="J34" s="2"/>
      <c r="K34" s="2"/>
      <c r="L34" s="2"/>
      <c r="M34" s="2"/>
      <c r="Q34" s="106" t="s">
        <v>104</v>
      </c>
      <c r="AG34" s="106" t="s">
        <v>103</v>
      </c>
      <c r="AH34" s="106" t="s">
        <v>104</v>
      </c>
    </row>
    <row r="35" spans="1:34" ht="15.6">
      <c r="A35" s="106" t="s">
        <v>100</v>
      </c>
      <c r="B35" s="111" t="s">
        <v>7</v>
      </c>
      <c r="C35" s="117"/>
      <c r="D35" s="117"/>
      <c r="E35" s="117"/>
      <c r="F35" s="117"/>
      <c r="G35" s="2"/>
      <c r="H35" s="2"/>
      <c r="I35" s="2"/>
      <c r="J35" s="2"/>
      <c r="K35" s="2"/>
      <c r="L35" s="2"/>
      <c r="M35" s="2"/>
      <c r="N35" s="2"/>
      <c r="O35" s="2"/>
      <c r="P35" s="2"/>
      <c r="Q35" s="111" t="s">
        <v>7</v>
      </c>
      <c r="AG35" s="106" t="s">
        <v>106</v>
      </c>
      <c r="AH35" s="111" t="s">
        <v>7</v>
      </c>
    </row>
    <row r="36" spans="1:34">
      <c r="A36" s="105">
        <v>1</v>
      </c>
      <c r="B36" s="106" t="s">
        <v>107</v>
      </c>
      <c r="C36" s="115">
        <f>标准成本!E4</f>
        <v>15.671238938053101</v>
      </c>
      <c r="D36" s="115">
        <f>标准成本!E16</f>
        <v>15.671238938053101</v>
      </c>
      <c r="E36" s="115">
        <f>标准成本!E29</f>
        <v>0.14646017699115099</v>
      </c>
      <c r="F36" s="122"/>
      <c r="G36" s="2"/>
      <c r="H36" s="2"/>
      <c r="I36" s="2"/>
      <c r="J36" s="2"/>
      <c r="K36" s="2"/>
      <c r="L36" s="2"/>
      <c r="M36" s="2"/>
      <c r="N36" s="2"/>
      <c r="O36" s="2"/>
      <c r="P36" s="2"/>
      <c r="Q36" s="106" t="s">
        <v>107</v>
      </c>
      <c r="AG36" s="106" t="s">
        <v>103</v>
      </c>
      <c r="AH36" s="106" t="s">
        <v>107</v>
      </c>
    </row>
    <row r="37" spans="1:34">
      <c r="A37" s="105">
        <v>2</v>
      </c>
      <c r="B37" s="106" t="s">
        <v>108</v>
      </c>
      <c r="C37" s="115">
        <f>标准成本!E6</f>
        <v>10.273893805309701</v>
      </c>
      <c r="D37" s="115">
        <f>标准成本!E18</f>
        <v>10.273893805309701</v>
      </c>
      <c r="E37" s="115">
        <f>标准成本!E31</f>
        <v>9.6017699115044305E-2</v>
      </c>
      <c r="F37" s="122"/>
      <c r="G37" s="2"/>
      <c r="H37" s="2"/>
      <c r="I37" s="2"/>
      <c r="J37" s="2"/>
      <c r="K37" s="2"/>
      <c r="L37" s="2"/>
      <c r="M37" s="2"/>
      <c r="N37" s="2"/>
      <c r="O37" s="2"/>
      <c r="P37" s="2"/>
      <c r="Q37" s="106" t="s">
        <v>108</v>
      </c>
      <c r="AG37" s="106" t="s">
        <v>61</v>
      </c>
      <c r="AH37" s="106" t="s">
        <v>108</v>
      </c>
    </row>
    <row r="38" spans="1:34">
      <c r="A38" s="105">
        <v>3</v>
      </c>
      <c r="B38" s="106" t="s">
        <v>109</v>
      </c>
      <c r="C38" s="115">
        <f>标准成本!E10</f>
        <v>28.734513274336301</v>
      </c>
      <c r="D38" s="115">
        <f>标准成本!E22</f>
        <v>28.734513274336301</v>
      </c>
      <c r="E38" s="115">
        <f>标准成本!E35</f>
        <v>4.4247787610619503E-2</v>
      </c>
      <c r="F38" s="122"/>
      <c r="G38" s="2"/>
      <c r="H38" s="2"/>
      <c r="I38" s="2"/>
      <c r="J38" s="2"/>
      <c r="K38" s="2"/>
      <c r="L38" s="2"/>
      <c r="M38" s="2"/>
      <c r="N38" s="2"/>
      <c r="O38" s="2"/>
      <c r="P38" s="2"/>
      <c r="Q38" s="106" t="s">
        <v>109</v>
      </c>
      <c r="AG38" s="106" t="s">
        <v>67</v>
      </c>
      <c r="AH38" s="106" t="s">
        <v>109</v>
      </c>
    </row>
    <row r="39" spans="1:34" ht="15.6">
      <c r="A39" s="106" t="s">
        <v>106</v>
      </c>
      <c r="B39" s="111" t="s">
        <v>111</v>
      </c>
      <c r="C39" s="117"/>
      <c r="D39" s="117"/>
      <c r="E39" s="117"/>
      <c r="F39" s="117"/>
      <c r="Q39" s="111" t="s">
        <v>111</v>
      </c>
      <c r="AG39" s="106" t="s">
        <v>110</v>
      </c>
      <c r="AH39" s="111" t="s">
        <v>111</v>
      </c>
    </row>
    <row r="40" spans="1:34">
      <c r="A40" s="105">
        <v>1</v>
      </c>
      <c r="B40" s="106" t="s">
        <v>113</v>
      </c>
      <c r="C40" s="117">
        <f>C34-C36-C37-C38</f>
        <v>48.771681415928903</v>
      </c>
      <c r="D40" s="117">
        <f>D34-D36-D37-D38</f>
        <v>48.771681415928903</v>
      </c>
      <c r="E40" s="117">
        <f>E34-E36-E37-E38</f>
        <v>3.69415309734514</v>
      </c>
      <c r="F40" s="117"/>
      <c r="Q40" s="106" t="s">
        <v>113</v>
      </c>
      <c r="AG40" s="106" t="s">
        <v>56</v>
      </c>
      <c r="AH40" s="106" t="s">
        <v>113</v>
      </c>
    </row>
    <row r="41" spans="1:34">
      <c r="A41" s="105">
        <v>2</v>
      </c>
      <c r="B41" s="106" t="s">
        <v>114</v>
      </c>
      <c r="C41" s="117"/>
      <c r="D41" s="117"/>
      <c r="E41" s="117"/>
      <c r="F41" s="117"/>
      <c r="Q41" s="106" t="s">
        <v>114</v>
      </c>
      <c r="AG41" s="106" t="s">
        <v>58</v>
      </c>
      <c r="AH41" s="106" t="s">
        <v>114</v>
      </c>
    </row>
    <row r="42" spans="1:34" ht="15.6">
      <c r="A42" s="106" t="s">
        <v>110</v>
      </c>
      <c r="B42" s="111" t="s">
        <v>116</v>
      </c>
      <c r="C42" s="117"/>
      <c r="D42" s="117"/>
      <c r="E42" s="117"/>
      <c r="F42" s="117"/>
      <c r="Q42" s="111" t="s">
        <v>116</v>
      </c>
      <c r="AG42" s="106" t="s">
        <v>115</v>
      </c>
      <c r="AH42" s="111" t="s">
        <v>116</v>
      </c>
    </row>
    <row r="43" spans="1:34">
      <c r="A43" s="105">
        <v>1</v>
      </c>
      <c r="B43" s="118" t="s">
        <v>117</v>
      </c>
      <c r="C43" s="115">
        <f>标准成本!E5</f>
        <v>16.665486725663701</v>
      </c>
      <c r="D43" s="115">
        <f>标准成本!E17</f>
        <v>16.665486725663701</v>
      </c>
      <c r="E43" s="115">
        <f>标准成本!E30</f>
        <v>0.155752212389381</v>
      </c>
      <c r="F43" s="117"/>
      <c r="Q43" s="106" t="s">
        <v>117</v>
      </c>
      <c r="AG43" s="106" t="s">
        <v>56</v>
      </c>
      <c r="AH43" s="106" t="s">
        <v>117</v>
      </c>
    </row>
    <row r="44" spans="1:34">
      <c r="A44" s="105">
        <v>2</v>
      </c>
      <c r="B44" s="118" t="s">
        <v>118</v>
      </c>
      <c r="C44" s="115">
        <f>标准成本!E9</f>
        <v>4.7345132743362797</v>
      </c>
      <c r="D44" s="115">
        <f>标准成本!E21</f>
        <v>4.7345132743362797</v>
      </c>
      <c r="E44" s="115">
        <f>标准成本!E34</f>
        <v>4.4247787610619503E-2</v>
      </c>
      <c r="F44" s="117"/>
      <c r="Q44" s="106" t="s">
        <v>118</v>
      </c>
      <c r="AG44" s="106" t="s">
        <v>58</v>
      </c>
      <c r="AH44" s="106" t="s">
        <v>118</v>
      </c>
    </row>
    <row r="45" spans="1:34">
      <c r="A45" s="105">
        <v>3</v>
      </c>
      <c r="B45" s="118" t="s">
        <v>119</v>
      </c>
      <c r="C45" s="115">
        <f>标准成本!E8</f>
        <v>4.7345132743362797</v>
      </c>
      <c r="D45" s="115">
        <f>标准成本!E20</f>
        <v>4.7345132743362797</v>
      </c>
      <c r="E45" s="115">
        <f>标准成本!E33</f>
        <v>4.4247787610619503E-2</v>
      </c>
      <c r="F45" s="117"/>
      <c r="Q45" s="106" t="s">
        <v>119</v>
      </c>
      <c r="AG45" s="106" t="s">
        <v>103</v>
      </c>
      <c r="AH45" s="106" t="s">
        <v>119</v>
      </c>
    </row>
    <row r="46" spans="1:34" s="102" customFormat="1">
      <c r="A46" s="105">
        <v>4</v>
      </c>
      <c r="B46" s="118" t="s">
        <v>120</v>
      </c>
      <c r="C46" s="124">
        <f>C21/C6</f>
        <v>0.952380952380952</v>
      </c>
      <c r="D46" s="124">
        <f>D21/D6</f>
        <v>0.952380952380952</v>
      </c>
      <c r="E46" s="124">
        <f>E21/E6</f>
        <v>0.952380952380952</v>
      </c>
      <c r="F46" s="124"/>
      <c r="Q46" s="118" t="s">
        <v>122</v>
      </c>
      <c r="AG46" s="118" t="s">
        <v>63</v>
      </c>
      <c r="AH46" s="118" t="s">
        <v>122</v>
      </c>
    </row>
    <row r="47" spans="1:34" s="102" customFormat="1">
      <c r="A47" s="105">
        <v>5</v>
      </c>
      <c r="B47" s="118" t="s">
        <v>122</v>
      </c>
      <c r="C47" s="124">
        <f>标准成本!E11</f>
        <v>14.203539823008841</v>
      </c>
      <c r="D47" s="124">
        <f>标准成本!E23</f>
        <v>14.203539823008841</v>
      </c>
      <c r="E47" s="124">
        <f>标准成本!E36</f>
        <v>0.1327433628318585</v>
      </c>
      <c r="F47" s="124"/>
      <c r="Q47" s="118" t="s">
        <v>122</v>
      </c>
      <c r="AG47" s="118" t="s">
        <v>63</v>
      </c>
      <c r="AH47" s="118" t="s">
        <v>122</v>
      </c>
    </row>
    <row r="48" spans="1:34" ht="15.6">
      <c r="A48" s="106" t="s">
        <v>115</v>
      </c>
      <c r="B48" s="111" t="s">
        <v>133</v>
      </c>
      <c r="C48" s="117">
        <f>C40-C43-C44-C45-C47-C46</f>
        <v>7.4812473662028465</v>
      </c>
      <c r="D48" s="117">
        <f>D40-D43-D44-D45-D47-D46</f>
        <v>7.4812473662028465</v>
      </c>
      <c r="E48" s="117">
        <f>E40-E43-E44-E45-E47-E46</f>
        <v>2.36478099452171</v>
      </c>
      <c r="F48" s="117"/>
      <c r="Q48" s="111" t="s">
        <v>133</v>
      </c>
      <c r="AG48" s="106" t="s">
        <v>132</v>
      </c>
      <c r="AH48" s="111" t="s">
        <v>133</v>
      </c>
    </row>
    <row r="51" spans="2:11">
      <c r="C51" s="125"/>
      <c r="D51" s="125"/>
      <c r="E51" s="125"/>
    </row>
    <row r="54" spans="2:11">
      <c r="B54" s="2"/>
      <c r="C54" s="126"/>
      <c r="D54" s="126"/>
      <c r="E54" s="126"/>
      <c r="F54" s="126"/>
      <c r="G54" s="2"/>
      <c r="H54" s="2"/>
      <c r="I54" s="2"/>
      <c r="J54" s="2"/>
      <c r="K54" s="2"/>
    </row>
    <row r="55" spans="2:11">
      <c r="B55" s="2"/>
      <c r="C55" s="126"/>
      <c r="D55" s="126"/>
      <c r="E55" s="126"/>
      <c r="F55" s="126"/>
      <c r="G55" s="2"/>
      <c r="H55" s="2"/>
      <c r="I55" s="2"/>
      <c r="J55" s="2"/>
      <c r="K55" s="2"/>
    </row>
    <row r="56" spans="2:11">
      <c r="B56" s="2"/>
      <c r="C56" s="126"/>
      <c r="D56" s="126"/>
      <c r="E56" s="126"/>
      <c r="F56" s="126"/>
      <c r="G56" s="2"/>
      <c r="H56" s="2"/>
      <c r="I56" s="2"/>
      <c r="J56" s="2"/>
      <c r="K56" s="2"/>
    </row>
    <row r="57" spans="2:11">
      <c r="B57" s="2"/>
      <c r="C57" s="126"/>
      <c r="D57" s="126"/>
      <c r="E57" s="126"/>
      <c r="F57" s="126"/>
      <c r="G57" s="2"/>
      <c r="H57" s="2"/>
      <c r="I57" s="2"/>
      <c r="J57" s="2"/>
      <c r="K57" s="2"/>
    </row>
    <row r="58" spans="2:11">
      <c r="B58" s="2"/>
      <c r="C58" s="126"/>
      <c r="D58" s="126"/>
      <c r="E58" s="126"/>
      <c r="F58" s="126"/>
      <c r="G58" s="2"/>
      <c r="H58" s="2"/>
      <c r="I58" s="2"/>
      <c r="J58" s="2"/>
      <c r="K58" s="2"/>
    </row>
    <row r="59" spans="2:11">
      <c r="B59" s="2"/>
      <c r="C59" s="126"/>
      <c r="D59" s="126"/>
      <c r="E59" s="126"/>
      <c r="F59" s="126"/>
      <c r="G59" s="2"/>
      <c r="H59" s="2"/>
      <c r="I59" s="2"/>
      <c r="J59" s="2"/>
      <c r="K59" s="2"/>
    </row>
    <row r="60" spans="2:11">
      <c r="B60" s="2"/>
      <c r="C60" s="126"/>
      <c r="D60" s="126"/>
      <c r="E60" s="126"/>
      <c r="F60" s="126"/>
      <c r="G60" s="2"/>
      <c r="H60" s="2"/>
      <c r="I60" s="2"/>
      <c r="J60" s="2"/>
      <c r="K60" s="2"/>
    </row>
    <row r="61" spans="2:11">
      <c r="B61" s="2"/>
      <c r="C61" s="126"/>
      <c r="D61" s="126"/>
      <c r="E61" s="126"/>
      <c r="F61" s="126"/>
      <c r="G61" s="2"/>
      <c r="H61" s="2"/>
      <c r="I61" s="2"/>
      <c r="J61" s="2"/>
      <c r="K61" s="2"/>
    </row>
    <row r="62" spans="2:11">
      <c r="B62" s="2"/>
      <c r="C62" s="126"/>
      <c r="D62" s="126"/>
      <c r="E62" s="126"/>
      <c r="F62" s="126"/>
      <c r="G62" s="2"/>
      <c r="H62" s="2"/>
      <c r="I62" s="2"/>
      <c r="J62" s="2"/>
      <c r="K62" s="2"/>
    </row>
    <row r="63" spans="2:11">
      <c r="B63" s="2"/>
      <c r="C63" s="126"/>
      <c r="D63" s="126"/>
      <c r="E63" s="126"/>
      <c r="F63" s="126"/>
      <c r="G63" s="2"/>
      <c r="H63" s="2"/>
      <c r="I63" s="2"/>
      <c r="J63" s="2"/>
      <c r="K63" s="2"/>
    </row>
    <row r="64" spans="2:11">
      <c r="B64" s="2"/>
      <c r="C64" s="126"/>
      <c r="D64" s="126"/>
      <c r="E64" s="126"/>
      <c r="F64" s="126"/>
      <c r="G64" s="2"/>
      <c r="H64" s="2"/>
      <c r="I64" s="2"/>
      <c r="J64" s="2"/>
      <c r="K64" s="2"/>
    </row>
    <row r="65" spans="2:11">
      <c r="B65" s="2"/>
      <c r="C65" s="126"/>
      <c r="D65" s="126"/>
      <c r="E65" s="126"/>
      <c r="F65" s="126"/>
      <c r="G65" s="2"/>
      <c r="H65" s="2"/>
      <c r="I65" s="2"/>
      <c r="J65" s="2"/>
      <c r="K65" s="2"/>
    </row>
    <row r="66" spans="2:11">
      <c r="B66" s="2"/>
      <c r="C66" s="126"/>
      <c r="D66" s="126"/>
      <c r="E66" s="126"/>
      <c r="F66" s="126"/>
      <c r="G66" s="2"/>
      <c r="H66" s="2"/>
      <c r="I66" s="2"/>
      <c r="J66" s="2"/>
      <c r="K66" s="2"/>
    </row>
    <row r="67" spans="2:11">
      <c r="B67" s="2"/>
      <c r="C67" s="126"/>
      <c r="D67" s="126"/>
      <c r="E67" s="126"/>
      <c r="F67" s="126"/>
      <c r="G67" s="2"/>
    </row>
    <row r="68" spans="2:11">
      <c r="B68" s="2"/>
      <c r="C68" s="126"/>
      <c r="D68" s="126"/>
      <c r="E68" s="126"/>
      <c r="F68" s="126"/>
      <c r="G68" s="2"/>
    </row>
    <row r="69" spans="2:11">
      <c r="B69" s="2"/>
      <c r="C69" s="126"/>
      <c r="D69" s="126"/>
      <c r="E69" s="126"/>
      <c r="F69" s="126"/>
      <c r="G69" s="2"/>
    </row>
    <row r="70" spans="2:11">
      <c r="B70" s="2"/>
      <c r="C70" s="126"/>
      <c r="D70" s="126"/>
      <c r="E70" s="126"/>
      <c r="F70" s="126"/>
      <c r="G70" s="2"/>
    </row>
    <row r="71" spans="2:11">
      <c r="B71" s="2"/>
      <c r="C71" s="126"/>
      <c r="D71" s="126"/>
      <c r="E71" s="126"/>
      <c r="F71" s="126"/>
      <c r="G71" s="2"/>
    </row>
    <row r="72" spans="2:11">
      <c r="B72" s="2"/>
      <c r="C72" s="126"/>
      <c r="D72" s="126"/>
      <c r="E72" s="126"/>
      <c r="F72" s="126"/>
      <c r="G72" s="2"/>
    </row>
    <row r="73" spans="2:11">
      <c r="B73" s="2"/>
      <c r="C73" s="126"/>
      <c r="D73" s="126"/>
      <c r="E73" s="126"/>
      <c r="F73" s="126"/>
      <c r="G73" s="2"/>
    </row>
    <row r="74" spans="2:11">
      <c r="B74" s="2"/>
      <c r="C74" s="126"/>
      <c r="D74" s="126"/>
      <c r="E74" s="126"/>
      <c r="F74" s="126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  <ignoredErrors>
    <ignoredError sqref="F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F27" sqref="F27"/>
    </sheetView>
  </sheetViews>
  <sheetFormatPr defaultColWidth="9" defaultRowHeight="15"/>
  <cols>
    <col min="1" max="1" width="5.109375" style="103" customWidth="1"/>
    <col min="2" max="2" width="17.44140625" style="103" customWidth="1"/>
    <col min="3" max="5" width="15.5546875" style="104" customWidth="1"/>
    <col min="6" max="6" width="18.77734375" style="104" customWidth="1"/>
    <col min="7" max="7" width="12.33203125" style="103" customWidth="1"/>
    <col min="8" max="8" width="10.109375" style="103" customWidth="1"/>
    <col min="9" max="15" width="9" style="103" customWidth="1"/>
    <col min="16" max="32" width="9" style="103"/>
    <col min="33" max="33" width="4.33203125" style="103" customWidth="1"/>
    <col min="34" max="34" width="13.88671875" style="103" customWidth="1"/>
    <col min="35" max="16384" width="9" style="103"/>
  </cols>
  <sheetData>
    <row r="1" spans="1:35">
      <c r="A1" s="207" t="s">
        <v>143</v>
      </c>
      <c r="B1" s="207"/>
      <c r="C1" s="208" t="s">
        <v>163</v>
      </c>
      <c r="D1" s="209"/>
      <c r="E1" s="209"/>
      <c r="F1" s="210"/>
    </row>
    <row r="2" spans="1:35">
      <c r="A2" s="207" t="s">
        <v>145</v>
      </c>
      <c r="B2" s="207"/>
      <c r="C2" s="211" t="s">
        <v>146</v>
      </c>
      <c r="D2" s="211"/>
      <c r="E2" s="211"/>
      <c r="F2" s="211"/>
    </row>
    <row r="3" spans="1:35" ht="15.6">
      <c r="A3" s="207" t="s">
        <v>147</v>
      </c>
      <c r="B3" s="207"/>
      <c r="C3" s="14" t="s">
        <v>148</v>
      </c>
      <c r="D3" s="14" t="s">
        <v>149</v>
      </c>
      <c r="E3" s="14" t="s">
        <v>148</v>
      </c>
      <c r="F3" s="212" t="s">
        <v>52</v>
      </c>
    </row>
    <row r="4" spans="1:35" ht="31.2">
      <c r="A4" s="207" t="s">
        <v>150</v>
      </c>
      <c r="B4" s="207"/>
      <c r="C4" s="14" t="s">
        <v>151</v>
      </c>
      <c r="D4" s="17" t="s">
        <v>152</v>
      </c>
      <c r="E4" s="17" t="s">
        <v>153</v>
      </c>
      <c r="F4" s="213"/>
    </row>
    <row r="5" spans="1:35" ht="15.6">
      <c r="A5" s="207" t="s">
        <v>154</v>
      </c>
      <c r="B5" s="207"/>
      <c r="C5" s="57" t="s">
        <v>155</v>
      </c>
      <c r="D5" s="57" t="s">
        <v>155</v>
      </c>
      <c r="E5" s="17" t="s">
        <v>156</v>
      </c>
      <c r="F5" s="214"/>
      <c r="AI5" s="103" t="s">
        <v>53</v>
      </c>
    </row>
    <row r="6" spans="1:35" ht="17.399999999999999">
      <c r="A6" s="106" t="s">
        <v>17</v>
      </c>
      <c r="B6" s="107" t="s">
        <v>157</v>
      </c>
      <c r="C6" s="108">
        <f>销量!C10</f>
        <v>15000</v>
      </c>
      <c r="D6" s="108">
        <f>销量!D10</f>
        <v>15000</v>
      </c>
      <c r="E6" s="108">
        <f>销量!E10</f>
        <v>30000</v>
      </c>
      <c r="F6" s="109">
        <f t="shared" ref="F6:F15" si="0">+SUM(C6:E6)</f>
        <v>60000</v>
      </c>
      <c r="Q6" s="107" t="s">
        <v>3</v>
      </c>
      <c r="AG6" s="106" t="s">
        <v>17</v>
      </c>
      <c r="AH6" s="107" t="s">
        <v>3</v>
      </c>
      <c r="AI6" s="103" t="s">
        <v>54</v>
      </c>
    </row>
    <row r="7" spans="1:35" ht="15.6">
      <c r="A7" s="105">
        <v>1</v>
      </c>
      <c r="B7" s="107" t="s">
        <v>55</v>
      </c>
      <c r="C7" s="109">
        <f>C6*销量!C8</f>
        <v>7101769.9115044298</v>
      </c>
      <c r="D7" s="109">
        <f>D6*销量!D8</f>
        <v>7101769.9115044298</v>
      </c>
      <c r="E7" s="109">
        <f>E6*销量!E8</f>
        <v>132743.36283185799</v>
      </c>
      <c r="F7" s="109">
        <f t="shared" si="0"/>
        <v>14336283.1858407</v>
      </c>
      <c r="G7" s="104"/>
      <c r="Q7" s="107" t="s">
        <v>55</v>
      </c>
      <c r="AG7" s="106" t="s">
        <v>56</v>
      </c>
      <c r="AH7" s="107" t="s">
        <v>55</v>
      </c>
      <c r="AI7" s="103" t="s">
        <v>54</v>
      </c>
    </row>
    <row r="8" spans="1:35">
      <c r="A8" s="105">
        <v>2</v>
      </c>
      <c r="B8" s="105" t="s">
        <v>57</v>
      </c>
      <c r="C8" s="109">
        <f>C7*(1-销量!$L$7)</f>
        <v>0</v>
      </c>
      <c r="D8" s="109">
        <f>D7*(1-销量!$L$7)</f>
        <v>0</v>
      </c>
      <c r="E8" s="109">
        <f>E7*(1-销量!$L$7)</f>
        <v>0</v>
      </c>
      <c r="F8" s="109">
        <f t="shared" si="0"/>
        <v>0</v>
      </c>
      <c r="G8" s="110"/>
      <c r="Q8" s="105" t="s">
        <v>59</v>
      </c>
      <c r="AG8" s="106" t="s">
        <v>58</v>
      </c>
      <c r="AH8" s="105" t="s">
        <v>59</v>
      </c>
      <c r="AI8" s="103" t="s">
        <v>54</v>
      </c>
    </row>
    <row r="9" spans="1:35" ht="15.6">
      <c r="A9" s="105">
        <v>3</v>
      </c>
      <c r="B9" s="107" t="s">
        <v>60</v>
      </c>
      <c r="C9" s="109">
        <f>+C7-C8</f>
        <v>7101769.9115044298</v>
      </c>
      <c r="D9" s="109">
        <f>+D7-D8</f>
        <v>7101769.9115044298</v>
      </c>
      <c r="E9" s="109">
        <f>+E7-E8</f>
        <v>132743.36283185799</v>
      </c>
      <c r="F9" s="109">
        <f t="shared" si="0"/>
        <v>14336283.1858407</v>
      </c>
      <c r="Q9" s="107" t="s">
        <v>60</v>
      </c>
      <c r="AG9" s="106" t="s">
        <v>61</v>
      </c>
      <c r="AH9" s="107" t="s">
        <v>60</v>
      </c>
      <c r="AI9" s="103" t="s">
        <v>62</v>
      </c>
    </row>
    <row r="10" spans="1:35">
      <c r="A10" s="105">
        <v>4</v>
      </c>
      <c r="B10" s="106" t="s">
        <v>64</v>
      </c>
      <c r="C10" s="109">
        <f>C6*C33</f>
        <v>5550000</v>
      </c>
      <c r="D10" s="109">
        <f>D6*D33</f>
        <v>5550000</v>
      </c>
      <c r="E10" s="109">
        <f>E6*E33</f>
        <v>13317</v>
      </c>
      <c r="F10" s="109">
        <f t="shared" si="0"/>
        <v>11113317</v>
      </c>
      <c r="Q10" s="106" t="s">
        <v>64</v>
      </c>
      <c r="AG10" s="106" t="s">
        <v>63</v>
      </c>
      <c r="AH10" s="106" t="s">
        <v>64</v>
      </c>
      <c r="AI10" s="103" t="s">
        <v>65</v>
      </c>
    </row>
    <row r="11" spans="1:35">
      <c r="A11" s="105">
        <v>5</v>
      </c>
      <c r="B11" s="106" t="s">
        <v>66</v>
      </c>
      <c r="C11" s="109">
        <f>+C6*C36</f>
        <v>235068.584070796</v>
      </c>
      <c r="D11" s="109">
        <f>+D6*D36</f>
        <v>235068.584070796</v>
      </c>
      <c r="E11" s="109">
        <f>+E6*E36</f>
        <v>4393.8053097345201</v>
      </c>
      <c r="F11" s="109">
        <f t="shared" si="0"/>
        <v>474530.97345132701</v>
      </c>
      <c r="Q11" s="106" t="s">
        <v>66</v>
      </c>
      <c r="AG11" s="106" t="s">
        <v>67</v>
      </c>
      <c r="AH11" s="106" t="s">
        <v>66</v>
      </c>
    </row>
    <row r="12" spans="1:35">
      <c r="A12" s="105">
        <v>6</v>
      </c>
      <c r="B12" s="106" t="s">
        <v>68</v>
      </c>
      <c r="C12" s="109">
        <f>+C6*C37</f>
        <v>154108.40707964599</v>
      </c>
      <c r="D12" s="109">
        <f>+D6*D37</f>
        <v>154108.40707964599</v>
      </c>
      <c r="E12" s="109">
        <f>+E6*E37</f>
        <v>2880.5309734513298</v>
      </c>
      <c r="F12" s="109">
        <f t="shared" si="0"/>
        <v>311097.34513274301</v>
      </c>
      <c r="Q12" s="106" t="s">
        <v>68</v>
      </c>
      <c r="AG12" s="106" t="s">
        <v>69</v>
      </c>
      <c r="AH12" s="106" t="s">
        <v>68</v>
      </c>
    </row>
    <row r="13" spans="1:35">
      <c r="A13" s="105">
        <v>7</v>
      </c>
      <c r="B13" s="106" t="s">
        <v>70</v>
      </c>
      <c r="C13" s="109">
        <f>+C6*C38</f>
        <v>431017.69911504397</v>
      </c>
      <c r="D13" s="109">
        <f>+D6*D38</f>
        <v>431017.69911504397</v>
      </c>
      <c r="E13" s="109">
        <f>+E6*E38</f>
        <v>1327.4336283185901</v>
      </c>
      <c r="F13" s="109">
        <f t="shared" si="0"/>
        <v>863362.83185840701</v>
      </c>
      <c r="Q13" s="106" t="s">
        <v>70</v>
      </c>
      <c r="AG13" s="106" t="s">
        <v>71</v>
      </c>
      <c r="AH13" s="106" t="s">
        <v>70</v>
      </c>
      <c r="AI13" s="103" t="s">
        <v>54</v>
      </c>
    </row>
    <row r="14" spans="1:35" ht="15.6">
      <c r="A14" s="105">
        <v>8</v>
      </c>
      <c r="B14" s="111" t="s">
        <v>72</v>
      </c>
      <c r="C14" s="109">
        <f>SUM(C11:C13)</f>
        <v>820194.69026548602</v>
      </c>
      <c r="D14" s="109">
        <f>SUM(D11:D13)</f>
        <v>820194.69026548602</v>
      </c>
      <c r="E14" s="109">
        <f>SUM(E11:E13)</f>
        <v>8601.7699115044306</v>
      </c>
      <c r="F14" s="109">
        <f t="shared" si="0"/>
        <v>1648991.1504424801</v>
      </c>
      <c r="Q14" s="111" t="s">
        <v>72</v>
      </c>
      <c r="AG14" s="106" t="s">
        <v>73</v>
      </c>
      <c r="AH14" s="111" t="s">
        <v>72</v>
      </c>
    </row>
    <row r="15" spans="1:35" ht="15.6">
      <c r="A15" s="105">
        <v>9</v>
      </c>
      <c r="B15" s="111" t="s">
        <v>74</v>
      </c>
      <c r="C15" s="109">
        <f>+C9-C10-C14</f>
        <v>731575.22123894398</v>
      </c>
      <c r="D15" s="109">
        <f>+D9-D10-D14</f>
        <v>731575.22123894398</v>
      </c>
      <c r="E15" s="109">
        <f>+E9-E10-E14</f>
        <v>110824.592920354</v>
      </c>
      <c r="F15" s="109">
        <f t="shared" si="0"/>
        <v>1573975.03539824</v>
      </c>
      <c r="Q15" s="111" t="s">
        <v>74</v>
      </c>
      <c r="AG15" s="106" t="s">
        <v>75</v>
      </c>
      <c r="AH15" s="111" t="s">
        <v>74</v>
      </c>
    </row>
    <row r="16" spans="1:35">
      <c r="A16" s="105">
        <v>10</v>
      </c>
      <c r="B16" s="106" t="s">
        <v>76</v>
      </c>
      <c r="C16" s="112">
        <f>+C15/C9</f>
        <v>0.10301308411215</v>
      </c>
      <c r="D16" s="112">
        <f>+D15/D9</f>
        <v>0.10301308411215</v>
      </c>
      <c r="E16" s="112">
        <f>+E15/E9</f>
        <v>0.83487859999999903</v>
      </c>
      <c r="F16" s="112">
        <f>+F15/F9</f>
        <v>0.10978961666666801</v>
      </c>
      <c r="Q16" s="106" t="s">
        <v>76</v>
      </c>
      <c r="AG16" s="106" t="s">
        <v>77</v>
      </c>
      <c r="AH16" s="106" t="s">
        <v>76</v>
      </c>
    </row>
    <row r="17" spans="1:35">
      <c r="A17" s="105">
        <v>11</v>
      </c>
      <c r="B17" s="106" t="s">
        <v>78</v>
      </c>
      <c r="C17" s="109">
        <f>C6*C43+C18</f>
        <v>254732.300884956</v>
      </c>
      <c r="D17" s="109">
        <f>D6*D43+D18</f>
        <v>254732.300884956</v>
      </c>
      <c r="E17" s="109">
        <f>E6*E43+E18</f>
        <v>14172.5663716814</v>
      </c>
      <c r="F17" s="109">
        <f>+SUM(C17:E17)</f>
        <v>523637.16814159299</v>
      </c>
      <c r="G17" s="110"/>
      <c r="Q17" s="106" t="s">
        <v>78</v>
      </c>
      <c r="AG17" s="106" t="s">
        <v>79</v>
      </c>
      <c r="AH17" s="106" t="s">
        <v>78</v>
      </c>
    </row>
    <row r="18" spans="1:35" s="101" customFormat="1">
      <c r="A18" s="105">
        <v>12</v>
      </c>
      <c r="B18" s="114" t="s">
        <v>158</v>
      </c>
      <c r="C18" s="115">
        <f>$F$18/$F$6*C6</f>
        <v>4750</v>
      </c>
      <c r="D18" s="115">
        <f>$F$18/$F$6*D6</f>
        <v>4750</v>
      </c>
      <c r="E18" s="115">
        <f>$F$18/$F$6*E6</f>
        <v>9500</v>
      </c>
      <c r="F18" s="109">
        <f>项目投资!E26</f>
        <v>19000</v>
      </c>
      <c r="G18" s="116" t="s">
        <v>159</v>
      </c>
      <c r="H18" s="116"/>
      <c r="I18" s="116"/>
    </row>
    <row r="19" spans="1:35">
      <c r="A19" s="105">
        <v>13</v>
      </c>
      <c r="B19" s="106" t="s">
        <v>80</v>
      </c>
      <c r="C19" s="109">
        <f>C6*C44</f>
        <v>71017.699115044205</v>
      </c>
      <c r="D19" s="109">
        <f>D6*D44</f>
        <v>71017.699115044205</v>
      </c>
      <c r="E19" s="109">
        <f>E6*E44</f>
        <v>1327.4336283185901</v>
      </c>
      <c r="F19" s="109">
        <f>+SUM(C19:E19)</f>
        <v>143362.83185840701</v>
      </c>
      <c r="G19" s="101"/>
      <c r="Q19" s="106" t="s">
        <v>80</v>
      </c>
      <c r="AG19" s="106" t="s">
        <v>81</v>
      </c>
      <c r="AH19" s="106" t="s">
        <v>80</v>
      </c>
      <c r="AI19" s="103" t="s">
        <v>54</v>
      </c>
    </row>
    <row r="20" spans="1:35">
      <c r="A20" s="105">
        <v>14</v>
      </c>
      <c r="B20" s="106" t="s">
        <v>82</v>
      </c>
      <c r="C20" s="109">
        <f>C6*C45</f>
        <v>71017.699115044205</v>
      </c>
      <c r="D20" s="109">
        <f>D6*D45</f>
        <v>71017.699115044205</v>
      </c>
      <c r="E20" s="109">
        <f>E6*E45</f>
        <v>1327.4336283185901</v>
      </c>
      <c r="F20" s="109">
        <f>+SUM(C20:E20)</f>
        <v>143362.83185840701</v>
      </c>
      <c r="Q20" s="106" t="s">
        <v>82</v>
      </c>
      <c r="AG20" s="106" t="s">
        <v>83</v>
      </c>
      <c r="AH20" s="106" t="s">
        <v>82</v>
      </c>
    </row>
    <row r="21" spans="1:35">
      <c r="A21" s="105">
        <v>15</v>
      </c>
      <c r="B21" s="106" t="s">
        <v>84</v>
      </c>
      <c r="C21" s="117">
        <f>$F$21/$F$6*C6</f>
        <v>6666.6666666666697</v>
      </c>
      <c r="D21" s="117">
        <f>$F$21/$F$6*D6</f>
        <v>6666.6666666666697</v>
      </c>
      <c r="E21" s="117">
        <f>$F$21/$F$6*E6</f>
        <v>13333.333333333299</v>
      </c>
      <c r="F21" s="109">
        <f>项目投资!E27</f>
        <v>26666.666666666701</v>
      </c>
      <c r="Q21" s="106" t="s">
        <v>84</v>
      </c>
      <c r="AG21" s="106"/>
      <c r="AH21" s="106"/>
    </row>
    <row r="22" spans="1:35">
      <c r="A22" s="105">
        <v>16</v>
      </c>
      <c r="B22" s="106" t="s">
        <v>85</v>
      </c>
      <c r="C22" s="109">
        <f>C6*C47</f>
        <v>213053.09734513261</v>
      </c>
      <c r="D22" s="109">
        <f>D6*D47</f>
        <v>213053.09734513261</v>
      </c>
      <c r="E22" s="109">
        <f>E6*E47</f>
        <v>3982.300884955755</v>
      </c>
      <c r="F22" s="109">
        <f>+SUM(C22:E22)</f>
        <v>430088.49557522096</v>
      </c>
      <c r="Q22" s="106" t="s">
        <v>85</v>
      </c>
      <c r="AG22" s="106" t="s">
        <v>86</v>
      </c>
      <c r="AH22" s="106" t="s">
        <v>85</v>
      </c>
    </row>
    <row r="23" spans="1:35" ht="15.6">
      <c r="A23" s="105">
        <v>17</v>
      </c>
      <c r="B23" s="111" t="s">
        <v>87</v>
      </c>
      <c r="C23" s="117">
        <f>+C22+C21+C20+C19+C17</f>
        <v>616487.46312684368</v>
      </c>
      <c r="D23" s="117">
        <f>+D22+D21+D20+D19+D17</f>
        <v>616487.46312684368</v>
      </c>
      <c r="E23" s="117">
        <f>+E22+E21+E20+E19+E17</f>
        <v>34143.067846607635</v>
      </c>
      <c r="F23" s="117">
        <f t="shared" ref="F23" si="1">+F22+F21+F20+F19+F17</f>
        <v>1267117.9941002945</v>
      </c>
      <c r="Q23" s="111" t="s">
        <v>87</v>
      </c>
      <c r="AG23" s="106" t="s">
        <v>88</v>
      </c>
      <c r="AH23" s="111" t="s">
        <v>87</v>
      </c>
    </row>
    <row r="24" spans="1:35">
      <c r="A24" s="105">
        <v>18</v>
      </c>
      <c r="B24" s="118" t="s">
        <v>89</v>
      </c>
      <c r="C24" s="117">
        <f>+C15-C23</f>
        <v>115087.7581121003</v>
      </c>
      <c r="D24" s="117">
        <f>+D15-D23</f>
        <v>115087.7581121003</v>
      </c>
      <c r="E24" s="117">
        <f>+E15-E23</f>
        <v>76681.525073746365</v>
      </c>
      <c r="F24" s="117">
        <f t="shared" ref="F24" si="2">+F15-F23</f>
        <v>306857.04129794543</v>
      </c>
      <c r="H24" s="119"/>
      <c r="Q24" s="106" t="s">
        <v>89</v>
      </c>
      <c r="AG24" s="106" t="s">
        <v>90</v>
      </c>
      <c r="AH24" s="106" t="s">
        <v>89</v>
      </c>
    </row>
    <row r="25" spans="1:35">
      <c r="A25" s="105">
        <v>19</v>
      </c>
      <c r="B25" s="106" t="s">
        <v>160</v>
      </c>
      <c r="C25" s="117"/>
      <c r="D25" s="117"/>
      <c r="E25" s="117"/>
      <c r="F25" s="117">
        <f>IF(F24&lt;0,0,F24*0.25)</f>
        <v>76714.260324486357</v>
      </c>
      <c r="G25" s="2"/>
      <c r="H25" s="2"/>
      <c r="I25" s="2"/>
      <c r="Q25" s="106" t="s">
        <v>34</v>
      </c>
      <c r="AG25" s="106" t="s">
        <v>91</v>
      </c>
      <c r="AH25" s="106" t="s">
        <v>34</v>
      </c>
    </row>
    <row r="26" spans="1:35">
      <c r="A26" s="105">
        <v>20</v>
      </c>
      <c r="B26" s="106" t="s">
        <v>92</v>
      </c>
      <c r="C26" s="117">
        <f>C24-C25</f>
        <v>115087.7581121003</v>
      </c>
      <c r="D26" s="117">
        <f>D24-D25</f>
        <v>115087.7581121003</v>
      </c>
      <c r="E26" s="117">
        <f>E24-E25</f>
        <v>76681.525073746365</v>
      </c>
      <c r="F26" s="109">
        <f>F24-F25</f>
        <v>230142.78097345907</v>
      </c>
      <c r="G26" s="2"/>
      <c r="H26" s="2"/>
      <c r="I26" s="2"/>
      <c r="Q26" s="106" t="s">
        <v>92</v>
      </c>
      <c r="AG26" s="106" t="s">
        <v>93</v>
      </c>
      <c r="AH26" s="106" t="s">
        <v>92</v>
      </c>
    </row>
    <row r="27" spans="1:35">
      <c r="A27" s="105">
        <v>21</v>
      </c>
      <c r="B27" s="106" t="s">
        <v>96</v>
      </c>
      <c r="C27" s="120">
        <f>C26/C7</f>
        <v>1.6205503634476419E-2</v>
      </c>
      <c r="D27" s="120">
        <f>D26/D7</f>
        <v>1.6205503634476419E-2</v>
      </c>
      <c r="E27" s="120">
        <f>E26/E7</f>
        <v>0.57766748888889108</v>
      </c>
      <c r="F27" s="121">
        <f t="shared" ref="F27" si="3">F26/F7</f>
        <v>1.6053169290124007E-2</v>
      </c>
      <c r="G27" s="2"/>
      <c r="H27" s="2"/>
      <c r="I27" s="2"/>
      <c r="Q27" s="106" t="s">
        <v>96</v>
      </c>
      <c r="AG27" s="106" t="s">
        <v>95</v>
      </c>
      <c r="AH27" s="106" t="s">
        <v>96</v>
      </c>
    </row>
    <row r="28" spans="1:35">
      <c r="G28" s="2"/>
      <c r="H28" s="2"/>
      <c r="I28" s="2"/>
      <c r="Q28" s="106"/>
    </row>
    <row r="29" spans="1:35">
      <c r="A29" s="103" t="s">
        <v>97</v>
      </c>
      <c r="F29" s="104" t="s">
        <v>161</v>
      </c>
      <c r="G29" s="2"/>
      <c r="H29" s="2"/>
      <c r="I29" s="2"/>
      <c r="Q29" s="106"/>
      <c r="AG29" s="103" t="s">
        <v>97</v>
      </c>
    </row>
    <row r="30" spans="1:35" ht="15.6">
      <c r="A30" s="106" t="s">
        <v>98</v>
      </c>
      <c r="B30" s="111" t="s">
        <v>99</v>
      </c>
      <c r="C30" s="117"/>
      <c r="D30" s="117"/>
      <c r="E30" s="117"/>
      <c r="F30" s="117"/>
      <c r="G30" s="2"/>
      <c r="H30" s="2"/>
      <c r="I30" s="2"/>
      <c r="K30" s="2"/>
      <c r="Q30" s="111" t="s">
        <v>99</v>
      </c>
      <c r="AG30" s="106" t="s">
        <v>100</v>
      </c>
      <c r="AH30" s="111" t="s">
        <v>99</v>
      </c>
    </row>
    <row r="31" spans="1:35">
      <c r="A31" s="105">
        <v>1</v>
      </c>
      <c r="B31" s="114" t="s">
        <v>101</v>
      </c>
      <c r="C31" s="122">
        <f>销量!C8</f>
        <v>473.45132743362802</v>
      </c>
      <c r="D31" s="122">
        <f>销量!D8</f>
        <v>473.45132743362802</v>
      </c>
      <c r="E31" s="122">
        <f>销量!E8</f>
        <v>4.4247787610619502</v>
      </c>
      <c r="F31" s="117"/>
      <c r="G31" s="2"/>
      <c r="H31" s="2"/>
      <c r="I31" s="2"/>
      <c r="K31" s="2"/>
      <c r="Q31" s="106" t="s">
        <v>101</v>
      </c>
      <c r="AG31" s="106" t="s">
        <v>56</v>
      </c>
      <c r="AH31" s="106" t="s">
        <v>101</v>
      </c>
    </row>
    <row r="32" spans="1:35">
      <c r="A32" s="105">
        <v>2</v>
      </c>
      <c r="B32" s="106" t="s">
        <v>162</v>
      </c>
      <c r="C32" s="109">
        <f>C31*1</f>
        <v>473.45132743362802</v>
      </c>
      <c r="D32" s="109">
        <f>D31*1</f>
        <v>473.45132743362802</v>
      </c>
      <c r="E32" s="109">
        <f>E31*1</f>
        <v>4.4247787610619502</v>
      </c>
      <c r="F32" s="117"/>
      <c r="G32" s="2"/>
      <c r="H32" s="2"/>
      <c r="I32" s="2"/>
      <c r="J32" s="2"/>
      <c r="K32" s="2"/>
      <c r="L32" s="2"/>
      <c r="M32" s="2"/>
      <c r="AG32" s="106"/>
      <c r="AH32" s="106"/>
    </row>
    <row r="33" spans="1:34">
      <c r="A33" s="105">
        <v>3</v>
      </c>
      <c r="B33" s="114" t="s">
        <v>102</v>
      </c>
      <c r="C33" s="109">
        <f>材料成本!D27</f>
        <v>370</v>
      </c>
      <c r="D33" s="109">
        <f>材料成本!E27</f>
        <v>370</v>
      </c>
      <c r="E33" s="109">
        <f>材料成本!F27</f>
        <v>0.44390000000000002</v>
      </c>
      <c r="F33" s="117"/>
      <c r="H33" s="2"/>
      <c r="I33" s="2"/>
      <c r="J33" s="2"/>
      <c r="K33" s="2"/>
      <c r="L33" s="2"/>
      <c r="M33" s="2"/>
      <c r="Q33" s="106" t="s">
        <v>102</v>
      </c>
      <c r="AG33" s="106" t="s">
        <v>58</v>
      </c>
      <c r="AH33" s="106" t="s">
        <v>102</v>
      </c>
    </row>
    <row r="34" spans="1:34" ht="17.25" customHeight="1">
      <c r="A34" s="105">
        <v>4</v>
      </c>
      <c r="B34" s="106" t="s">
        <v>104</v>
      </c>
      <c r="C34" s="123">
        <f>C32-C33</f>
        <v>103.45132743362799</v>
      </c>
      <c r="D34" s="123">
        <f>D32-D33</f>
        <v>103.45132743362799</v>
      </c>
      <c r="E34" s="123">
        <f>E32-E33</f>
        <v>3.98087876106195</v>
      </c>
      <c r="F34" s="117"/>
      <c r="H34" s="2"/>
      <c r="I34" s="2"/>
      <c r="J34" s="2"/>
      <c r="K34" s="2"/>
      <c r="L34" s="2"/>
      <c r="M34" s="2"/>
      <c r="Q34" s="106" t="s">
        <v>104</v>
      </c>
      <c r="AG34" s="106" t="s">
        <v>103</v>
      </c>
      <c r="AH34" s="106" t="s">
        <v>104</v>
      </c>
    </row>
    <row r="35" spans="1:34" ht="15.6">
      <c r="A35" s="106" t="s">
        <v>100</v>
      </c>
      <c r="B35" s="111" t="s">
        <v>7</v>
      </c>
      <c r="C35" s="117"/>
      <c r="D35" s="117"/>
      <c r="E35" s="117"/>
      <c r="F35" s="117"/>
      <c r="G35" s="2"/>
      <c r="H35" s="2"/>
      <c r="I35" s="2"/>
      <c r="J35" s="2"/>
      <c r="K35" s="2"/>
      <c r="L35" s="2"/>
      <c r="M35" s="2"/>
      <c r="N35" s="2"/>
      <c r="O35" s="2"/>
      <c r="P35" s="2"/>
      <c r="Q35" s="111" t="s">
        <v>7</v>
      </c>
      <c r="AG35" s="106" t="s">
        <v>106</v>
      </c>
      <c r="AH35" s="111" t="s">
        <v>7</v>
      </c>
    </row>
    <row r="36" spans="1:34">
      <c r="A36" s="105">
        <v>1</v>
      </c>
      <c r="B36" s="106" t="s">
        <v>107</v>
      </c>
      <c r="C36" s="115">
        <f>标准成本!E4</f>
        <v>15.671238938053101</v>
      </c>
      <c r="D36" s="115">
        <f>标准成本!E16</f>
        <v>15.671238938053101</v>
      </c>
      <c r="E36" s="115">
        <f>标准成本!E29</f>
        <v>0.14646017699115099</v>
      </c>
      <c r="F36" s="122"/>
      <c r="G36" s="2"/>
      <c r="H36" s="2"/>
      <c r="I36" s="2"/>
      <c r="J36" s="2"/>
      <c r="K36" s="2"/>
      <c r="L36" s="2"/>
      <c r="M36" s="2"/>
      <c r="N36" s="2"/>
      <c r="O36" s="2"/>
      <c r="P36" s="2"/>
      <c r="Q36" s="106" t="s">
        <v>107</v>
      </c>
      <c r="AG36" s="106" t="s">
        <v>103</v>
      </c>
      <c r="AH36" s="106" t="s">
        <v>107</v>
      </c>
    </row>
    <row r="37" spans="1:34">
      <c r="A37" s="105">
        <v>2</v>
      </c>
      <c r="B37" s="106" t="s">
        <v>108</v>
      </c>
      <c r="C37" s="115">
        <f>标准成本!E6</f>
        <v>10.273893805309701</v>
      </c>
      <c r="D37" s="115">
        <f>标准成本!E18</f>
        <v>10.273893805309701</v>
      </c>
      <c r="E37" s="115">
        <f>标准成本!E31</f>
        <v>9.6017699115044305E-2</v>
      </c>
      <c r="F37" s="122"/>
      <c r="G37" s="2"/>
      <c r="H37" s="2"/>
      <c r="I37" s="2"/>
      <c r="J37" s="2"/>
      <c r="K37" s="2"/>
      <c r="L37" s="2"/>
      <c r="M37" s="2"/>
      <c r="N37" s="2"/>
      <c r="O37" s="2"/>
      <c r="P37" s="2"/>
      <c r="Q37" s="106" t="s">
        <v>108</v>
      </c>
      <c r="AG37" s="106" t="s">
        <v>61</v>
      </c>
      <c r="AH37" s="106" t="s">
        <v>108</v>
      </c>
    </row>
    <row r="38" spans="1:34">
      <c r="A38" s="105">
        <v>3</v>
      </c>
      <c r="B38" s="106" t="s">
        <v>109</v>
      </c>
      <c r="C38" s="115">
        <f>标准成本!E10</f>
        <v>28.734513274336301</v>
      </c>
      <c r="D38" s="115">
        <f>标准成本!E22</f>
        <v>28.734513274336301</v>
      </c>
      <c r="E38" s="115">
        <f>标准成本!E35</f>
        <v>4.4247787610619503E-2</v>
      </c>
      <c r="F38" s="122"/>
      <c r="G38" s="2"/>
      <c r="H38" s="2"/>
      <c r="I38" s="2"/>
      <c r="J38" s="2"/>
      <c r="K38" s="2"/>
      <c r="L38" s="2"/>
      <c r="M38" s="2"/>
      <c r="N38" s="2"/>
      <c r="O38" s="2"/>
      <c r="P38" s="2"/>
      <c r="Q38" s="106" t="s">
        <v>109</v>
      </c>
      <c r="AG38" s="106" t="s">
        <v>67</v>
      </c>
      <c r="AH38" s="106" t="s">
        <v>109</v>
      </c>
    </row>
    <row r="39" spans="1:34" ht="15.6">
      <c r="A39" s="106" t="s">
        <v>106</v>
      </c>
      <c r="B39" s="111" t="s">
        <v>111</v>
      </c>
      <c r="C39" s="117"/>
      <c r="D39" s="117"/>
      <c r="E39" s="117"/>
      <c r="F39" s="117"/>
      <c r="Q39" s="111" t="s">
        <v>111</v>
      </c>
      <c r="AG39" s="106" t="s">
        <v>110</v>
      </c>
      <c r="AH39" s="111" t="s">
        <v>111</v>
      </c>
    </row>
    <row r="40" spans="1:34">
      <c r="A40" s="105">
        <v>1</v>
      </c>
      <c r="B40" s="106" t="s">
        <v>113</v>
      </c>
      <c r="C40" s="117">
        <f>C34-C36-C37-C38</f>
        <v>48.771681415928903</v>
      </c>
      <c r="D40" s="117">
        <f>D34-D36-D37-D38</f>
        <v>48.771681415928903</v>
      </c>
      <c r="E40" s="117">
        <f>E34-E36-E37-E38</f>
        <v>3.69415309734514</v>
      </c>
      <c r="F40" s="117"/>
      <c r="Q40" s="106" t="s">
        <v>113</v>
      </c>
      <c r="AG40" s="106" t="s">
        <v>56</v>
      </c>
      <c r="AH40" s="106" t="s">
        <v>113</v>
      </c>
    </row>
    <row r="41" spans="1:34">
      <c r="A41" s="105">
        <v>2</v>
      </c>
      <c r="B41" s="106" t="s">
        <v>114</v>
      </c>
      <c r="C41" s="117"/>
      <c r="D41" s="117"/>
      <c r="E41" s="117"/>
      <c r="F41" s="117"/>
      <c r="Q41" s="106" t="s">
        <v>114</v>
      </c>
      <c r="AG41" s="106" t="s">
        <v>58</v>
      </c>
      <c r="AH41" s="106" t="s">
        <v>114</v>
      </c>
    </row>
    <row r="42" spans="1:34" ht="15.6">
      <c r="A42" s="106" t="s">
        <v>110</v>
      </c>
      <c r="B42" s="111" t="s">
        <v>116</v>
      </c>
      <c r="C42" s="117"/>
      <c r="D42" s="117"/>
      <c r="E42" s="117"/>
      <c r="F42" s="117"/>
      <c r="Q42" s="111" t="s">
        <v>116</v>
      </c>
      <c r="AG42" s="106" t="s">
        <v>115</v>
      </c>
      <c r="AH42" s="111" t="s">
        <v>116</v>
      </c>
    </row>
    <row r="43" spans="1:34">
      <c r="A43" s="105">
        <v>1</v>
      </c>
      <c r="B43" s="118" t="s">
        <v>117</v>
      </c>
      <c r="C43" s="115">
        <f>标准成本!E5</f>
        <v>16.665486725663701</v>
      </c>
      <c r="D43" s="115">
        <f>标准成本!E17</f>
        <v>16.665486725663701</v>
      </c>
      <c r="E43" s="115">
        <f>标准成本!E30</f>
        <v>0.155752212389381</v>
      </c>
      <c r="F43" s="117"/>
      <c r="Q43" s="106" t="s">
        <v>117</v>
      </c>
      <c r="AG43" s="106" t="s">
        <v>56</v>
      </c>
      <c r="AH43" s="106" t="s">
        <v>117</v>
      </c>
    </row>
    <row r="44" spans="1:34">
      <c r="A44" s="105">
        <v>2</v>
      </c>
      <c r="B44" s="118" t="s">
        <v>118</v>
      </c>
      <c r="C44" s="115">
        <f>标准成本!E9</f>
        <v>4.7345132743362797</v>
      </c>
      <c r="D44" s="115">
        <f>标准成本!E21</f>
        <v>4.7345132743362797</v>
      </c>
      <c r="E44" s="115">
        <f>标准成本!E34</f>
        <v>4.4247787610619503E-2</v>
      </c>
      <c r="F44" s="117"/>
      <c r="Q44" s="106" t="s">
        <v>118</v>
      </c>
      <c r="AG44" s="106" t="s">
        <v>58</v>
      </c>
      <c r="AH44" s="106" t="s">
        <v>118</v>
      </c>
    </row>
    <row r="45" spans="1:34">
      <c r="A45" s="105">
        <v>3</v>
      </c>
      <c r="B45" s="118" t="s">
        <v>119</v>
      </c>
      <c r="C45" s="115">
        <f>标准成本!E8</f>
        <v>4.7345132743362797</v>
      </c>
      <c r="D45" s="115">
        <f>标准成本!E20</f>
        <v>4.7345132743362797</v>
      </c>
      <c r="E45" s="115">
        <f>标准成本!E33</f>
        <v>4.4247787610619503E-2</v>
      </c>
      <c r="F45" s="117"/>
      <c r="Q45" s="106" t="s">
        <v>119</v>
      </c>
      <c r="AG45" s="106" t="s">
        <v>103</v>
      </c>
      <c r="AH45" s="106" t="s">
        <v>119</v>
      </c>
    </row>
    <row r="46" spans="1:34" s="102" customFormat="1">
      <c r="A46" s="105">
        <v>4</v>
      </c>
      <c r="B46" s="118" t="s">
        <v>120</v>
      </c>
      <c r="C46" s="124">
        <f>C21/C6</f>
        <v>0.44444444444444398</v>
      </c>
      <c r="D46" s="124">
        <f>D21/D6</f>
        <v>0.44444444444444398</v>
      </c>
      <c r="E46" s="124">
        <f>E21/E6</f>
        <v>0.44444444444444398</v>
      </c>
      <c r="F46" s="124"/>
      <c r="Q46" s="118" t="s">
        <v>122</v>
      </c>
      <c r="AG46" s="118" t="s">
        <v>63</v>
      </c>
      <c r="AH46" s="118" t="s">
        <v>122</v>
      </c>
    </row>
    <row r="47" spans="1:34" s="102" customFormat="1">
      <c r="A47" s="105">
        <v>5</v>
      </c>
      <c r="B47" s="118" t="s">
        <v>122</v>
      </c>
      <c r="C47" s="124">
        <f>标准成本!E11</f>
        <v>14.203539823008841</v>
      </c>
      <c r="D47" s="124">
        <f>标准成本!E23</f>
        <v>14.203539823008841</v>
      </c>
      <c r="E47" s="124">
        <f>标准成本!E36</f>
        <v>0.1327433628318585</v>
      </c>
      <c r="F47" s="124"/>
      <c r="Q47" s="118" t="s">
        <v>122</v>
      </c>
      <c r="AG47" s="118" t="s">
        <v>63</v>
      </c>
      <c r="AH47" s="118" t="s">
        <v>122</v>
      </c>
    </row>
    <row r="48" spans="1:34" ht="15.6">
      <c r="A48" s="106" t="s">
        <v>115</v>
      </c>
      <c r="B48" s="111" t="s">
        <v>133</v>
      </c>
      <c r="C48" s="117">
        <f>C40-C43-C44-C45-C47-C46</f>
        <v>7.9891838741393544</v>
      </c>
      <c r="D48" s="117">
        <f>D40-D43-D44-D45-D47-D46</f>
        <v>7.9891838741393544</v>
      </c>
      <c r="E48" s="117">
        <f>E40-E43-E44-E45-E47-E46</f>
        <v>2.8727175024582179</v>
      </c>
      <c r="F48" s="117"/>
      <c r="Q48" s="111" t="s">
        <v>133</v>
      </c>
      <c r="AG48" s="106" t="s">
        <v>132</v>
      </c>
      <c r="AH48" s="111" t="s">
        <v>133</v>
      </c>
    </row>
    <row r="51" spans="2:11">
      <c r="C51" s="125"/>
      <c r="D51" s="125"/>
      <c r="E51" s="125"/>
    </row>
    <row r="54" spans="2:11">
      <c r="B54" s="2"/>
      <c r="C54" s="126"/>
      <c r="D54" s="126"/>
      <c r="E54" s="126"/>
      <c r="F54" s="126"/>
      <c r="G54" s="2"/>
      <c r="H54" s="2"/>
      <c r="I54" s="2"/>
      <c r="J54" s="2"/>
      <c r="K54" s="2"/>
    </row>
    <row r="55" spans="2:11">
      <c r="B55" s="2"/>
      <c r="C55" s="126"/>
      <c r="D55" s="126"/>
      <c r="E55" s="126"/>
      <c r="F55" s="126"/>
      <c r="G55" s="2"/>
      <c r="H55" s="2"/>
      <c r="I55" s="2"/>
      <c r="J55" s="2"/>
      <c r="K55" s="2"/>
    </row>
    <row r="56" spans="2:11">
      <c r="B56" s="2"/>
      <c r="C56" s="126"/>
      <c r="D56" s="126"/>
      <c r="E56" s="126"/>
      <c r="F56" s="126"/>
      <c r="G56" s="2"/>
      <c r="H56" s="2"/>
      <c r="I56" s="2"/>
      <c r="J56" s="2"/>
      <c r="K56" s="2"/>
    </row>
    <row r="57" spans="2:11">
      <c r="B57" s="2"/>
      <c r="C57" s="126"/>
      <c r="D57" s="126"/>
      <c r="E57" s="126"/>
      <c r="F57" s="126"/>
      <c r="G57" s="2"/>
      <c r="H57" s="2"/>
      <c r="I57" s="2"/>
      <c r="J57" s="2"/>
      <c r="K57" s="2"/>
    </row>
    <row r="58" spans="2:11">
      <c r="B58" s="2"/>
      <c r="C58" s="126"/>
      <c r="D58" s="126"/>
      <c r="E58" s="126"/>
      <c r="F58" s="126"/>
      <c r="G58" s="2"/>
      <c r="H58" s="2"/>
      <c r="I58" s="2"/>
      <c r="J58" s="2"/>
      <c r="K58" s="2"/>
    </row>
    <row r="59" spans="2:11">
      <c r="B59" s="2"/>
      <c r="C59" s="126"/>
      <c r="D59" s="126"/>
      <c r="E59" s="126"/>
      <c r="F59" s="126"/>
      <c r="G59" s="2"/>
      <c r="H59" s="2"/>
      <c r="I59" s="2"/>
      <c r="J59" s="2"/>
      <c r="K59" s="2"/>
    </row>
    <row r="60" spans="2:11">
      <c r="B60" s="2"/>
      <c r="C60" s="126"/>
      <c r="D60" s="126"/>
      <c r="E60" s="126"/>
      <c r="F60" s="126"/>
      <c r="G60" s="2"/>
      <c r="H60" s="2"/>
      <c r="I60" s="2"/>
      <c r="J60" s="2"/>
      <c r="K60" s="2"/>
    </row>
    <row r="61" spans="2:11">
      <c r="B61" s="2"/>
      <c r="C61" s="126"/>
      <c r="D61" s="126"/>
      <c r="E61" s="126"/>
      <c r="F61" s="126"/>
      <c r="G61" s="2"/>
      <c r="H61" s="2"/>
      <c r="I61" s="2"/>
      <c r="J61" s="2"/>
      <c r="K61" s="2"/>
    </row>
    <row r="62" spans="2:11">
      <c r="B62" s="2"/>
      <c r="C62" s="126"/>
      <c r="D62" s="126"/>
      <c r="E62" s="126"/>
      <c r="F62" s="126"/>
      <c r="G62" s="2"/>
      <c r="H62" s="2"/>
      <c r="I62" s="2"/>
      <c r="J62" s="2"/>
      <c r="K62" s="2"/>
    </row>
    <row r="63" spans="2:11">
      <c r="B63" s="2"/>
      <c r="C63" s="126"/>
      <c r="D63" s="126"/>
      <c r="E63" s="126"/>
      <c r="F63" s="126"/>
      <c r="G63" s="2"/>
      <c r="H63" s="2"/>
      <c r="I63" s="2"/>
      <c r="J63" s="2"/>
      <c r="K63" s="2"/>
    </row>
    <row r="64" spans="2:11">
      <c r="B64" s="2"/>
      <c r="C64" s="126"/>
      <c r="D64" s="126"/>
      <c r="E64" s="126"/>
      <c r="F64" s="126"/>
      <c r="G64" s="2"/>
      <c r="H64" s="2"/>
      <c r="I64" s="2"/>
      <c r="J64" s="2"/>
      <c r="K64" s="2"/>
    </row>
    <row r="65" spans="2:11">
      <c r="B65" s="2"/>
      <c r="C65" s="126"/>
      <c r="D65" s="126"/>
      <c r="E65" s="126"/>
      <c r="F65" s="126"/>
      <c r="G65" s="2"/>
      <c r="H65" s="2"/>
      <c r="I65" s="2"/>
      <c r="J65" s="2"/>
      <c r="K65" s="2"/>
    </row>
    <row r="66" spans="2:11">
      <c r="B66" s="2"/>
      <c r="C66" s="126"/>
      <c r="D66" s="126"/>
      <c r="E66" s="126"/>
      <c r="F66" s="126"/>
      <c r="G66" s="2"/>
      <c r="H66" s="2"/>
      <c r="I66" s="2"/>
      <c r="J66" s="2"/>
      <c r="K66" s="2"/>
    </row>
    <row r="67" spans="2:11">
      <c r="B67" s="2"/>
      <c r="C67" s="126"/>
      <c r="D67" s="126"/>
      <c r="E67" s="126"/>
      <c r="F67" s="126"/>
      <c r="G67" s="2"/>
    </row>
    <row r="68" spans="2:11">
      <c r="B68" s="2"/>
      <c r="C68" s="126"/>
      <c r="D68" s="126"/>
      <c r="E68" s="126"/>
      <c r="F68" s="126"/>
      <c r="G68" s="2"/>
    </row>
    <row r="69" spans="2:11">
      <c r="B69" s="2"/>
      <c r="C69" s="126"/>
      <c r="D69" s="126"/>
      <c r="E69" s="126"/>
      <c r="F69" s="126"/>
      <c r="G69" s="2"/>
    </row>
    <row r="70" spans="2:11">
      <c r="B70" s="2"/>
      <c r="C70" s="126"/>
      <c r="D70" s="126"/>
      <c r="E70" s="126"/>
      <c r="F70" s="126"/>
      <c r="G70" s="2"/>
    </row>
    <row r="71" spans="2:11">
      <c r="B71" s="2"/>
      <c r="C71" s="126"/>
      <c r="D71" s="126"/>
      <c r="E71" s="126"/>
      <c r="F71" s="126"/>
      <c r="G71" s="2"/>
    </row>
    <row r="72" spans="2:11">
      <c r="B72" s="2"/>
      <c r="C72" s="126"/>
      <c r="D72" s="126"/>
      <c r="E72" s="126"/>
      <c r="F72" s="126"/>
      <c r="G72" s="2"/>
    </row>
    <row r="73" spans="2:11">
      <c r="B73" s="2"/>
      <c r="C73" s="126"/>
      <c r="D73" s="126"/>
      <c r="E73" s="126"/>
      <c r="F73" s="126"/>
      <c r="G73" s="2"/>
    </row>
    <row r="74" spans="2:11">
      <c r="B74" s="2"/>
      <c r="C74" s="126"/>
      <c r="D74" s="126"/>
      <c r="E74" s="126"/>
      <c r="F74" s="126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F27" sqref="F27"/>
    </sheetView>
  </sheetViews>
  <sheetFormatPr defaultColWidth="9" defaultRowHeight="15"/>
  <cols>
    <col min="1" max="1" width="5.109375" style="103" customWidth="1"/>
    <col min="2" max="2" width="17.44140625" style="103" customWidth="1"/>
    <col min="3" max="5" width="15.5546875" style="104" customWidth="1"/>
    <col min="6" max="6" width="18.77734375" style="104" customWidth="1"/>
    <col min="7" max="7" width="12.33203125" style="103" customWidth="1"/>
    <col min="8" max="8" width="10.109375" style="103" customWidth="1"/>
    <col min="9" max="15" width="9" style="103" customWidth="1"/>
    <col min="16" max="32" width="9" style="103"/>
    <col min="33" max="33" width="4.33203125" style="103" customWidth="1"/>
    <col min="34" max="34" width="13.88671875" style="103" customWidth="1"/>
    <col min="35" max="16384" width="9" style="103"/>
  </cols>
  <sheetData>
    <row r="1" spans="1:35">
      <c r="A1" s="207" t="s">
        <v>143</v>
      </c>
      <c r="B1" s="207"/>
      <c r="C1" s="208" t="s">
        <v>164</v>
      </c>
      <c r="D1" s="209"/>
      <c r="E1" s="209"/>
      <c r="F1" s="210"/>
    </row>
    <row r="2" spans="1:35">
      <c r="A2" s="207" t="s">
        <v>145</v>
      </c>
      <c r="B2" s="207"/>
      <c r="C2" s="211" t="s">
        <v>146</v>
      </c>
      <c r="D2" s="211"/>
      <c r="E2" s="211"/>
      <c r="F2" s="211"/>
    </row>
    <row r="3" spans="1:35" ht="15.6">
      <c r="A3" s="207" t="s">
        <v>147</v>
      </c>
      <c r="B3" s="207"/>
      <c r="C3" s="14" t="s">
        <v>148</v>
      </c>
      <c r="D3" s="14" t="s">
        <v>149</v>
      </c>
      <c r="E3" s="14" t="s">
        <v>148</v>
      </c>
      <c r="F3" s="212" t="s">
        <v>52</v>
      </c>
    </row>
    <row r="4" spans="1:35" ht="31.2">
      <c r="A4" s="207" t="s">
        <v>150</v>
      </c>
      <c r="B4" s="207"/>
      <c r="C4" s="14" t="s">
        <v>151</v>
      </c>
      <c r="D4" s="17" t="s">
        <v>152</v>
      </c>
      <c r="E4" s="17" t="s">
        <v>153</v>
      </c>
      <c r="F4" s="213"/>
    </row>
    <row r="5" spans="1:35" ht="15.6">
      <c r="A5" s="207" t="s">
        <v>154</v>
      </c>
      <c r="B5" s="207"/>
      <c r="C5" s="57" t="s">
        <v>155</v>
      </c>
      <c r="D5" s="57" t="s">
        <v>155</v>
      </c>
      <c r="E5" s="17" t="s">
        <v>156</v>
      </c>
      <c r="F5" s="214"/>
      <c r="AI5" s="103" t="s">
        <v>53</v>
      </c>
    </row>
    <row r="6" spans="1:35" ht="17.399999999999999">
      <c r="A6" s="106" t="s">
        <v>17</v>
      </c>
      <c r="B6" s="107" t="s">
        <v>157</v>
      </c>
      <c r="C6" s="108">
        <f>销量!C11</f>
        <v>15000</v>
      </c>
      <c r="D6" s="108">
        <f>销量!D11</f>
        <v>15000</v>
      </c>
      <c r="E6" s="108">
        <f>销量!E11</f>
        <v>30000</v>
      </c>
      <c r="F6" s="109">
        <f>+SUM(C6:E6)</f>
        <v>60000</v>
      </c>
      <c r="Q6" s="107" t="s">
        <v>3</v>
      </c>
      <c r="AG6" s="106" t="s">
        <v>17</v>
      </c>
      <c r="AH6" s="107" t="s">
        <v>3</v>
      </c>
      <c r="AI6" s="103" t="s">
        <v>54</v>
      </c>
    </row>
    <row r="7" spans="1:35" ht="15.6">
      <c r="A7" s="105">
        <v>1</v>
      </c>
      <c r="B7" s="107" t="s">
        <v>55</v>
      </c>
      <c r="C7" s="109">
        <f>C6*销量!C8</f>
        <v>7101769.9115044298</v>
      </c>
      <c r="D7" s="109">
        <f>D6*销量!D8</f>
        <v>7101769.9115044298</v>
      </c>
      <c r="E7" s="109">
        <f>E6*销量!E8</f>
        <v>132743.36283185799</v>
      </c>
      <c r="F7" s="109">
        <f t="shared" ref="F7:F15" si="0">+SUM(C7:E7)</f>
        <v>14336283.1858407</v>
      </c>
      <c r="G7" s="104"/>
      <c r="Q7" s="107" t="s">
        <v>55</v>
      </c>
      <c r="AG7" s="106" t="s">
        <v>56</v>
      </c>
      <c r="AH7" s="107" t="s">
        <v>55</v>
      </c>
      <c r="AI7" s="103" t="s">
        <v>54</v>
      </c>
    </row>
    <row r="8" spans="1:35">
      <c r="A8" s="105">
        <v>2</v>
      </c>
      <c r="B8" s="105" t="s">
        <v>57</v>
      </c>
      <c r="C8" s="109">
        <f>C7*(1-销量!$L$8)</f>
        <v>0</v>
      </c>
      <c r="D8" s="109">
        <f>D7*(1-销量!$L$8)</f>
        <v>0</v>
      </c>
      <c r="E8" s="109">
        <f>E7*(1-销量!$L$8)</f>
        <v>0</v>
      </c>
      <c r="F8" s="109">
        <f t="shared" si="0"/>
        <v>0</v>
      </c>
      <c r="G8" s="110"/>
      <c r="Q8" s="105" t="s">
        <v>59</v>
      </c>
      <c r="AG8" s="106" t="s">
        <v>58</v>
      </c>
      <c r="AH8" s="105" t="s">
        <v>59</v>
      </c>
      <c r="AI8" s="103" t="s">
        <v>54</v>
      </c>
    </row>
    <row r="9" spans="1:35" ht="15.6">
      <c r="A9" s="105">
        <v>3</v>
      </c>
      <c r="B9" s="107" t="s">
        <v>60</v>
      </c>
      <c r="C9" s="109">
        <f>+C7-C8</f>
        <v>7101769.9115044298</v>
      </c>
      <c r="D9" s="109">
        <f>+D7-D8</f>
        <v>7101769.9115044298</v>
      </c>
      <c r="E9" s="109">
        <f>+E7-E8</f>
        <v>132743.36283185799</v>
      </c>
      <c r="F9" s="109">
        <f t="shared" si="0"/>
        <v>14336283.1858407</v>
      </c>
      <c r="Q9" s="107" t="s">
        <v>60</v>
      </c>
      <c r="AG9" s="106" t="s">
        <v>61</v>
      </c>
      <c r="AH9" s="107" t="s">
        <v>60</v>
      </c>
      <c r="AI9" s="103" t="s">
        <v>62</v>
      </c>
    </row>
    <row r="10" spans="1:35">
      <c r="A10" s="105">
        <v>4</v>
      </c>
      <c r="B10" s="106" t="s">
        <v>64</v>
      </c>
      <c r="C10" s="109">
        <f>C6*C33</f>
        <v>5550000</v>
      </c>
      <c r="D10" s="109">
        <f>D6*D33</f>
        <v>5550000</v>
      </c>
      <c r="E10" s="109">
        <f>E6*E33</f>
        <v>13317</v>
      </c>
      <c r="F10" s="109">
        <f t="shared" si="0"/>
        <v>11113317</v>
      </c>
      <c r="Q10" s="106" t="s">
        <v>64</v>
      </c>
      <c r="AG10" s="106" t="s">
        <v>63</v>
      </c>
      <c r="AH10" s="106" t="s">
        <v>64</v>
      </c>
      <c r="AI10" s="103" t="s">
        <v>65</v>
      </c>
    </row>
    <row r="11" spans="1:35">
      <c r="A11" s="105">
        <v>5</v>
      </c>
      <c r="B11" s="106" t="s">
        <v>66</v>
      </c>
      <c r="C11" s="109">
        <f>+C6*C36</f>
        <v>235068.584070796</v>
      </c>
      <c r="D11" s="109">
        <f>+D6*D36</f>
        <v>235068.584070796</v>
      </c>
      <c r="E11" s="109">
        <f>+E6*E36</f>
        <v>4393.8053097345201</v>
      </c>
      <c r="F11" s="109">
        <f t="shared" si="0"/>
        <v>474530.97345132701</v>
      </c>
      <c r="Q11" s="106" t="s">
        <v>66</v>
      </c>
      <c r="AG11" s="106" t="s">
        <v>67</v>
      </c>
      <c r="AH11" s="106" t="s">
        <v>66</v>
      </c>
    </row>
    <row r="12" spans="1:35">
      <c r="A12" s="105">
        <v>6</v>
      </c>
      <c r="B12" s="106" t="s">
        <v>68</v>
      </c>
      <c r="C12" s="109">
        <f>+C6*C37</f>
        <v>154108.40707964599</v>
      </c>
      <c r="D12" s="109">
        <f>+D6*D37</f>
        <v>154108.40707964599</v>
      </c>
      <c r="E12" s="109">
        <f>+E6*E37</f>
        <v>2880.5309734513298</v>
      </c>
      <c r="F12" s="109">
        <f t="shared" si="0"/>
        <v>311097.34513274301</v>
      </c>
      <c r="Q12" s="106" t="s">
        <v>68</v>
      </c>
      <c r="AG12" s="106" t="s">
        <v>69</v>
      </c>
      <c r="AH12" s="106" t="s">
        <v>68</v>
      </c>
    </row>
    <row r="13" spans="1:35">
      <c r="A13" s="105">
        <v>7</v>
      </c>
      <c r="B13" s="106" t="s">
        <v>70</v>
      </c>
      <c r="C13" s="109">
        <f>+C6*C38</f>
        <v>431017.69911504397</v>
      </c>
      <c r="D13" s="109">
        <f>+D6*D38</f>
        <v>431017.69911504397</v>
      </c>
      <c r="E13" s="109">
        <f>+E6*E38</f>
        <v>1327.4336283185901</v>
      </c>
      <c r="F13" s="109">
        <f t="shared" si="0"/>
        <v>863362.83185840701</v>
      </c>
      <c r="Q13" s="106" t="s">
        <v>70</v>
      </c>
      <c r="AG13" s="106" t="s">
        <v>71</v>
      </c>
      <c r="AH13" s="106" t="s">
        <v>70</v>
      </c>
      <c r="AI13" s="103" t="s">
        <v>54</v>
      </c>
    </row>
    <row r="14" spans="1:35" ht="15.6">
      <c r="A14" s="105">
        <v>8</v>
      </c>
      <c r="B14" s="111" t="s">
        <v>72</v>
      </c>
      <c r="C14" s="109">
        <f>SUM(C11:C13)</f>
        <v>820194.69026548602</v>
      </c>
      <c r="D14" s="109">
        <f>SUM(D11:D13)</f>
        <v>820194.69026548602</v>
      </c>
      <c r="E14" s="109">
        <f>SUM(E11:E13)</f>
        <v>8601.7699115044306</v>
      </c>
      <c r="F14" s="109">
        <f t="shared" si="0"/>
        <v>1648991.1504424801</v>
      </c>
      <c r="Q14" s="111" t="s">
        <v>72</v>
      </c>
      <c r="AG14" s="106" t="s">
        <v>73</v>
      </c>
      <c r="AH14" s="111" t="s">
        <v>72</v>
      </c>
    </row>
    <row r="15" spans="1:35" ht="15.6">
      <c r="A15" s="105">
        <v>9</v>
      </c>
      <c r="B15" s="111" t="s">
        <v>74</v>
      </c>
      <c r="C15" s="109">
        <f>+C9-C10-C14</f>
        <v>731575.22123894398</v>
      </c>
      <c r="D15" s="109">
        <f>+D9-D10-D14</f>
        <v>731575.22123894398</v>
      </c>
      <c r="E15" s="109">
        <f>+E9-E10-E14</f>
        <v>110824.592920354</v>
      </c>
      <c r="F15" s="109">
        <f t="shared" si="0"/>
        <v>1573975.03539824</v>
      </c>
      <c r="Q15" s="111" t="s">
        <v>74</v>
      </c>
      <c r="AG15" s="106" t="s">
        <v>75</v>
      </c>
      <c r="AH15" s="111" t="s">
        <v>74</v>
      </c>
    </row>
    <row r="16" spans="1:35">
      <c r="A16" s="105">
        <v>10</v>
      </c>
      <c r="B16" s="106" t="s">
        <v>76</v>
      </c>
      <c r="C16" s="112">
        <f>+C15/C9</f>
        <v>0.10301308411215</v>
      </c>
      <c r="D16" s="112">
        <f>+D15/D9</f>
        <v>0.10301308411215</v>
      </c>
      <c r="E16" s="112">
        <f>+E15/E9</f>
        <v>0.83487859999999903</v>
      </c>
      <c r="F16" s="112">
        <f t="shared" ref="F16" si="1">+F15/F9</f>
        <v>0.10978961666666801</v>
      </c>
      <c r="G16" s="113"/>
      <c r="H16" s="113"/>
      <c r="I16" s="113"/>
      <c r="Q16" s="106" t="s">
        <v>76</v>
      </c>
      <c r="AG16" s="106" t="s">
        <v>77</v>
      </c>
      <c r="AH16" s="106" t="s">
        <v>76</v>
      </c>
    </row>
    <row r="17" spans="1:35">
      <c r="A17" s="105">
        <v>11</v>
      </c>
      <c r="B17" s="106" t="s">
        <v>78</v>
      </c>
      <c r="C17" s="109">
        <f>C6*C43+C18</f>
        <v>254732.300884956</v>
      </c>
      <c r="D17" s="109">
        <f>D6*D43+D18</f>
        <v>254732.300884956</v>
      </c>
      <c r="E17" s="109">
        <f>E6*E43+E18</f>
        <v>14172.5663716814</v>
      </c>
      <c r="F17" s="109">
        <f>+SUM(C17:E17)</f>
        <v>523637.16814159299</v>
      </c>
      <c r="G17" s="110"/>
      <c r="Q17" s="106" t="s">
        <v>78</v>
      </c>
      <c r="AG17" s="106" t="s">
        <v>79</v>
      </c>
      <c r="AH17" s="106" t="s">
        <v>78</v>
      </c>
    </row>
    <row r="18" spans="1:35" s="101" customFormat="1">
      <c r="A18" s="105">
        <v>12</v>
      </c>
      <c r="B18" s="114" t="s">
        <v>158</v>
      </c>
      <c r="C18" s="115">
        <f>$F$18/$F$6*C6</f>
        <v>4750</v>
      </c>
      <c r="D18" s="115">
        <f>$F$18/$F$6*D6</f>
        <v>4750</v>
      </c>
      <c r="E18" s="115">
        <f>$F$18/$F$6*E6</f>
        <v>9500</v>
      </c>
      <c r="F18" s="109">
        <f>项目投资!F26</f>
        <v>19000</v>
      </c>
      <c r="G18" s="116" t="s">
        <v>159</v>
      </c>
      <c r="H18" s="116"/>
      <c r="I18" s="116"/>
    </row>
    <row r="19" spans="1:35">
      <c r="A19" s="105">
        <v>13</v>
      </c>
      <c r="B19" s="106" t="s">
        <v>80</v>
      </c>
      <c r="C19" s="109">
        <f>C6*C44</f>
        <v>71017.699115044205</v>
      </c>
      <c r="D19" s="109">
        <f>D6*D44</f>
        <v>71017.699115044205</v>
      </c>
      <c r="E19" s="109">
        <f>E6*E44</f>
        <v>1327.4336283185901</v>
      </c>
      <c r="F19" s="109">
        <f>+SUM(C19:E19)</f>
        <v>143362.83185840701</v>
      </c>
      <c r="G19" s="101"/>
      <c r="Q19" s="106" t="s">
        <v>80</v>
      </c>
      <c r="AG19" s="106" t="s">
        <v>81</v>
      </c>
      <c r="AH19" s="106" t="s">
        <v>80</v>
      </c>
      <c r="AI19" s="103" t="s">
        <v>54</v>
      </c>
    </row>
    <row r="20" spans="1:35">
      <c r="A20" s="105">
        <v>14</v>
      </c>
      <c r="B20" s="106" t="s">
        <v>82</v>
      </c>
      <c r="C20" s="109">
        <f>C6*C45</f>
        <v>71017.699115044205</v>
      </c>
      <c r="D20" s="109">
        <f>D6*D45</f>
        <v>71017.699115044205</v>
      </c>
      <c r="E20" s="109">
        <f>E6*E45</f>
        <v>1327.4336283185901</v>
      </c>
      <c r="F20" s="109">
        <f>+SUM(C20:E20)</f>
        <v>143362.83185840701</v>
      </c>
      <c r="Q20" s="106" t="s">
        <v>82</v>
      </c>
      <c r="AG20" s="106" t="s">
        <v>83</v>
      </c>
      <c r="AH20" s="106" t="s">
        <v>82</v>
      </c>
    </row>
    <row r="21" spans="1:35">
      <c r="A21" s="105">
        <v>15</v>
      </c>
      <c r="B21" s="106" t="s">
        <v>84</v>
      </c>
      <c r="C21" s="117">
        <f>$F$21/$F$6*C6</f>
        <v>6666.6666666666697</v>
      </c>
      <c r="D21" s="117">
        <f>$F$21/$F$6*D6</f>
        <v>6666.6666666666697</v>
      </c>
      <c r="E21" s="117">
        <f>$F$21/$F$6*E6</f>
        <v>13333.333333333299</v>
      </c>
      <c r="F21" s="109">
        <f>项目投资!F27</f>
        <v>26666.666666666701</v>
      </c>
      <c r="Q21" s="106" t="s">
        <v>84</v>
      </c>
      <c r="AG21" s="106"/>
      <c r="AH21" s="106"/>
    </row>
    <row r="22" spans="1:35">
      <c r="A22" s="105">
        <v>16</v>
      </c>
      <c r="B22" s="106" t="s">
        <v>85</v>
      </c>
      <c r="C22" s="109">
        <f>C6*C47</f>
        <v>213053.09734513261</v>
      </c>
      <c r="D22" s="109">
        <f>D6*D47</f>
        <v>213053.09734513261</v>
      </c>
      <c r="E22" s="109">
        <f>E6*E47</f>
        <v>3982.300884955755</v>
      </c>
      <c r="F22" s="109">
        <f>+SUM(C22:E22)</f>
        <v>430088.49557522096</v>
      </c>
      <c r="Q22" s="106" t="s">
        <v>85</v>
      </c>
      <c r="AG22" s="106" t="s">
        <v>86</v>
      </c>
      <c r="AH22" s="106" t="s">
        <v>85</v>
      </c>
    </row>
    <row r="23" spans="1:35" ht="15.6">
      <c r="A23" s="105">
        <v>17</v>
      </c>
      <c r="B23" s="111" t="s">
        <v>87</v>
      </c>
      <c r="C23" s="117">
        <f>+C22+C21+C20+C19+C17</f>
        <v>616487.46312684368</v>
      </c>
      <c r="D23" s="117">
        <f>+D22+D21+D20+D19+D17</f>
        <v>616487.46312684368</v>
      </c>
      <c r="E23" s="117">
        <f>+E22+E21+E20+E19+E17</f>
        <v>34143.067846607635</v>
      </c>
      <c r="F23" s="117">
        <f t="shared" ref="F23" si="2">+F22+F21+F20+F19+F17</f>
        <v>1267117.9941002945</v>
      </c>
      <c r="Q23" s="111" t="s">
        <v>87</v>
      </c>
      <c r="AG23" s="106" t="s">
        <v>88</v>
      </c>
      <c r="AH23" s="111" t="s">
        <v>87</v>
      </c>
    </row>
    <row r="24" spans="1:35">
      <c r="A24" s="105">
        <v>18</v>
      </c>
      <c r="B24" s="118" t="s">
        <v>89</v>
      </c>
      <c r="C24" s="117">
        <f>+C15-C23</f>
        <v>115087.7581121003</v>
      </c>
      <c r="D24" s="117">
        <f>+D15-D23</f>
        <v>115087.7581121003</v>
      </c>
      <c r="E24" s="117">
        <f>+E15-E23</f>
        <v>76681.525073746365</v>
      </c>
      <c r="F24" s="117">
        <f t="shared" ref="F24" si="3">+F15-F23</f>
        <v>306857.04129794543</v>
      </c>
      <c r="H24" s="119"/>
      <c r="Q24" s="106" t="s">
        <v>89</v>
      </c>
      <c r="AG24" s="106" t="s">
        <v>90</v>
      </c>
      <c r="AH24" s="106" t="s">
        <v>89</v>
      </c>
    </row>
    <row r="25" spans="1:35">
      <c r="A25" s="105">
        <v>19</v>
      </c>
      <c r="B25" s="106" t="s">
        <v>160</v>
      </c>
      <c r="C25" s="117"/>
      <c r="D25" s="117"/>
      <c r="E25" s="117"/>
      <c r="F25" s="117">
        <f>IF(F24&lt;0,0,F24*0.25)</f>
        <v>76714.260324486357</v>
      </c>
      <c r="G25" s="2"/>
      <c r="H25" s="2"/>
      <c r="I25" s="2"/>
      <c r="Q25" s="106" t="s">
        <v>34</v>
      </c>
      <c r="AG25" s="106" t="s">
        <v>91</v>
      </c>
      <c r="AH25" s="106" t="s">
        <v>34</v>
      </c>
    </row>
    <row r="26" spans="1:35">
      <c r="A26" s="105">
        <v>20</v>
      </c>
      <c r="B26" s="106" t="s">
        <v>92</v>
      </c>
      <c r="C26" s="117">
        <f>C24-C25</f>
        <v>115087.7581121003</v>
      </c>
      <c r="D26" s="117">
        <f>D24-D25</f>
        <v>115087.7581121003</v>
      </c>
      <c r="E26" s="117">
        <f>E24-E25</f>
        <v>76681.525073746365</v>
      </c>
      <c r="F26" s="109">
        <f>F24-F25</f>
        <v>230142.78097345907</v>
      </c>
      <c r="G26" s="2"/>
      <c r="H26" s="2"/>
      <c r="I26" s="2"/>
      <c r="Q26" s="106" t="s">
        <v>92</v>
      </c>
      <c r="AG26" s="106" t="s">
        <v>93</v>
      </c>
      <c r="AH26" s="106" t="s">
        <v>92</v>
      </c>
    </row>
    <row r="27" spans="1:35">
      <c r="A27" s="105">
        <v>21</v>
      </c>
      <c r="B27" s="106" t="s">
        <v>96</v>
      </c>
      <c r="C27" s="120">
        <f>C26/C7</f>
        <v>1.6205503634476419E-2</v>
      </c>
      <c r="D27" s="120">
        <f>D26/D7</f>
        <v>1.6205503634476419E-2</v>
      </c>
      <c r="E27" s="120">
        <f>E26/E7</f>
        <v>0.57766748888889108</v>
      </c>
      <c r="F27" s="121">
        <f t="shared" ref="F27" si="4">F26/F7</f>
        <v>1.6053169290124007E-2</v>
      </c>
      <c r="G27" s="2"/>
      <c r="H27" s="2"/>
      <c r="I27" s="2"/>
      <c r="Q27" s="106" t="s">
        <v>96</v>
      </c>
      <c r="AG27" s="106" t="s">
        <v>95</v>
      </c>
      <c r="AH27" s="106" t="s">
        <v>96</v>
      </c>
    </row>
    <row r="28" spans="1:35">
      <c r="G28" s="2"/>
      <c r="H28" s="2"/>
      <c r="I28" s="2"/>
      <c r="Q28" s="106"/>
    </row>
    <row r="29" spans="1:35">
      <c r="A29" s="103" t="s">
        <v>97</v>
      </c>
      <c r="F29" s="104" t="s">
        <v>161</v>
      </c>
      <c r="G29" s="2"/>
      <c r="H29" s="2"/>
      <c r="I29" s="2"/>
      <c r="Q29" s="106"/>
      <c r="AG29" s="103" t="s">
        <v>97</v>
      </c>
    </row>
    <row r="30" spans="1:35" ht="15.6">
      <c r="A30" s="106" t="s">
        <v>98</v>
      </c>
      <c r="B30" s="111" t="s">
        <v>99</v>
      </c>
      <c r="C30" s="117"/>
      <c r="D30" s="117"/>
      <c r="E30" s="117"/>
      <c r="F30" s="117"/>
      <c r="G30" s="2"/>
      <c r="H30" s="2"/>
      <c r="I30" s="2"/>
      <c r="K30" s="2"/>
      <c r="Q30" s="111" t="s">
        <v>99</v>
      </c>
      <c r="AG30" s="106" t="s">
        <v>100</v>
      </c>
      <c r="AH30" s="111" t="s">
        <v>99</v>
      </c>
    </row>
    <row r="31" spans="1:35">
      <c r="A31" s="105">
        <v>1</v>
      </c>
      <c r="B31" s="114" t="s">
        <v>101</v>
      </c>
      <c r="C31" s="122">
        <f>销量!C8</f>
        <v>473.45132743362802</v>
      </c>
      <c r="D31" s="122">
        <f>销量!D8</f>
        <v>473.45132743362802</v>
      </c>
      <c r="E31" s="122">
        <f>销量!E8</f>
        <v>4.4247787610619502</v>
      </c>
      <c r="F31" s="117"/>
      <c r="G31" s="2"/>
      <c r="H31" s="2"/>
      <c r="I31" s="2"/>
      <c r="K31" s="2"/>
      <c r="Q31" s="106" t="s">
        <v>101</v>
      </c>
      <c r="AG31" s="106" t="s">
        <v>56</v>
      </c>
      <c r="AH31" s="106" t="s">
        <v>101</v>
      </c>
    </row>
    <row r="32" spans="1:35">
      <c r="A32" s="105">
        <v>2</v>
      </c>
      <c r="B32" s="106" t="s">
        <v>162</v>
      </c>
      <c r="C32" s="109">
        <f>C31*1</f>
        <v>473.45132743362802</v>
      </c>
      <c r="D32" s="109">
        <f>D31*1</f>
        <v>473.45132743362802</v>
      </c>
      <c r="E32" s="109">
        <f>E31*1</f>
        <v>4.4247787610619502</v>
      </c>
      <c r="F32" s="117"/>
      <c r="G32" s="2"/>
      <c r="H32" s="2"/>
      <c r="I32" s="2"/>
      <c r="J32" s="2"/>
      <c r="K32" s="2"/>
      <c r="L32" s="2"/>
      <c r="M32" s="2"/>
      <c r="AG32" s="106"/>
      <c r="AH32" s="106"/>
    </row>
    <row r="33" spans="1:34">
      <c r="A33" s="105">
        <v>3</v>
      </c>
      <c r="B33" s="114" t="s">
        <v>102</v>
      </c>
      <c r="C33" s="109">
        <f>材料成本!D28</f>
        <v>370</v>
      </c>
      <c r="D33" s="109">
        <f>材料成本!E28</f>
        <v>370</v>
      </c>
      <c r="E33" s="109">
        <f>材料成本!F28</f>
        <v>0.44390000000000002</v>
      </c>
      <c r="F33" s="117"/>
      <c r="H33" s="2"/>
      <c r="I33" s="2"/>
      <c r="J33" s="2"/>
      <c r="K33" s="2"/>
      <c r="L33" s="2"/>
      <c r="M33" s="2"/>
      <c r="Q33" s="106" t="s">
        <v>102</v>
      </c>
      <c r="AG33" s="106" t="s">
        <v>58</v>
      </c>
      <c r="AH33" s="106" t="s">
        <v>102</v>
      </c>
    </row>
    <row r="34" spans="1:34" ht="17.25" customHeight="1">
      <c r="A34" s="105">
        <v>4</v>
      </c>
      <c r="B34" s="106" t="s">
        <v>104</v>
      </c>
      <c r="C34" s="123">
        <f>C32-C33</f>
        <v>103.45132743362799</v>
      </c>
      <c r="D34" s="123">
        <f>D32-D33</f>
        <v>103.45132743362799</v>
      </c>
      <c r="E34" s="123">
        <f>E32-E33</f>
        <v>3.98087876106195</v>
      </c>
      <c r="F34" s="117"/>
      <c r="H34" s="2"/>
      <c r="I34" s="2"/>
      <c r="J34" s="2"/>
      <c r="K34" s="2"/>
      <c r="L34" s="2"/>
      <c r="M34" s="2"/>
      <c r="Q34" s="106" t="s">
        <v>104</v>
      </c>
      <c r="AG34" s="106" t="s">
        <v>103</v>
      </c>
      <c r="AH34" s="106" t="s">
        <v>104</v>
      </c>
    </row>
    <row r="35" spans="1:34" ht="15.6">
      <c r="A35" s="106" t="s">
        <v>100</v>
      </c>
      <c r="B35" s="111" t="s">
        <v>7</v>
      </c>
      <c r="C35" s="117"/>
      <c r="D35" s="117"/>
      <c r="E35" s="117"/>
      <c r="F35" s="117"/>
      <c r="G35" s="2"/>
      <c r="H35" s="2"/>
      <c r="I35" s="2"/>
      <c r="J35" s="2"/>
      <c r="K35" s="2"/>
      <c r="L35" s="2"/>
      <c r="M35" s="2"/>
      <c r="N35" s="2"/>
      <c r="O35" s="2"/>
      <c r="P35" s="2"/>
      <c r="Q35" s="111" t="s">
        <v>7</v>
      </c>
      <c r="AG35" s="106" t="s">
        <v>106</v>
      </c>
      <c r="AH35" s="111" t="s">
        <v>7</v>
      </c>
    </row>
    <row r="36" spans="1:34">
      <c r="A36" s="105">
        <v>1</v>
      </c>
      <c r="B36" s="106" t="s">
        <v>107</v>
      </c>
      <c r="C36" s="115">
        <f>标准成本!E4</f>
        <v>15.671238938053101</v>
      </c>
      <c r="D36" s="115">
        <f>标准成本!E16</f>
        <v>15.671238938053101</v>
      </c>
      <c r="E36" s="115">
        <f>标准成本!E29</f>
        <v>0.14646017699115099</v>
      </c>
      <c r="F36" s="122"/>
      <c r="G36" s="2"/>
      <c r="H36" s="2"/>
      <c r="I36" s="2"/>
      <c r="J36" s="2"/>
      <c r="K36" s="2"/>
      <c r="L36" s="2"/>
      <c r="M36" s="2"/>
      <c r="N36" s="2"/>
      <c r="O36" s="2"/>
      <c r="P36" s="2"/>
      <c r="Q36" s="106" t="s">
        <v>107</v>
      </c>
      <c r="AG36" s="106" t="s">
        <v>103</v>
      </c>
      <c r="AH36" s="106" t="s">
        <v>107</v>
      </c>
    </row>
    <row r="37" spans="1:34">
      <c r="A37" s="105">
        <v>2</v>
      </c>
      <c r="B37" s="106" t="s">
        <v>108</v>
      </c>
      <c r="C37" s="115">
        <f>标准成本!E6</f>
        <v>10.273893805309701</v>
      </c>
      <c r="D37" s="115">
        <f>标准成本!E18</f>
        <v>10.273893805309701</v>
      </c>
      <c r="E37" s="115">
        <f>标准成本!E31</f>
        <v>9.6017699115044305E-2</v>
      </c>
      <c r="F37" s="122"/>
      <c r="G37" s="2"/>
      <c r="H37" s="2"/>
      <c r="I37" s="2"/>
      <c r="J37" s="2"/>
      <c r="K37" s="2"/>
      <c r="L37" s="2"/>
      <c r="M37" s="2"/>
      <c r="N37" s="2"/>
      <c r="O37" s="2"/>
      <c r="P37" s="2"/>
      <c r="Q37" s="106" t="s">
        <v>108</v>
      </c>
      <c r="AG37" s="106" t="s">
        <v>61</v>
      </c>
      <c r="AH37" s="106" t="s">
        <v>108</v>
      </c>
    </row>
    <row r="38" spans="1:34">
      <c r="A38" s="105">
        <v>3</v>
      </c>
      <c r="B38" s="106" t="s">
        <v>109</v>
      </c>
      <c r="C38" s="115">
        <f>标准成本!E10</f>
        <v>28.734513274336301</v>
      </c>
      <c r="D38" s="115">
        <f>标准成本!E22</f>
        <v>28.734513274336301</v>
      </c>
      <c r="E38" s="115">
        <f>标准成本!E35</f>
        <v>4.4247787610619503E-2</v>
      </c>
      <c r="F38" s="122"/>
      <c r="G38" s="2"/>
      <c r="H38" s="2"/>
      <c r="I38" s="2"/>
      <c r="J38" s="2"/>
      <c r="K38" s="2"/>
      <c r="L38" s="2"/>
      <c r="M38" s="2"/>
      <c r="N38" s="2"/>
      <c r="O38" s="2"/>
      <c r="P38" s="2"/>
      <c r="Q38" s="106" t="s">
        <v>109</v>
      </c>
      <c r="AG38" s="106" t="s">
        <v>67</v>
      </c>
      <c r="AH38" s="106" t="s">
        <v>109</v>
      </c>
    </row>
    <row r="39" spans="1:34" ht="15.6">
      <c r="A39" s="106" t="s">
        <v>106</v>
      </c>
      <c r="B39" s="111" t="s">
        <v>111</v>
      </c>
      <c r="C39" s="117"/>
      <c r="D39" s="117"/>
      <c r="E39" s="117"/>
      <c r="F39" s="117"/>
      <c r="Q39" s="111" t="s">
        <v>111</v>
      </c>
      <c r="AG39" s="106" t="s">
        <v>110</v>
      </c>
      <c r="AH39" s="111" t="s">
        <v>111</v>
      </c>
    </row>
    <row r="40" spans="1:34">
      <c r="A40" s="105">
        <v>1</v>
      </c>
      <c r="B40" s="106" t="s">
        <v>113</v>
      </c>
      <c r="C40" s="117">
        <f>C34-C36-C37-C38</f>
        <v>48.771681415928903</v>
      </c>
      <c r="D40" s="117">
        <f>D34-D36-D37-D38</f>
        <v>48.771681415928903</v>
      </c>
      <c r="E40" s="117">
        <f>E34-E36-E37-E38</f>
        <v>3.69415309734514</v>
      </c>
      <c r="F40" s="117"/>
      <c r="Q40" s="106" t="s">
        <v>113</v>
      </c>
      <c r="AG40" s="106" t="s">
        <v>56</v>
      </c>
      <c r="AH40" s="106" t="s">
        <v>113</v>
      </c>
    </row>
    <row r="41" spans="1:34">
      <c r="A41" s="105">
        <v>2</v>
      </c>
      <c r="B41" s="106" t="s">
        <v>114</v>
      </c>
      <c r="C41" s="117"/>
      <c r="D41" s="117"/>
      <c r="E41" s="117"/>
      <c r="F41" s="117"/>
      <c r="Q41" s="106" t="s">
        <v>114</v>
      </c>
      <c r="AG41" s="106" t="s">
        <v>58</v>
      </c>
      <c r="AH41" s="106" t="s">
        <v>114</v>
      </c>
    </row>
    <row r="42" spans="1:34" ht="15.6">
      <c r="A42" s="106" t="s">
        <v>110</v>
      </c>
      <c r="B42" s="111" t="s">
        <v>116</v>
      </c>
      <c r="C42" s="117"/>
      <c r="D42" s="117"/>
      <c r="E42" s="117"/>
      <c r="F42" s="117"/>
      <c r="Q42" s="111" t="s">
        <v>116</v>
      </c>
      <c r="AG42" s="106" t="s">
        <v>115</v>
      </c>
      <c r="AH42" s="111" t="s">
        <v>116</v>
      </c>
    </row>
    <row r="43" spans="1:34">
      <c r="A43" s="105">
        <v>1</v>
      </c>
      <c r="B43" s="118" t="s">
        <v>117</v>
      </c>
      <c r="C43" s="115">
        <f>标准成本!E5</f>
        <v>16.665486725663701</v>
      </c>
      <c r="D43" s="115">
        <f>标准成本!E17</f>
        <v>16.665486725663701</v>
      </c>
      <c r="E43" s="115">
        <f>标准成本!E30</f>
        <v>0.155752212389381</v>
      </c>
      <c r="F43" s="117"/>
      <c r="Q43" s="106" t="s">
        <v>117</v>
      </c>
      <c r="AG43" s="106" t="s">
        <v>56</v>
      </c>
      <c r="AH43" s="106" t="s">
        <v>117</v>
      </c>
    </row>
    <row r="44" spans="1:34">
      <c r="A44" s="105">
        <v>2</v>
      </c>
      <c r="B44" s="118" t="s">
        <v>118</v>
      </c>
      <c r="C44" s="115">
        <f>标准成本!E9</f>
        <v>4.7345132743362797</v>
      </c>
      <c r="D44" s="115">
        <f>标准成本!E21</f>
        <v>4.7345132743362797</v>
      </c>
      <c r="E44" s="115">
        <f>标准成本!E34</f>
        <v>4.4247787610619503E-2</v>
      </c>
      <c r="F44" s="117"/>
      <c r="Q44" s="106" t="s">
        <v>118</v>
      </c>
      <c r="AG44" s="106" t="s">
        <v>58</v>
      </c>
      <c r="AH44" s="106" t="s">
        <v>118</v>
      </c>
    </row>
    <row r="45" spans="1:34">
      <c r="A45" s="105">
        <v>3</v>
      </c>
      <c r="B45" s="118" t="s">
        <v>119</v>
      </c>
      <c r="C45" s="115">
        <f>标准成本!E8</f>
        <v>4.7345132743362797</v>
      </c>
      <c r="D45" s="115">
        <f>标准成本!E20</f>
        <v>4.7345132743362797</v>
      </c>
      <c r="E45" s="115">
        <f>标准成本!E33</f>
        <v>4.4247787610619503E-2</v>
      </c>
      <c r="F45" s="117"/>
      <c r="Q45" s="106" t="s">
        <v>119</v>
      </c>
      <c r="AG45" s="106" t="s">
        <v>103</v>
      </c>
      <c r="AH45" s="106" t="s">
        <v>119</v>
      </c>
    </row>
    <row r="46" spans="1:34" s="102" customFormat="1">
      <c r="A46" s="105">
        <v>4</v>
      </c>
      <c r="B46" s="118" t="s">
        <v>120</v>
      </c>
      <c r="C46" s="124">
        <f>C21/C6</f>
        <v>0.44444444444444398</v>
      </c>
      <c r="D46" s="124">
        <f>D21/D6</f>
        <v>0.44444444444444398</v>
      </c>
      <c r="E46" s="124">
        <f>E21/E6</f>
        <v>0.44444444444444398</v>
      </c>
      <c r="F46" s="124"/>
      <c r="Q46" s="118" t="s">
        <v>122</v>
      </c>
      <c r="AG46" s="118" t="s">
        <v>63</v>
      </c>
      <c r="AH46" s="118" t="s">
        <v>122</v>
      </c>
    </row>
    <row r="47" spans="1:34" s="102" customFormat="1">
      <c r="A47" s="105">
        <v>5</v>
      </c>
      <c r="B47" s="118" t="s">
        <v>122</v>
      </c>
      <c r="C47" s="124">
        <f>标准成本!E11</f>
        <v>14.203539823008841</v>
      </c>
      <c r="D47" s="124">
        <f>标准成本!E23</f>
        <v>14.203539823008841</v>
      </c>
      <c r="E47" s="124">
        <f>标准成本!E36</f>
        <v>0.1327433628318585</v>
      </c>
      <c r="F47" s="124"/>
      <c r="Q47" s="118" t="s">
        <v>122</v>
      </c>
      <c r="AG47" s="118" t="s">
        <v>63</v>
      </c>
      <c r="AH47" s="118" t="s">
        <v>122</v>
      </c>
    </row>
    <row r="48" spans="1:34" ht="15.6">
      <c r="A48" s="106" t="s">
        <v>115</v>
      </c>
      <c r="B48" s="111" t="s">
        <v>133</v>
      </c>
      <c r="C48" s="117">
        <f>C40-C43-C44-C45-C47-C46</f>
        <v>7.9891838741393544</v>
      </c>
      <c r="D48" s="117">
        <f>D40-D43-D44-D45-D47-D46</f>
        <v>7.9891838741393544</v>
      </c>
      <c r="E48" s="117">
        <f>E40-E43-E44-E45-E47-E46</f>
        <v>2.8727175024582179</v>
      </c>
      <c r="F48" s="117"/>
      <c r="Q48" s="111" t="s">
        <v>133</v>
      </c>
      <c r="AG48" s="106" t="s">
        <v>132</v>
      </c>
      <c r="AH48" s="111" t="s">
        <v>133</v>
      </c>
    </row>
    <row r="51" spans="2:11">
      <c r="C51" s="125"/>
      <c r="D51" s="125"/>
      <c r="E51" s="125"/>
    </row>
    <row r="54" spans="2:11">
      <c r="B54" s="2"/>
      <c r="C54" s="126"/>
      <c r="D54" s="126"/>
      <c r="E54" s="126"/>
      <c r="F54" s="126"/>
      <c r="G54" s="2"/>
      <c r="H54" s="2"/>
      <c r="I54" s="2"/>
      <c r="J54" s="2"/>
      <c r="K54" s="2"/>
    </row>
    <row r="55" spans="2:11">
      <c r="B55" s="2"/>
      <c r="C55" s="126"/>
      <c r="D55" s="126"/>
      <c r="E55" s="126"/>
      <c r="F55" s="126"/>
      <c r="G55" s="2"/>
      <c r="H55" s="2"/>
      <c r="I55" s="2"/>
      <c r="J55" s="2"/>
      <c r="K55" s="2"/>
    </row>
    <row r="56" spans="2:11">
      <c r="B56" s="2"/>
      <c r="C56" s="126"/>
      <c r="D56" s="126"/>
      <c r="E56" s="126"/>
      <c r="F56" s="126"/>
      <c r="G56" s="2"/>
      <c r="H56" s="2"/>
      <c r="I56" s="2"/>
      <c r="J56" s="2"/>
      <c r="K56" s="2"/>
    </row>
    <row r="57" spans="2:11">
      <c r="B57" s="2"/>
      <c r="C57" s="126"/>
      <c r="D57" s="126"/>
      <c r="E57" s="126"/>
      <c r="F57" s="126"/>
      <c r="G57" s="2"/>
      <c r="H57" s="2"/>
      <c r="I57" s="2"/>
      <c r="J57" s="2"/>
      <c r="K57" s="2"/>
    </row>
    <row r="58" spans="2:11">
      <c r="B58" s="2"/>
      <c r="C58" s="126"/>
      <c r="D58" s="126"/>
      <c r="E58" s="126"/>
      <c r="F58" s="126"/>
      <c r="G58" s="2"/>
      <c r="H58" s="2"/>
      <c r="I58" s="2"/>
      <c r="J58" s="2"/>
      <c r="K58" s="2"/>
    </row>
    <row r="59" spans="2:11">
      <c r="B59" s="2"/>
      <c r="C59" s="126"/>
      <c r="D59" s="126"/>
      <c r="E59" s="126"/>
      <c r="F59" s="126"/>
      <c r="G59" s="2"/>
      <c r="H59" s="2"/>
      <c r="I59" s="2"/>
      <c r="J59" s="2"/>
      <c r="K59" s="2"/>
    </row>
    <row r="60" spans="2:11">
      <c r="B60" s="2"/>
      <c r="C60" s="126"/>
      <c r="D60" s="126"/>
      <c r="E60" s="126"/>
      <c r="F60" s="126"/>
      <c r="G60" s="2"/>
      <c r="H60" s="2"/>
      <c r="I60" s="2"/>
      <c r="J60" s="2"/>
      <c r="K60" s="2"/>
    </row>
    <row r="61" spans="2:11">
      <c r="B61" s="2"/>
      <c r="C61" s="126"/>
      <c r="D61" s="126"/>
      <c r="E61" s="126"/>
      <c r="F61" s="126"/>
      <c r="G61" s="2"/>
      <c r="H61" s="2"/>
      <c r="I61" s="2"/>
      <c r="J61" s="2"/>
      <c r="K61" s="2"/>
    </row>
    <row r="62" spans="2:11">
      <c r="B62" s="2"/>
      <c r="C62" s="126"/>
      <c r="D62" s="126"/>
      <c r="E62" s="126"/>
      <c r="F62" s="126"/>
      <c r="G62" s="2"/>
      <c r="H62" s="2"/>
      <c r="I62" s="2"/>
      <c r="J62" s="2"/>
      <c r="K62" s="2"/>
    </row>
    <row r="63" spans="2:11">
      <c r="B63" s="2"/>
      <c r="C63" s="126"/>
      <c r="D63" s="126"/>
      <c r="E63" s="126"/>
      <c r="F63" s="126"/>
      <c r="G63" s="2"/>
      <c r="H63" s="2"/>
      <c r="I63" s="2"/>
      <c r="J63" s="2"/>
      <c r="K63" s="2"/>
    </row>
    <row r="64" spans="2:11">
      <c r="B64" s="2"/>
      <c r="C64" s="126"/>
      <c r="D64" s="126"/>
      <c r="E64" s="126"/>
      <c r="F64" s="126"/>
      <c r="G64" s="2"/>
      <c r="H64" s="2"/>
      <c r="I64" s="2"/>
      <c r="J64" s="2"/>
      <c r="K64" s="2"/>
    </row>
    <row r="65" spans="2:11">
      <c r="B65" s="2"/>
      <c r="C65" s="126"/>
      <c r="D65" s="126"/>
      <c r="E65" s="126"/>
      <c r="F65" s="126"/>
      <c r="G65" s="2"/>
      <c r="H65" s="2"/>
      <c r="I65" s="2"/>
      <c r="J65" s="2"/>
      <c r="K65" s="2"/>
    </row>
    <row r="66" spans="2:11">
      <c r="B66" s="2"/>
      <c r="C66" s="126"/>
      <c r="D66" s="126"/>
      <c r="E66" s="126"/>
      <c r="F66" s="126"/>
      <c r="G66" s="2"/>
      <c r="H66" s="2"/>
      <c r="I66" s="2"/>
      <c r="J66" s="2"/>
      <c r="K66" s="2"/>
    </row>
    <row r="67" spans="2:11">
      <c r="B67" s="2"/>
      <c r="C67" s="126"/>
      <c r="D67" s="126"/>
      <c r="E67" s="126"/>
      <c r="F67" s="126"/>
      <c r="G67" s="2"/>
    </row>
    <row r="68" spans="2:11">
      <c r="B68" s="2"/>
      <c r="C68" s="126"/>
      <c r="D68" s="126"/>
      <c r="E68" s="126"/>
      <c r="F68" s="126"/>
      <c r="G68" s="2"/>
    </row>
    <row r="69" spans="2:11">
      <c r="B69" s="2"/>
      <c r="C69" s="126"/>
      <c r="D69" s="126"/>
      <c r="E69" s="126"/>
      <c r="F69" s="126"/>
      <c r="G69" s="2"/>
    </row>
    <row r="70" spans="2:11">
      <c r="B70" s="2"/>
      <c r="C70" s="126"/>
      <c r="D70" s="126"/>
      <c r="E70" s="126"/>
      <c r="F70" s="126"/>
      <c r="G70" s="2"/>
    </row>
    <row r="71" spans="2:11">
      <c r="B71" s="2"/>
      <c r="C71" s="126"/>
      <c r="D71" s="126"/>
      <c r="E71" s="126"/>
      <c r="F71" s="126"/>
      <c r="G71" s="2"/>
    </row>
    <row r="72" spans="2:11">
      <c r="B72" s="2"/>
      <c r="C72" s="126"/>
      <c r="D72" s="126"/>
      <c r="E72" s="126"/>
      <c r="F72" s="126"/>
      <c r="G72" s="2"/>
    </row>
    <row r="73" spans="2:11">
      <c r="B73" s="2"/>
      <c r="C73" s="126"/>
      <c r="D73" s="126"/>
      <c r="E73" s="126"/>
      <c r="F73" s="126"/>
      <c r="G73" s="2"/>
    </row>
    <row r="74" spans="2:11">
      <c r="B74" s="2"/>
      <c r="C74" s="126"/>
      <c r="D74" s="126"/>
      <c r="E74" s="126"/>
      <c r="F74" s="126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C19" sqref="C19"/>
    </sheetView>
  </sheetViews>
  <sheetFormatPr defaultColWidth="9" defaultRowHeight="14.4"/>
  <cols>
    <col min="1" max="1" width="19.44140625" customWidth="1"/>
    <col min="2" max="2" width="14.88671875" style="71" customWidth="1"/>
    <col min="3" max="3" width="9.21875" customWidth="1"/>
    <col min="4" max="4" width="15.44140625" customWidth="1"/>
    <col min="5" max="5" width="19.21875" customWidth="1"/>
    <col min="6" max="6" width="15.44140625" customWidth="1"/>
    <col min="7" max="7" width="20.44140625" customWidth="1"/>
    <col min="8" max="8" width="13" customWidth="1"/>
    <col min="9" max="9" width="14.88671875" customWidth="1"/>
    <col min="10" max="10" width="13" customWidth="1"/>
  </cols>
  <sheetData>
    <row r="1" spans="1:10" ht="20.399999999999999">
      <c r="A1" s="215" t="s">
        <v>165</v>
      </c>
      <c r="B1" s="215"/>
      <c r="C1" s="215"/>
      <c r="E1" s="216" t="s">
        <v>166</v>
      </c>
      <c r="F1" s="217"/>
      <c r="G1" s="217"/>
      <c r="H1" s="218"/>
    </row>
    <row r="2" spans="1:10" ht="23.4" customHeight="1">
      <c r="A2" s="72" t="s">
        <v>1</v>
      </c>
      <c r="B2" s="73" t="s">
        <v>167</v>
      </c>
      <c r="C2" s="74" t="s">
        <v>168</v>
      </c>
      <c r="E2" s="75" t="s">
        <v>169</v>
      </c>
      <c r="F2" s="75" t="s">
        <v>1</v>
      </c>
      <c r="G2" s="76" t="s">
        <v>170</v>
      </c>
      <c r="H2" s="75" t="s">
        <v>168</v>
      </c>
    </row>
    <row r="3" spans="1:10" ht="15.75" customHeight="1">
      <c r="A3" s="77" t="s">
        <v>171</v>
      </c>
      <c r="B3" s="78"/>
      <c r="C3" s="79"/>
      <c r="E3" s="223" t="s">
        <v>172</v>
      </c>
      <c r="F3" s="80" t="s">
        <v>173</v>
      </c>
      <c r="G3" s="81">
        <v>0</v>
      </c>
      <c r="H3" s="80"/>
    </row>
    <row r="4" spans="1:10" ht="15.75" customHeight="1">
      <c r="A4" s="77" t="s">
        <v>174</v>
      </c>
      <c r="B4" s="78"/>
      <c r="C4" s="82"/>
      <c r="E4" s="224"/>
      <c r="F4" s="80" t="s">
        <v>175</v>
      </c>
      <c r="G4" s="81"/>
      <c r="H4" s="80"/>
    </row>
    <row r="5" spans="1:10" ht="15.75" customHeight="1">
      <c r="A5" s="77" t="s">
        <v>176</v>
      </c>
      <c r="B5" s="83">
        <f>SUM(G3:G4)</f>
        <v>0</v>
      </c>
      <c r="C5" s="79"/>
      <c r="E5" s="225" t="s">
        <v>177</v>
      </c>
      <c r="F5" s="84" t="s">
        <v>178</v>
      </c>
      <c r="G5" s="81"/>
      <c r="H5" s="84"/>
    </row>
    <row r="6" spans="1:10" ht="15.75" customHeight="1">
      <c r="A6" s="77" t="s">
        <v>179</v>
      </c>
      <c r="B6" s="78"/>
      <c r="C6" s="79"/>
      <c r="E6" s="226"/>
      <c r="F6" s="84" t="s">
        <v>180</v>
      </c>
      <c r="G6" s="81">
        <v>6</v>
      </c>
      <c r="H6" s="80"/>
      <c r="J6">
        <v>10000</v>
      </c>
    </row>
    <row r="7" spans="1:10" ht="15.75" customHeight="1">
      <c r="A7" s="85" t="s">
        <v>181</v>
      </c>
      <c r="B7" s="83">
        <f>SUM(B3:B6)</f>
        <v>0</v>
      </c>
      <c r="C7" s="79"/>
      <c r="E7" s="226"/>
      <c r="F7" s="84" t="s">
        <v>182</v>
      </c>
      <c r="G7" s="81"/>
      <c r="H7" s="80"/>
    </row>
    <row r="8" spans="1:10" ht="15.75" customHeight="1">
      <c r="A8" s="86" t="s">
        <v>183</v>
      </c>
      <c r="B8" s="83">
        <f>SUM(G5:G12)</f>
        <v>6</v>
      </c>
      <c r="C8" s="87"/>
      <c r="E8" s="226"/>
      <c r="F8" s="84" t="s">
        <v>184</v>
      </c>
      <c r="G8" s="88"/>
      <c r="H8" s="80"/>
    </row>
    <row r="9" spans="1:10" ht="15.75" customHeight="1">
      <c r="A9" s="77" t="s">
        <v>185</v>
      </c>
      <c r="B9" s="83">
        <f>SUM(G13:G21)</f>
        <v>8</v>
      </c>
      <c r="C9" s="79"/>
      <c r="E9" s="226"/>
      <c r="F9" s="80" t="s">
        <v>186</v>
      </c>
      <c r="G9" s="89"/>
      <c r="H9" s="90"/>
    </row>
    <row r="10" spans="1:10" ht="15.75" customHeight="1">
      <c r="A10" s="82" t="s">
        <v>52</v>
      </c>
      <c r="B10" s="83">
        <f>B7+B8+B9</f>
        <v>14</v>
      </c>
      <c r="C10" s="79"/>
      <c r="E10" s="226"/>
      <c r="F10" s="80" t="s">
        <v>187</v>
      </c>
      <c r="G10" s="91"/>
      <c r="H10" s="80"/>
    </row>
    <row r="11" spans="1:10" ht="15.75" customHeight="1">
      <c r="E11" s="226"/>
      <c r="F11" s="80" t="s">
        <v>188</v>
      </c>
      <c r="G11" s="91"/>
      <c r="H11" s="80"/>
    </row>
    <row r="12" spans="1:10" ht="15.75" customHeight="1">
      <c r="E12" s="227"/>
      <c r="F12" s="80" t="s">
        <v>189</v>
      </c>
      <c r="G12" s="81"/>
      <c r="H12" s="90"/>
    </row>
    <row r="13" spans="1:10" ht="15.75" customHeight="1">
      <c r="E13" s="223" t="s">
        <v>84</v>
      </c>
      <c r="F13" s="80" t="s">
        <v>190</v>
      </c>
      <c r="G13" s="81"/>
      <c r="H13" s="92"/>
    </row>
    <row r="14" spans="1:10" ht="15.75" customHeight="1">
      <c r="E14" s="224"/>
      <c r="F14" s="80" t="s">
        <v>191</v>
      </c>
      <c r="G14" s="81"/>
      <c r="H14" s="80"/>
    </row>
    <row r="15" spans="1:10" ht="15.75" customHeight="1">
      <c r="E15" s="224"/>
      <c r="F15" s="80" t="s">
        <v>192</v>
      </c>
      <c r="G15" s="81"/>
      <c r="H15" s="80"/>
    </row>
    <row r="16" spans="1:10" ht="15.75" customHeight="1">
      <c r="E16" s="224"/>
      <c r="F16" s="80" t="s">
        <v>193</v>
      </c>
      <c r="G16" s="81"/>
      <c r="H16" s="80"/>
    </row>
    <row r="17" spans="1:10" ht="15.75" customHeight="1">
      <c r="E17" s="224"/>
      <c r="F17" s="80" t="s">
        <v>194</v>
      </c>
      <c r="G17" s="81"/>
      <c r="H17" s="80"/>
    </row>
    <row r="18" spans="1:10" ht="15.75" customHeight="1">
      <c r="E18" s="224"/>
      <c r="F18" s="80" t="s">
        <v>195</v>
      </c>
      <c r="G18" s="81">
        <v>3</v>
      </c>
      <c r="H18" s="80"/>
    </row>
    <row r="19" spans="1:10" ht="15.75" customHeight="1">
      <c r="E19" s="224"/>
      <c r="F19" s="80" t="s">
        <v>196</v>
      </c>
      <c r="G19" s="81">
        <v>5</v>
      </c>
      <c r="H19" s="80"/>
    </row>
    <row r="20" spans="1:10" ht="15.75" customHeight="1">
      <c r="E20" s="224"/>
      <c r="F20" s="80" t="s">
        <v>197</v>
      </c>
      <c r="G20" s="81"/>
      <c r="H20" s="80"/>
    </row>
    <row r="21" spans="1:10" ht="15.75" customHeight="1">
      <c r="E21" s="228"/>
      <c r="F21" s="80" t="s">
        <v>35</v>
      </c>
      <c r="G21" s="81"/>
      <c r="H21" s="80"/>
    </row>
    <row r="22" spans="1:10" ht="15.75" customHeight="1">
      <c r="E22" s="75" t="s">
        <v>52</v>
      </c>
      <c r="F22" s="80"/>
      <c r="G22" s="76">
        <f>SUM(G3:G21)</f>
        <v>14</v>
      </c>
      <c r="H22" s="80"/>
    </row>
    <row r="23" spans="1:10" ht="30.75" customHeight="1">
      <c r="E23" s="219" t="s">
        <v>198</v>
      </c>
      <c r="F23" s="219"/>
      <c r="G23" s="219"/>
      <c r="H23" s="219"/>
    </row>
    <row r="25" spans="1:10" ht="17.399999999999999">
      <c r="A25" s="93" t="s">
        <v>1</v>
      </c>
      <c r="B25" s="93" t="s">
        <v>167</v>
      </c>
      <c r="C25" s="93" t="s">
        <v>199</v>
      </c>
      <c r="D25" s="94" t="s">
        <v>49</v>
      </c>
      <c r="E25" s="94" t="s">
        <v>50</v>
      </c>
      <c r="F25" s="94" t="s">
        <v>51</v>
      </c>
      <c r="G25" s="94" t="s">
        <v>200</v>
      </c>
      <c r="H25" s="94" t="s">
        <v>201</v>
      </c>
      <c r="I25" s="94" t="s">
        <v>52</v>
      </c>
      <c r="J25" s="99" t="s">
        <v>202</v>
      </c>
    </row>
    <row r="26" spans="1:10" ht="16.2">
      <c r="A26" s="95" t="s">
        <v>158</v>
      </c>
      <c r="B26" s="96">
        <f>(B5+B8)*10000</f>
        <v>60000</v>
      </c>
      <c r="C26" s="97">
        <v>0.05</v>
      </c>
      <c r="D26" s="98">
        <f>B26*(1-C26)/3</f>
        <v>19000</v>
      </c>
      <c r="E26" s="98">
        <f t="shared" ref="E26:F27" si="0">D26</f>
        <v>19000</v>
      </c>
      <c r="F26" s="98">
        <f t="shared" si="0"/>
        <v>19000</v>
      </c>
      <c r="G26" s="98"/>
      <c r="H26" s="98"/>
      <c r="I26" s="98">
        <f>SUM(D26:H26)</f>
        <v>57000</v>
      </c>
      <c r="J26" s="98">
        <f>B26*0.05</f>
        <v>3000</v>
      </c>
    </row>
    <row r="27" spans="1:10" ht="16.2">
      <c r="A27" s="95" t="s">
        <v>203</v>
      </c>
      <c r="B27" s="96">
        <f>B9*10000</f>
        <v>80000</v>
      </c>
      <c r="C27" s="98"/>
      <c r="D27" s="98">
        <f>B27/3</f>
        <v>26666.666666666701</v>
      </c>
      <c r="E27" s="98">
        <f t="shared" si="0"/>
        <v>26666.666666666701</v>
      </c>
      <c r="F27" s="98">
        <f t="shared" si="0"/>
        <v>26666.666666666701</v>
      </c>
      <c r="G27" s="98"/>
      <c r="H27" s="98"/>
      <c r="I27" s="98">
        <f>SUM(D27:H27)</f>
        <v>80000</v>
      </c>
      <c r="J27" s="98"/>
    </row>
    <row r="28" spans="1:10" ht="16.2">
      <c r="A28" s="220" t="s">
        <v>141</v>
      </c>
      <c r="B28" s="221"/>
      <c r="C28" s="222"/>
      <c r="D28" s="98">
        <f>SUM(D26:D27)</f>
        <v>45666.666666666701</v>
      </c>
      <c r="E28" s="98">
        <f t="shared" ref="E28:H28" si="1">SUM(E26:E27)</f>
        <v>45666.666666666701</v>
      </c>
      <c r="F28" s="98">
        <f t="shared" si="1"/>
        <v>45666.666666666701</v>
      </c>
      <c r="G28" s="98">
        <f t="shared" si="1"/>
        <v>0</v>
      </c>
      <c r="H28" s="98">
        <f t="shared" si="1"/>
        <v>0</v>
      </c>
      <c r="I28" s="100"/>
      <c r="J28" s="10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7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85" zoomScaleNormal="85" workbookViewId="0">
      <selection activeCell="G15" sqref="G15"/>
    </sheetView>
  </sheetViews>
  <sheetFormatPr defaultColWidth="9" defaultRowHeight="15.6"/>
  <cols>
    <col min="1" max="1" width="14" style="49" customWidth="1"/>
    <col min="2" max="2" width="14.109375" style="49" customWidth="1"/>
    <col min="3" max="3" width="14.77734375" style="49" customWidth="1"/>
    <col min="4" max="4" width="17.109375" style="49" customWidth="1"/>
    <col min="5" max="5" width="16.88671875" style="49" customWidth="1"/>
    <col min="6" max="6" width="11.109375" style="49" customWidth="1"/>
    <col min="7" max="7" width="13.21875" style="49" customWidth="1"/>
    <col min="8" max="8" width="12.109375" style="49" customWidth="1"/>
    <col min="9" max="9" width="11.6640625" style="49" customWidth="1"/>
    <col min="10" max="10" width="10.21875" style="49" customWidth="1"/>
    <col min="11" max="12" width="10.21875" style="50" customWidth="1"/>
    <col min="13" max="16384" width="9" style="49"/>
  </cols>
  <sheetData>
    <row r="1" spans="1:12" ht="29.25" customHeight="1">
      <c r="A1" s="51" t="s">
        <v>204</v>
      </c>
      <c r="E1" s="52"/>
      <c r="F1" s="52"/>
      <c r="G1" s="52"/>
      <c r="H1" s="52"/>
      <c r="I1" s="52"/>
    </row>
    <row r="2" spans="1:12" ht="24" customHeight="1">
      <c r="A2" s="53" t="s">
        <v>205</v>
      </c>
      <c r="E2" s="52"/>
      <c r="F2" s="52"/>
      <c r="G2" s="52"/>
      <c r="H2" s="52"/>
      <c r="I2" s="52"/>
    </row>
    <row r="3" spans="1:12">
      <c r="C3" s="49" t="s">
        <v>206</v>
      </c>
      <c r="D3" s="49" t="s">
        <v>207</v>
      </c>
      <c r="E3" s="54">
        <v>0</v>
      </c>
    </row>
    <row r="5" spans="1:12" ht="45" customHeight="1">
      <c r="A5" s="230" t="s">
        <v>208</v>
      </c>
      <c r="B5" s="55" t="s">
        <v>147</v>
      </c>
      <c r="C5" s="14" t="s">
        <v>209</v>
      </c>
      <c r="D5" s="14" t="s">
        <v>209</v>
      </c>
      <c r="E5" s="14" t="s">
        <v>210</v>
      </c>
      <c r="F5" s="14"/>
      <c r="G5" s="14"/>
      <c r="H5" s="14"/>
      <c r="I5" s="231" t="s">
        <v>52</v>
      </c>
    </row>
    <row r="6" spans="1:12" ht="31.5" customHeight="1">
      <c r="A6" s="230"/>
      <c r="B6" s="55" t="s">
        <v>150</v>
      </c>
      <c r="C6" s="56" t="s">
        <v>211</v>
      </c>
      <c r="D6" s="56" t="s">
        <v>212</v>
      </c>
      <c r="E6" s="56" t="s">
        <v>213</v>
      </c>
      <c r="F6" s="17"/>
      <c r="G6" s="17"/>
      <c r="H6" s="17"/>
      <c r="I6" s="232"/>
      <c r="K6" s="50">
        <v>100</v>
      </c>
    </row>
    <row r="7" spans="1:12" ht="15.6" customHeight="1">
      <c r="A7" s="230"/>
      <c r="B7" s="17" t="s">
        <v>214</v>
      </c>
      <c r="C7" s="57"/>
      <c r="D7" s="57"/>
      <c r="E7" s="17"/>
      <c r="F7" s="17"/>
      <c r="G7" s="57"/>
      <c r="H7" s="57"/>
      <c r="I7" s="233"/>
      <c r="J7" s="49">
        <v>2026</v>
      </c>
      <c r="K7" s="50">
        <f>K6*(1-$E$3)</f>
        <v>100</v>
      </c>
      <c r="L7" s="50">
        <f>K7/$K$6</f>
        <v>1</v>
      </c>
    </row>
    <row r="8" spans="1:12" ht="31.2">
      <c r="A8" s="230"/>
      <c r="B8" s="17" t="s">
        <v>215</v>
      </c>
      <c r="C8" s="58">
        <v>473.45132743362802</v>
      </c>
      <c r="D8" s="58">
        <v>473.45132743362802</v>
      </c>
      <c r="E8" s="58">
        <v>4.4247787610619502</v>
      </c>
      <c r="F8" s="59"/>
      <c r="G8" s="59"/>
      <c r="H8" s="59"/>
      <c r="I8" s="70">
        <f t="shared" ref="I8:I13" si="0">SUM(C8:H8)</f>
        <v>951.327433628319</v>
      </c>
      <c r="J8" s="49">
        <v>2027</v>
      </c>
      <c r="K8" s="50">
        <f>K7*(1-$E$3)</f>
        <v>100</v>
      </c>
      <c r="L8" s="50">
        <f>K8/$K$6</f>
        <v>1</v>
      </c>
    </row>
    <row r="9" spans="1:12" ht="17.399999999999999">
      <c r="A9" s="230" t="s">
        <v>216</v>
      </c>
      <c r="B9" s="60" t="s">
        <v>49</v>
      </c>
      <c r="C9" s="61">
        <v>7000</v>
      </c>
      <c r="D9" s="61">
        <v>7000</v>
      </c>
      <c r="E9" s="61">
        <v>14000</v>
      </c>
      <c r="F9" s="61"/>
      <c r="G9" s="61"/>
      <c r="H9" s="61"/>
      <c r="I9" s="70">
        <f t="shared" si="0"/>
        <v>28000</v>
      </c>
      <c r="J9" s="49">
        <v>2028</v>
      </c>
      <c r="K9" s="50">
        <f t="shared" ref="K9:K10" si="1">K8*(1-$E$3)</f>
        <v>100</v>
      </c>
      <c r="L9" s="50">
        <f>K9/$K$6</f>
        <v>1</v>
      </c>
    </row>
    <row r="10" spans="1:12" ht="17.399999999999999">
      <c r="A10" s="230"/>
      <c r="B10" s="60" t="s">
        <v>50</v>
      </c>
      <c r="C10" s="61">
        <v>15000</v>
      </c>
      <c r="D10" s="61">
        <v>15000</v>
      </c>
      <c r="E10" s="61">
        <v>30000</v>
      </c>
      <c r="F10" s="61"/>
      <c r="G10" s="61"/>
      <c r="H10" s="61"/>
      <c r="I10" s="70">
        <f t="shared" si="0"/>
        <v>60000</v>
      </c>
      <c r="K10" s="50">
        <f t="shared" si="1"/>
        <v>100</v>
      </c>
      <c r="L10" s="50">
        <f t="shared" ref="L10" si="2">K10/$K$6</f>
        <v>1</v>
      </c>
    </row>
    <row r="11" spans="1:12" ht="17.399999999999999">
      <c r="A11" s="230"/>
      <c r="B11" s="60" t="s">
        <v>51</v>
      </c>
      <c r="C11" s="61">
        <v>15000</v>
      </c>
      <c r="D11" s="61">
        <v>15000</v>
      </c>
      <c r="E11" s="61">
        <v>30000</v>
      </c>
      <c r="F11" s="61"/>
      <c r="G11" s="61"/>
      <c r="H11" s="61"/>
      <c r="I11" s="70">
        <f t="shared" si="0"/>
        <v>60000</v>
      </c>
    </row>
    <row r="12" spans="1:12" ht="17.399999999999999">
      <c r="A12" s="230"/>
      <c r="B12" s="60" t="s">
        <v>200</v>
      </c>
      <c r="C12" s="61"/>
      <c r="D12" s="61"/>
      <c r="E12" s="61"/>
      <c r="F12" s="61"/>
      <c r="G12" s="61"/>
      <c r="H12" s="61"/>
      <c r="I12" s="70">
        <f t="shared" si="0"/>
        <v>0</v>
      </c>
    </row>
    <row r="13" spans="1:12" ht="17.399999999999999">
      <c r="A13" s="230"/>
      <c r="B13" s="60" t="s">
        <v>201</v>
      </c>
      <c r="C13" s="61"/>
      <c r="D13" s="61"/>
      <c r="E13" s="61"/>
      <c r="F13" s="61"/>
      <c r="G13" s="61"/>
      <c r="H13" s="62"/>
      <c r="I13" s="70">
        <f t="shared" si="0"/>
        <v>0</v>
      </c>
    </row>
    <row r="14" spans="1:12" ht="17.399999999999999">
      <c r="A14" s="229" t="s">
        <v>52</v>
      </c>
      <c r="B14" s="229"/>
      <c r="C14" s="63">
        <f t="shared" ref="C14:I14" si="3">SUM(C9:C13)</f>
        <v>37000</v>
      </c>
      <c r="D14" s="63">
        <f t="shared" si="3"/>
        <v>37000</v>
      </c>
      <c r="E14" s="63">
        <f t="shared" si="3"/>
        <v>74000</v>
      </c>
      <c r="F14" s="63">
        <f t="shared" si="3"/>
        <v>0</v>
      </c>
      <c r="G14" s="63">
        <f t="shared" si="3"/>
        <v>0</v>
      </c>
      <c r="H14" s="63">
        <f t="shared" si="3"/>
        <v>0</v>
      </c>
      <c r="I14" s="63">
        <f t="shared" si="3"/>
        <v>148000</v>
      </c>
    </row>
    <row r="15" spans="1:12" ht="17.399999999999999">
      <c r="A15" s="64"/>
      <c r="B15" s="64"/>
      <c r="C15" s="65"/>
    </row>
    <row r="16" spans="1:12">
      <c r="B16" s="49" t="s">
        <v>217</v>
      </c>
      <c r="C16" s="66">
        <f>材料成本!D24</f>
        <v>370</v>
      </c>
      <c r="D16" s="66">
        <f>材料成本!E24</f>
        <v>370</v>
      </c>
      <c r="E16" s="66">
        <f>材料成本!F24</f>
        <v>0.44390000000000002</v>
      </c>
      <c r="F16" s="66">
        <f>材料成本!G24</f>
        <v>0</v>
      </c>
      <c r="G16" s="66">
        <f>材料成本!H24</f>
        <v>0</v>
      </c>
      <c r="H16" s="66">
        <f>材料成本!I23</f>
        <v>0</v>
      </c>
      <c r="I16" s="64">
        <f>SUM(C16:H16)</f>
        <v>740.44389999999999</v>
      </c>
    </row>
    <row r="17" spans="2:9">
      <c r="B17" s="49" t="s">
        <v>99</v>
      </c>
      <c r="C17" s="66">
        <f t="shared" ref="C17:H17" si="4">C8-C16</f>
        <v>103.45132743362799</v>
      </c>
      <c r="D17" s="66">
        <f t="shared" si="4"/>
        <v>103.45132743362799</v>
      </c>
      <c r="E17" s="66">
        <f t="shared" si="4"/>
        <v>3.98087876106195</v>
      </c>
      <c r="F17" s="66">
        <f t="shared" si="4"/>
        <v>0</v>
      </c>
      <c r="G17" s="66">
        <f t="shared" si="4"/>
        <v>0</v>
      </c>
      <c r="H17" s="66">
        <f t="shared" si="4"/>
        <v>0</v>
      </c>
      <c r="I17" s="64">
        <f>SUM(C17:H17)</f>
        <v>210.88353362831799</v>
      </c>
    </row>
    <row r="18" spans="2:9">
      <c r="B18" s="49" t="s">
        <v>218</v>
      </c>
      <c r="C18" s="67">
        <f t="shared" ref="C18:I18" si="5">C17/C8</f>
        <v>0.218504672897196</v>
      </c>
      <c r="D18" s="67">
        <f t="shared" si="5"/>
        <v>0.218504672897196</v>
      </c>
      <c r="E18" s="67">
        <f t="shared" si="5"/>
        <v>0.89967859999999999</v>
      </c>
      <c r="F18" s="67" t="e">
        <f t="shared" si="5"/>
        <v>#DIV/0!</v>
      </c>
      <c r="G18" s="68" t="e">
        <f t="shared" si="5"/>
        <v>#DIV/0!</v>
      </c>
      <c r="H18" s="68" t="e">
        <f t="shared" si="5"/>
        <v>#DIV/0!</v>
      </c>
      <c r="I18" s="67">
        <f t="shared" si="5"/>
        <v>0.22167292372093</v>
      </c>
    </row>
    <row r="20" spans="2:9">
      <c r="C20" s="66"/>
      <c r="D20" s="66"/>
      <c r="E20" s="66"/>
      <c r="F20" s="66"/>
      <c r="G20" s="66"/>
    </row>
    <row r="21" spans="2:9">
      <c r="B21" s="69" t="s">
        <v>219</v>
      </c>
      <c r="C21" s="44"/>
      <c r="D21" s="44"/>
      <c r="E21" s="66"/>
      <c r="F21" s="66"/>
      <c r="G21" s="66"/>
    </row>
    <row r="22" spans="2:9">
      <c r="B22" s="49" t="s">
        <v>220</v>
      </c>
      <c r="C22" s="49">
        <v>42</v>
      </c>
    </row>
    <row r="23" spans="2:9">
      <c r="B23" s="49" t="s">
        <v>221</v>
      </c>
      <c r="C23" s="49">
        <v>6</v>
      </c>
    </row>
  </sheetData>
  <mergeCells count="4">
    <mergeCell ref="A14:B14"/>
    <mergeCell ref="A5:A8"/>
    <mergeCell ref="A9:A13"/>
    <mergeCell ref="I5:I7"/>
  </mergeCells>
  <phoneticPr fontId="4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1"/>
  <sheetViews>
    <sheetView workbookViewId="0">
      <pane xSplit="3" ySplit="5" topLeftCell="D16" activePane="bottomRight" state="frozen"/>
      <selection pane="topRight"/>
      <selection pane="bottomLeft"/>
      <selection pane="bottomRight" activeCell="G19" sqref="G19"/>
    </sheetView>
  </sheetViews>
  <sheetFormatPr defaultColWidth="9" defaultRowHeight="15.6"/>
  <cols>
    <col min="1" max="2" width="4.33203125" style="27" customWidth="1"/>
    <col min="3" max="3" width="8.109375" style="27" customWidth="1"/>
    <col min="4" max="8" width="12" style="28" customWidth="1"/>
    <col min="9" max="9" width="12.109375" style="28" customWidth="1"/>
    <col min="10" max="15" width="12" style="28" customWidth="1"/>
    <col min="16" max="16" width="12.21875" style="27" customWidth="1"/>
    <col min="17" max="17" width="13.21875" style="27" customWidth="1"/>
    <col min="18" max="18" width="16" style="27" customWidth="1"/>
    <col min="19" max="16384" width="9" style="27"/>
  </cols>
  <sheetData>
    <row r="1" spans="1:18" s="26" customFormat="1" ht="28.5" customHeight="1">
      <c r="A1" s="234" t="s">
        <v>6</v>
      </c>
      <c r="B1" s="234"/>
      <c r="C1" s="29"/>
      <c r="D1" s="30" t="s">
        <v>48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R1" s="48"/>
    </row>
    <row r="2" spans="1:18" ht="16.2">
      <c r="A2" s="235" t="s">
        <v>222</v>
      </c>
      <c r="B2" s="235"/>
      <c r="C2" s="236"/>
      <c r="D2" s="237"/>
      <c r="E2" s="238" t="s">
        <v>223</v>
      </c>
      <c r="F2" s="239"/>
      <c r="G2" s="239"/>
      <c r="H2" s="239"/>
      <c r="I2" s="239"/>
      <c r="J2" s="239"/>
      <c r="K2" s="239"/>
      <c r="L2" s="239"/>
      <c r="M2" s="239"/>
      <c r="N2" s="239"/>
      <c r="O2" s="240"/>
    </row>
    <row r="3" spans="1:18" ht="32.4">
      <c r="A3" s="249" t="s">
        <v>17</v>
      </c>
      <c r="B3" s="249" t="s">
        <v>224</v>
      </c>
      <c r="C3" s="33" t="s">
        <v>225</v>
      </c>
      <c r="D3" s="241" t="s">
        <v>226</v>
      </c>
      <c r="E3" s="241"/>
      <c r="F3" s="32" t="s">
        <v>227</v>
      </c>
      <c r="G3" s="242" t="s">
        <v>228</v>
      </c>
      <c r="H3" s="243"/>
      <c r="I3" s="34"/>
      <c r="J3" s="34"/>
      <c r="K3" s="34"/>
      <c r="L3" s="34"/>
      <c r="M3" s="34"/>
      <c r="N3" s="34"/>
      <c r="O3" s="250" t="s">
        <v>168</v>
      </c>
    </row>
    <row r="4" spans="1:18" ht="32.4">
      <c r="A4" s="249"/>
      <c r="B4" s="249"/>
      <c r="C4" s="33" t="s">
        <v>147</v>
      </c>
      <c r="D4" s="35" t="s">
        <v>209</v>
      </c>
      <c r="E4" s="35" t="s">
        <v>209</v>
      </c>
      <c r="F4" s="35" t="s">
        <v>210</v>
      </c>
      <c r="G4" s="35"/>
      <c r="H4" s="35"/>
      <c r="I4" s="35"/>
      <c r="J4" s="37"/>
      <c r="K4" s="37"/>
      <c r="L4" s="37"/>
      <c r="M4" s="37"/>
      <c r="N4" s="37"/>
      <c r="O4" s="251"/>
    </row>
    <row r="5" spans="1:18" ht="32.4">
      <c r="A5" s="249"/>
      <c r="B5" s="249"/>
      <c r="C5" s="33" t="s">
        <v>150</v>
      </c>
      <c r="D5" s="36">
        <v>473.45132743362802</v>
      </c>
      <c r="E5" s="36">
        <v>473.45132743362802</v>
      </c>
      <c r="F5" s="36">
        <v>4.4247787610619502</v>
      </c>
      <c r="G5" s="35"/>
      <c r="H5" s="37"/>
      <c r="I5" s="37"/>
      <c r="J5" s="35"/>
      <c r="K5" s="35"/>
      <c r="L5" s="35"/>
      <c r="M5" s="35"/>
      <c r="N5" s="35"/>
      <c r="O5" s="252"/>
    </row>
    <row r="6" spans="1:18">
      <c r="A6" s="38">
        <v>1</v>
      </c>
      <c r="B6" s="244" t="s">
        <v>229</v>
      </c>
      <c r="C6" s="245"/>
      <c r="D6" s="39"/>
      <c r="E6" s="37"/>
      <c r="F6" s="37"/>
      <c r="G6" s="37"/>
      <c r="H6" s="37"/>
      <c r="I6" s="37"/>
      <c r="J6" s="37"/>
      <c r="K6" s="37"/>
      <c r="L6" s="37"/>
      <c r="M6" s="37"/>
      <c r="N6" s="37"/>
      <c r="O6" s="45"/>
    </row>
    <row r="7" spans="1:18">
      <c r="A7" s="38">
        <v>2</v>
      </c>
      <c r="B7" s="244" t="s">
        <v>230</v>
      </c>
      <c r="C7" s="245"/>
      <c r="D7" s="39"/>
      <c r="E7" s="37"/>
      <c r="F7" s="37"/>
      <c r="G7" s="37"/>
      <c r="H7" s="37"/>
      <c r="I7" s="37"/>
      <c r="J7" s="37"/>
      <c r="K7" s="37"/>
      <c r="L7" s="37"/>
      <c r="M7" s="37"/>
      <c r="N7" s="37"/>
      <c r="O7" s="45"/>
    </row>
    <row r="8" spans="1:18">
      <c r="A8" s="38">
        <v>3</v>
      </c>
      <c r="B8" s="244" t="s">
        <v>231</v>
      </c>
      <c r="C8" s="245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5"/>
    </row>
    <row r="9" spans="1:18">
      <c r="A9" s="38">
        <v>4</v>
      </c>
      <c r="B9" s="244" t="s">
        <v>232</v>
      </c>
      <c r="C9" s="245"/>
      <c r="D9" s="39"/>
      <c r="E9" s="37"/>
      <c r="F9" s="37"/>
      <c r="G9" s="37"/>
      <c r="H9" s="37"/>
      <c r="I9" s="37"/>
      <c r="J9" s="37"/>
      <c r="K9" s="37"/>
      <c r="L9" s="37"/>
      <c r="M9" s="37"/>
      <c r="N9" s="37"/>
      <c r="O9" s="45"/>
    </row>
    <row r="10" spans="1:18">
      <c r="A10" s="38">
        <v>5</v>
      </c>
      <c r="B10" s="244" t="s">
        <v>233</v>
      </c>
      <c r="C10" s="245"/>
      <c r="D10" s="39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45"/>
    </row>
    <row r="11" spans="1:18">
      <c r="A11" s="38">
        <v>6</v>
      </c>
      <c r="B11" s="244" t="s">
        <v>234</v>
      </c>
      <c r="C11" s="245"/>
      <c r="D11" s="39"/>
      <c r="E11" s="37"/>
      <c r="F11" s="37"/>
      <c r="G11" s="37"/>
      <c r="H11" s="37"/>
      <c r="I11" s="37"/>
      <c r="J11" s="37"/>
      <c r="K11" s="37"/>
      <c r="L11" s="35"/>
      <c r="M11" s="37"/>
      <c r="N11" s="37"/>
      <c r="O11" s="45"/>
    </row>
    <row r="12" spans="1:18">
      <c r="A12" s="38">
        <v>7</v>
      </c>
      <c r="B12" s="244" t="s">
        <v>235</v>
      </c>
      <c r="C12" s="245"/>
      <c r="D12" s="39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45"/>
    </row>
    <row r="13" spans="1:18">
      <c r="A13" s="38">
        <v>8</v>
      </c>
      <c r="B13" s="244" t="s">
        <v>236</v>
      </c>
      <c r="C13" s="245"/>
      <c r="D13" s="39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45"/>
    </row>
    <row r="14" spans="1:18">
      <c r="A14" s="38">
        <v>9</v>
      </c>
      <c r="B14" s="244" t="s">
        <v>237</v>
      </c>
      <c r="C14" s="245"/>
      <c r="D14" s="39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45"/>
    </row>
    <row r="15" spans="1:18">
      <c r="A15" s="38">
        <v>10</v>
      </c>
      <c r="B15" s="244" t="s">
        <v>238</v>
      </c>
      <c r="C15" s="245"/>
      <c r="D15" s="3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45"/>
    </row>
    <row r="16" spans="1:18">
      <c r="A16" s="38">
        <v>11</v>
      </c>
      <c r="B16" s="244" t="s">
        <v>239</v>
      </c>
      <c r="C16" s="245"/>
      <c r="D16" s="3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45"/>
    </row>
    <row r="17" spans="1:15">
      <c r="A17" s="38">
        <v>12</v>
      </c>
      <c r="B17" s="244" t="s">
        <v>240</v>
      </c>
      <c r="C17" s="245"/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45"/>
    </row>
    <row r="18" spans="1:15">
      <c r="A18" s="38">
        <v>13</v>
      </c>
      <c r="B18" s="244" t="s">
        <v>241</v>
      </c>
      <c r="C18" s="245"/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45"/>
    </row>
    <row r="19" spans="1:15">
      <c r="A19" s="38">
        <v>14</v>
      </c>
      <c r="B19" s="244" t="s">
        <v>242</v>
      </c>
      <c r="C19" s="245"/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45"/>
    </row>
    <row r="20" spans="1:15">
      <c r="A20" s="38">
        <v>15</v>
      </c>
      <c r="B20" s="244" t="s">
        <v>243</v>
      </c>
      <c r="C20" s="245"/>
      <c r="D20" s="39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45"/>
    </row>
    <row r="21" spans="1:15">
      <c r="A21" s="38">
        <v>16</v>
      </c>
      <c r="B21" s="244" t="s">
        <v>244</v>
      </c>
      <c r="C21" s="245"/>
      <c r="D21" s="3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45"/>
    </row>
    <row r="22" spans="1:15">
      <c r="A22" s="38">
        <v>17</v>
      </c>
      <c r="B22" s="244" t="s">
        <v>35</v>
      </c>
      <c r="C22" s="245"/>
      <c r="D22" s="39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45"/>
    </row>
    <row r="23" spans="1:15" ht="26.4">
      <c r="A23" s="38">
        <v>18</v>
      </c>
      <c r="B23" s="244" t="s">
        <v>245</v>
      </c>
      <c r="C23" s="245"/>
      <c r="D23" s="40">
        <v>370</v>
      </c>
      <c r="E23" s="40">
        <v>370</v>
      </c>
      <c r="F23" s="40">
        <v>0.44390000000000002</v>
      </c>
      <c r="G23" s="40"/>
      <c r="H23" s="40"/>
      <c r="I23" s="40"/>
      <c r="J23" s="46"/>
      <c r="K23" s="46"/>
      <c r="L23" s="46"/>
      <c r="M23" s="46"/>
      <c r="N23" s="46"/>
      <c r="O23" s="266" t="s">
        <v>302</v>
      </c>
    </row>
    <row r="24" spans="1:15" ht="31.5" customHeight="1">
      <c r="A24" s="246" t="s">
        <v>246</v>
      </c>
      <c r="B24" s="247"/>
      <c r="C24" s="248"/>
      <c r="D24" s="41">
        <f>SUM(D6:D23)</f>
        <v>370</v>
      </c>
      <c r="E24" s="41">
        <f>SUM(E6:E23)</f>
        <v>370</v>
      </c>
      <c r="F24" s="41">
        <f>SUM(F6:F23)</f>
        <v>0.44390000000000002</v>
      </c>
      <c r="G24" s="41">
        <f>SUM(G6:G23)</f>
        <v>0</v>
      </c>
      <c r="H24" s="41">
        <f t="shared" ref="H24:N24" si="0">SUM(H6:H23)</f>
        <v>0</v>
      </c>
      <c r="I24" s="41">
        <f t="shared" si="0"/>
        <v>0</v>
      </c>
      <c r="J24" s="41">
        <f t="shared" si="0"/>
        <v>0</v>
      </c>
      <c r="K24" s="41">
        <f t="shared" si="0"/>
        <v>0</v>
      </c>
      <c r="L24" s="41">
        <f t="shared" si="0"/>
        <v>0</v>
      </c>
      <c r="M24" s="41">
        <f t="shared" si="0"/>
        <v>0</v>
      </c>
      <c r="N24" s="41">
        <f t="shared" si="0"/>
        <v>0</v>
      </c>
      <c r="O24" s="47"/>
    </row>
    <row r="25" spans="1:15">
      <c r="C25" s="27" t="s">
        <v>247</v>
      </c>
      <c r="D25" s="42">
        <f t="shared" ref="D25:I25" si="1">D24</f>
        <v>370</v>
      </c>
      <c r="E25" s="42">
        <f t="shared" si="1"/>
        <v>370</v>
      </c>
      <c r="F25" s="42">
        <f t="shared" si="1"/>
        <v>0.44390000000000002</v>
      </c>
      <c r="G25" s="42">
        <f t="shared" si="1"/>
        <v>0</v>
      </c>
      <c r="H25" s="42">
        <f t="shared" si="1"/>
        <v>0</v>
      </c>
      <c r="I25" s="42">
        <f t="shared" si="1"/>
        <v>0</v>
      </c>
      <c r="J25" s="42"/>
      <c r="K25" s="42"/>
      <c r="L25" s="42"/>
      <c r="M25" s="42"/>
      <c r="N25" s="42"/>
    </row>
    <row r="27" spans="1:15">
      <c r="C27" s="27" t="s">
        <v>50</v>
      </c>
      <c r="D27" s="43">
        <f>D24*1</f>
        <v>370</v>
      </c>
      <c r="E27" s="43">
        <f>E24*1</f>
        <v>370</v>
      </c>
      <c r="F27" s="43">
        <f>F24*1</f>
        <v>0.44390000000000002</v>
      </c>
      <c r="G27" s="43">
        <f t="shared" ref="G27:I27" si="2">G24*0.95</f>
        <v>0</v>
      </c>
      <c r="H27" s="43">
        <f t="shared" si="2"/>
        <v>0</v>
      </c>
      <c r="I27" s="43">
        <f t="shared" si="2"/>
        <v>0</v>
      </c>
      <c r="J27" s="43">
        <f t="shared" ref="J27:N27" si="3">J24*0.95</f>
        <v>0</v>
      </c>
      <c r="K27" s="43">
        <f t="shared" si="3"/>
        <v>0</v>
      </c>
      <c r="L27" s="43">
        <f t="shared" si="3"/>
        <v>0</v>
      </c>
      <c r="M27" s="43">
        <f t="shared" si="3"/>
        <v>0</v>
      </c>
      <c r="N27" s="43">
        <f t="shared" si="3"/>
        <v>0</v>
      </c>
    </row>
    <row r="28" spans="1:15">
      <c r="C28" s="27" t="s">
        <v>51</v>
      </c>
      <c r="D28" s="43">
        <f>D27*1</f>
        <v>370</v>
      </c>
      <c r="E28" s="43">
        <f>E27*1</f>
        <v>370</v>
      </c>
      <c r="F28" s="43">
        <f>F27*1</f>
        <v>0.44390000000000002</v>
      </c>
      <c r="G28" s="43">
        <f t="shared" ref="G28:I28" si="4">G27*0.95</f>
        <v>0</v>
      </c>
      <c r="H28" s="43">
        <f t="shared" si="4"/>
        <v>0</v>
      </c>
      <c r="I28" s="43">
        <f t="shared" si="4"/>
        <v>0</v>
      </c>
      <c r="J28" s="43">
        <f t="shared" ref="J28:N28" si="5">J27*0.95</f>
        <v>0</v>
      </c>
      <c r="K28" s="43">
        <f t="shared" si="5"/>
        <v>0</v>
      </c>
      <c r="L28" s="43">
        <f t="shared" si="5"/>
        <v>0</v>
      </c>
      <c r="M28" s="43">
        <f t="shared" si="5"/>
        <v>0</v>
      </c>
      <c r="N28" s="43">
        <f t="shared" si="5"/>
        <v>0</v>
      </c>
    </row>
    <row r="30" spans="1:15">
      <c r="C30" s="27" t="s">
        <v>219</v>
      </c>
      <c r="D30" s="44"/>
      <c r="E30" s="44"/>
    </row>
    <row r="31" spans="1:15">
      <c r="C31" s="27" t="s">
        <v>248</v>
      </c>
      <c r="D31" s="44"/>
      <c r="E31" s="44"/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O2"/>
    <mergeCell ref="D3:E3"/>
    <mergeCell ref="G3:H3"/>
    <mergeCell ref="O3:O5"/>
  </mergeCells>
  <phoneticPr fontId="4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2024-12-24T07:05:52Z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