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firstSheet="2" activeTab="2"/>
  </bookViews>
  <sheets>
    <sheet name="假设条件" sheetId="34" r:id="rId1"/>
    <sheet name="现金" sheetId="36" state="hidden" r:id="rId2"/>
    <sheet name="损益表" sheetId="56" r:id="rId3"/>
    <sheet name="2024年" sheetId="61" r:id="rId4"/>
    <sheet name="2025年" sheetId="43" r:id="rId5"/>
    <sheet name="2026年" sheetId="57" r:id="rId6"/>
    <sheet name="2027年" sheetId="58" r:id="rId7"/>
    <sheet name="2028年" sheetId="59" r:id="rId8"/>
    <sheet name="2029年" sheetId="60" r:id="rId9"/>
    <sheet name="2030年" sheetId="62" r:id="rId10"/>
    <sheet name="2031年" sheetId="63" r:id="rId11"/>
    <sheet name="项目投资" sheetId="51" r:id="rId12"/>
    <sheet name="销量" sheetId="55" r:id="rId13"/>
    <sheet name="材料成本" sheetId="53" r:id="rId14"/>
    <sheet name="其他" sheetId="54" r:id="rId15"/>
    <sheet name="标准成本" sheetId="50" r:id="rId16"/>
  </sheets>
  <externalReferences>
    <externalReference r:id="rId17"/>
    <externalReference r:id="rId18"/>
  </externalReferences>
  <definedNames>
    <definedName name="_xlnm.Print_Area" localSheetId="4">'2025年'!$A$1:$D$48</definedName>
    <definedName name="_xlnm.Print_Area" localSheetId="5">'2026年'!$A$1:$D$48</definedName>
    <definedName name="_xlnm.Print_Area" localSheetId="6">'2027年'!$A$1:$D$48</definedName>
    <definedName name="_xlnm.Print_Area" localSheetId="11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<sst xmlns="http://schemas.openxmlformats.org/spreadsheetml/2006/main" count="2021" uniqueCount="298">
  <si>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</si>
  <si>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</si>
  <si>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</si>
  <si>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</si>
  <si>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</si>
  <si>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</si>
  <si>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</si>
  <si>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</si>
  <si>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</si>
  <si>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</si>
  <si>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</si>
  <si>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</si>
  <si>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</si>
  <si>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</si>
  <si>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</si>
  <si>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</si>
  <si>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</si>
  <si>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</si>
  <si>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</si>
  <si>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</si>
  <si>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</si>
  <si>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</si>
  <si>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</si>
  <si>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</si>
  <si>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</si>
  <si>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</si>
  <si>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</si>
  <si>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</si>
  <si>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</si>
  <si>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</si>
  <si>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</si>
  <si>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</si>
  <si>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</si>
  <si>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</si>
  <si>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</si>
  <si>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</si>
  <si>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</si>
  <si>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</si>
  <si>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</si>
  <si>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</si>
  <si>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</si>
  <si>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</si>
  <si>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</si>
  <si>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</si>
  <si>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</si>
  <si>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</si>
  <si>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</si>
  <si>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</si>
  <si>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</si>
  <si>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</si>
  <si>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</si>
  <si>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X5000增加车道偏离项目可行性分析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</si>
  <si>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</si>
  <si>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</si>
  <si>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t>2025年</t>
  </si>
  <si>
    <t>2026年</t>
  </si>
  <si>
    <t>2027年</t>
  </si>
  <si>
    <r>
      <rPr>
        <b/>
        <sz val="10"/>
        <rFont val="CorpoS"/>
        <charset val="134"/>
      </rPr>
      <t>2028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</si>
  <si>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2029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</si>
  <si>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2030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</si>
  <si>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2031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</si>
  <si>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</si>
  <si>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</si>
  <si>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</si>
  <si>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</si>
  <si>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</si>
  <si>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</si>
  <si>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</si>
  <si>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</si>
  <si>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</si>
  <si>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</si>
  <si>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</si>
  <si>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</si>
  <si>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</si>
  <si>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</si>
  <si>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</si>
  <si>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</si>
  <si>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</si>
  <si>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</si>
  <si>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</si>
  <si>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</si>
  <si>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</si>
  <si>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</si>
  <si>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</si>
  <si>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</si>
  <si>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</si>
  <si>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</si>
  <si>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</si>
  <si>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</si>
  <si>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</si>
  <si>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</si>
  <si>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</si>
  <si>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</si>
  <si>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</si>
  <si>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</si>
  <si>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</si>
  <si>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</si>
  <si>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</si>
  <si>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</si>
  <si>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</si>
  <si>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</si>
  <si>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</si>
  <si>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</si>
  <si>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</si>
  <si>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</si>
  <si>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</si>
  <si>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</si>
  <si>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</si>
  <si>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</si>
  <si>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</si>
  <si>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</si>
  <si>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</si>
  <si>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</si>
  <si>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</si>
  <si>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</si>
  <si>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</si>
  <si>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</si>
  <si>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</si>
  <si>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</si>
  <si>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</si>
  <si>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</si>
  <si>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</si>
  <si>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</si>
  <si>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</si>
  <si>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</si>
  <si>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</si>
  <si>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</si>
  <si>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</si>
  <si>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</si>
  <si>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</si>
  <si>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</si>
  <si>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</si>
  <si>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</si>
  <si>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</si>
  <si>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</si>
  <si>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</si>
  <si>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</si>
  <si>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</si>
  <si>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</si>
  <si>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</si>
  <si>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</si>
  <si>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</si>
  <si>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</si>
  <si>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</si>
  <si>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</si>
  <si>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</si>
  <si>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</si>
  <si>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</si>
  <si>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</si>
  <si>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</si>
  <si>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</si>
  <si>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</si>
  <si>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</si>
  <si>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</si>
  <si>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</si>
  <si>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</si>
  <si>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X5000</t>
  </si>
  <si>
    <t>产品名称</t>
  </si>
  <si>
    <t>主司机</t>
  </si>
  <si>
    <t>产品图号</t>
  </si>
  <si>
    <t>DZ14251510204</t>
  </si>
  <si>
    <t>车型</t>
  </si>
  <si>
    <t>X5000座椅增加车道偏离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</si>
  <si>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</si>
  <si>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</si>
  <si>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</si>
  <si>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</si>
  <si>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</si>
  <si>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</si>
  <si>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</si>
  <si>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</si>
  <si>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</si>
  <si>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</si>
  <si>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t xml:space="preserve">2029年  </t>
  </si>
  <si>
    <t xml:space="preserve">2030年  </t>
  </si>
  <si>
    <t xml:space="preserve">2031年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</si>
  <si>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</si>
  <si>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北京福田K1驾驶员座椅项目研发费用预算表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</si>
  <si>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</si>
  <si>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</si>
  <si>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</si>
  <si>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</si>
  <si>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</si>
  <si>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</si>
  <si>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</si>
  <si>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</si>
  <si>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</si>
  <si>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</si>
  <si>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</si>
  <si>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</si>
  <si>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</si>
  <si>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</si>
  <si>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</si>
  <si>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</si>
  <si>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</si>
  <si>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</si>
  <si>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</si>
  <si>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</si>
  <si>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</si>
  <si>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</si>
  <si>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</si>
  <si>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</si>
  <si>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</si>
  <si>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</si>
  <si>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</si>
  <si>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</si>
  <si>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</si>
  <si>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</si>
  <si>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</si>
  <si>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</si>
  <si>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</si>
  <si>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</si>
  <si>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2028年</t>
  </si>
  <si>
    <t>2029年</t>
  </si>
  <si>
    <t>2030年</t>
  </si>
  <si>
    <t>2031年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</si>
  <si>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</si>
  <si>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</si>
  <si>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</si>
  <si>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</si>
  <si>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</si>
  <si>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</si>
  <si>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</si>
  <si>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</si>
  <si>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</si>
  <si>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</si>
  <si>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</si>
  <si>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</si>
  <si>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</si>
  <si>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</si>
  <si>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</si>
  <si>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</si>
  <si>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X5000增配项目</t>
  </si>
  <si>
    <t>项目编号</t>
  </si>
  <si>
    <t>ZY2437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</si>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</sst>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19" applyNumberFormat="0" applyAlignment="0" applyProtection="0">
      <alignment vertical="center"/>
    </xf>
    <xf numFmtId="0" fontId="47" fillId="12" borderId="20" applyNumberFormat="0" applyAlignment="0" applyProtection="0">
      <alignment vertical="center"/>
    </xf>
    <xf numFmtId="0" fontId="48" fillId="12" borderId="19" applyNumberFormat="0" applyAlignment="0" applyProtection="0">
      <alignment vertical="center"/>
    </xf>
    <xf numFmtId="0" fontId="49" fillId="13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7" fillId="0" borderId="0"/>
    <xf numFmtId="0" fontId="58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60" fillId="0" borderId="0"/>
    <xf numFmtId="1" fontId="61" fillId="0" borderId="2" applyBorder="0"/>
    <xf numFmtId="43" fontId="62" fillId="0" borderId="0" applyFont="0" applyFill="0" applyBorder="0" applyAlignment="0" applyProtection="0">
      <alignment vertical="center"/>
    </xf>
    <xf numFmtId="0" fontId="59" fillId="0" borderId="0"/>
    <xf numFmtId="0" fontId="59" fillId="0" borderId="0"/>
  </cellStyleXfs>
  <cellXfs count="2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9" fontId="6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43" fontId="0" fillId="0" borderId="0" xfId="1" applyFont="1">
      <alignment vertical="center"/>
    </xf>
    <xf numFmtId="0" fontId="16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7" fillId="7" borderId="2" xfId="53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53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8" fillId="0" borderId="3" xfId="53" applyNumberFormat="1" applyFont="1" applyFill="1" applyBorder="1" applyAlignment="1">
      <alignment horizontal="center" vertical="center"/>
    </xf>
    <xf numFmtId="43" fontId="4" fillId="3" borderId="2" xfId="1" applyFont="1" applyFill="1" applyBorder="1" applyAlignment="1" applyProtection="1">
      <alignment vertical="center"/>
    </xf>
    <xf numFmtId="179" fontId="18" fillId="0" borderId="3" xfId="53" applyNumberFormat="1" applyFont="1" applyFill="1" applyBorder="1" applyAlignment="1">
      <alignment horizontal="left" vertical="center" wrapText="1"/>
    </xf>
    <xf numFmtId="0" fontId="19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18" fillId="3" borderId="2" xfId="1" applyFont="1" applyFill="1" applyBorder="1" applyAlignment="1" applyProtection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43" fontId="22" fillId="0" borderId="3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3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0" fontId="31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2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3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3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3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3" applyNumberFormat="1" applyFont="1" applyBorder="1">
      <alignment vertical="center"/>
    </xf>
    <xf numFmtId="10" fontId="22" fillId="0" borderId="0" xfId="3" applyNumberFormat="1" applyFont="1" applyBorder="1">
      <alignment vertical="center"/>
    </xf>
    <xf numFmtId="43" fontId="22" fillId="0" borderId="0" xfId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43" fontId="23" fillId="0" borderId="0" xfId="0" applyNumberFormat="1" applyFont="1" applyFill="1">
      <alignment vertical="center"/>
    </xf>
    <xf numFmtId="43" fontId="22" fillId="0" borderId="0" xfId="0" applyNumberFormat="1" applyFont="1" applyFill="1" applyBorder="1">
      <alignment vertical="center"/>
    </xf>
    <xf numFmtId="0" fontId="24" fillId="0" borderId="2" xfId="0" applyFont="1" applyBorder="1">
      <alignment vertical="center"/>
    </xf>
    <xf numFmtId="0" fontId="33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49" applyNumberFormat="1" applyFont="1" applyFill="1" applyProtection="1"/>
    <xf numFmtId="0" fontId="18" fillId="6" borderId="0" xfId="49" applyFont="1" applyFill="1" applyProtection="1"/>
    <xf numFmtId="0" fontId="34" fillId="6" borderId="0" xfId="49" applyFont="1" applyFill="1" applyAlignment="1" applyProtection="1">
      <alignment horizontal="centerContinuous"/>
    </xf>
    <xf numFmtId="0" fontId="18" fillId="6" borderId="0" xfId="49" applyFont="1" applyFill="1" applyAlignment="1">
      <alignment horizontal="centerContinuous"/>
    </xf>
    <xf numFmtId="0" fontId="18" fillId="6" borderId="0" xfId="49" applyFont="1" applyFill="1" applyAlignment="1" applyProtection="1">
      <alignment horizontal="centerContinuous"/>
    </xf>
    <xf numFmtId="9" fontId="18" fillId="6" borderId="0" xfId="49" applyNumberFormat="1" applyFont="1" applyFill="1" applyProtection="1"/>
    <xf numFmtId="0" fontId="18" fillId="6" borderId="6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center"/>
    </xf>
    <xf numFmtId="0" fontId="20" fillId="6" borderId="4" xfId="49" applyFont="1" applyFill="1" applyBorder="1" applyAlignment="1" applyProtection="1">
      <alignment horizontal="center"/>
    </xf>
    <xf numFmtId="1" fontId="20" fillId="6" borderId="4" xfId="54" applyFont="1" applyFill="1" applyBorder="1"/>
    <xf numFmtId="1" fontId="18" fillId="6" borderId="4" xfId="54" applyFont="1" applyFill="1" applyBorder="1"/>
    <xf numFmtId="0" fontId="18" fillId="6" borderId="7" xfId="49" applyFont="1" applyFill="1" applyBorder="1" applyProtection="1"/>
    <xf numFmtId="0" fontId="18" fillId="6" borderId="2" xfId="49" applyFont="1" applyFill="1" applyBorder="1" applyAlignment="1" applyProtection="1">
      <alignment horizontal="center"/>
    </xf>
    <xf numFmtId="0" fontId="18" fillId="6" borderId="2" xfId="49" applyFont="1" applyFill="1" applyBorder="1" applyAlignment="1" applyProtection="1">
      <alignment horizontal="left"/>
    </xf>
    <xf numFmtId="0" fontId="18" fillId="9" borderId="2" xfId="49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49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49" applyNumberFormat="1" applyFont="1" applyFill="1" applyBorder="1" applyAlignment="1" applyProtection="1">
      <alignment horizontal="left"/>
    </xf>
    <xf numFmtId="1" fontId="18" fillId="6" borderId="2" xfId="49" applyNumberFormat="1" applyFont="1" applyFill="1" applyBorder="1" applyProtection="1"/>
    <xf numFmtId="1" fontId="18" fillId="6" borderId="2" xfId="49" applyNumberFormat="1" applyFont="1" applyFill="1" applyBorder="1" applyAlignment="1" applyProtection="1">
      <alignment horizontal="left"/>
    </xf>
    <xf numFmtId="0" fontId="18" fillId="6" borderId="8" xfId="49" applyFont="1" applyFill="1" applyBorder="1" applyProtection="1"/>
    <xf numFmtId="0" fontId="18" fillId="6" borderId="11" xfId="49" applyFont="1" applyFill="1" applyBorder="1" applyProtection="1"/>
    <xf numFmtId="0" fontId="18" fillId="6" borderId="12" xfId="49" applyFont="1" applyFill="1" applyBorder="1" applyProtection="1"/>
    <xf numFmtId="0" fontId="18" fillId="6" borderId="0" xfId="49" applyFont="1" applyFill="1" applyBorder="1" applyProtection="1"/>
    <xf numFmtId="181" fontId="18" fillId="6" borderId="0" xfId="49" applyNumberFormat="1" applyFont="1" applyFill="1" applyBorder="1" applyProtection="1"/>
    <xf numFmtId="10" fontId="18" fillId="6" borderId="0" xfId="49" applyNumberFormat="1" applyFont="1" applyFill="1" applyBorder="1" applyProtection="1"/>
    <xf numFmtId="1" fontId="18" fillId="6" borderId="0" xfId="49" applyNumberFormat="1" applyFont="1" applyFill="1" applyBorder="1" applyProtection="1"/>
    <xf numFmtId="0" fontId="18" fillId="6" borderId="13" xfId="49" applyFont="1" applyFill="1" applyBorder="1" applyProtection="1"/>
    <xf numFmtId="0" fontId="18" fillId="6" borderId="1" xfId="49" applyFont="1" applyFill="1" applyBorder="1" applyProtection="1"/>
    <xf numFmtId="2" fontId="18" fillId="6" borderId="1" xfId="49" applyNumberFormat="1" applyFont="1" applyFill="1" applyBorder="1" applyProtection="1"/>
    <xf numFmtId="0" fontId="18" fillId="6" borderId="5" xfId="49" applyFont="1" applyFill="1" applyBorder="1"/>
    <xf numFmtId="1" fontId="18" fillId="6" borderId="7" xfId="54" applyFont="1" applyFill="1" applyBorder="1" applyAlignment="1">
      <alignment horizontal="center"/>
    </xf>
    <xf numFmtId="0" fontId="18" fillId="6" borderId="9" xfId="49" applyFont="1" applyFill="1" applyBorder="1" applyProtection="1"/>
    <xf numFmtId="0" fontId="18" fillId="6" borderId="14" xfId="49" applyFont="1" applyFill="1" applyBorder="1" applyProtection="1"/>
    <xf numFmtId="0" fontId="18" fillId="6" borderId="15" xfId="49" applyFont="1" applyFill="1" applyBorder="1" applyProtection="1"/>
    <xf numFmtId="0" fontId="35" fillId="0" borderId="0" xfId="0" applyFont="1">
      <alignment vertical="center"/>
    </xf>
    <xf numFmtId="0" fontId="36" fillId="0" borderId="2" xfId="0" applyFont="1" applyBorder="1" applyAlignment="1">
      <alignment horizontal="center" vertical="center" wrapText="1" readingOrder="1"/>
    </xf>
    <xf numFmtId="0" fontId="35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37" fillId="0" borderId="2" xfId="0" applyFont="1" applyFill="1" applyBorder="1" applyAlignment="1">
      <alignment horizontal="left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left" vertical="center" wrapText="1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  <cellStyle name="样式 1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1" customFormat="1" ht="35.25" customHeight="1" spans="1:4">
      <c r="A2" s="242" t="s">
        <v>0</v>
      </c>
      <c r="B2" s="242" t="s">
        <v>1</v>
      </c>
      <c r="C2" s="242" t="s">
        <v>2</v>
      </c>
      <c r="D2" s="243"/>
    </row>
    <row r="3" s="241" customFormat="1" ht="33.75" customHeight="1" spans="1:4">
      <c r="A3" s="244">
        <v>1</v>
      </c>
      <c r="B3" s="244" t="s">
        <v>3</v>
      </c>
      <c r="C3" s="245" t="s">
        <v>4</v>
      </c>
      <c r="D3" s="243"/>
    </row>
    <row r="4" s="241" customFormat="1" ht="33.75" customHeight="1" spans="1:3">
      <c r="A4" s="244">
        <v>2</v>
      </c>
      <c r="B4" s="244" t="s">
        <v>5</v>
      </c>
      <c r="C4" s="245" t="s">
        <v>6</v>
      </c>
    </row>
    <row r="5" s="241" customFormat="1" ht="33.75" customHeight="1" spans="1:3">
      <c r="A5" s="244">
        <v>3</v>
      </c>
      <c r="B5" s="246" t="s">
        <v>7</v>
      </c>
      <c r="C5" s="247" t="s">
        <v>8</v>
      </c>
    </row>
    <row r="6" s="241" customFormat="1" ht="33.75" customHeight="1" spans="1:3">
      <c r="A6" s="244">
        <v>4</v>
      </c>
      <c r="B6" s="248"/>
      <c r="C6" s="245" t="s">
        <v>9</v>
      </c>
    </row>
    <row r="7" s="241" customFormat="1" ht="33.75" customHeight="1" spans="1:3">
      <c r="A7" s="244">
        <v>5</v>
      </c>
      <c r="B7" s="249" t="s">
        <v>10</v>
      </c>
      <c r="C7" s="245" t="s">
        <v>11</v>
      </c>
    </row>
    <row r="8" s="241" customFormat="1" ht="33.75" customHeight="1" spans="1:3">
      <c r="A8" s="244">
        <v>6</v>
      </c>
      <c r="B8" s="246" t="s">
        <v>12</v>
      </c>
      <c r="C8" s="245" t="s">
        <v>13</v>
      </c>
    </row>
    <row r="9" s="241" customFormat="1" ht="33.75" customHeight="1" spans="1:3">
      <c r="A9" s="244">
        <v>7</v>
      </c>
      <c r="B9" s="248"/>
      <c r="C9" s="245" t="s">
        <v>14</v>
      </c>
    </row>
    <row r="10" s="241" customFormat="1" ht="33.75" customHeight="1" spans="1:3">
      <c r="A10" s="244">
        <v>8</v>
      </c>
      <c r="B10" s="248"/>
      <c r="C10" s="247" t="s">
        <v>15</v>
      </c>
    </row>
    <row r="11" s="241" customFormat="1" ht="33.75" customHeight="1" spans="1:3">
      <c r="A11" s="244">
        <v>9</v>
      </c>
      <c r="B11" s="248"/>
      <c r="C11" s="245" t="s">
        <v>16</v>
      </c>
    </row>
    <row r="12" s="241" customFormat="1" ht="33.75" customHeight="1" spans="1:3">
      <c r="A12" s="244">
        <v>10</v>
      </c>
      <c r="B12" s="249" t="s">
        <v>17</v>
      </c>
      <c r="C12" s="245" t="s">
        <v>18</v>
      </c>
    </row>
    <row r="13" ht="33.75" customHeight="1"/>
    <row r="14" ht="33.75" customHeight="1"/>
    <row r="15" ht="33.75" customHeight="1" spans="3:3">
      <c r="C15" s="250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workbookViewId="0">
      <selection activeCell="C10" sqref="C10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="138" customFormat="1" spans="1:4">
      <c r="A1" s="142" t="s">
        <v>153</v>
      </c>
      <c r="B1" s="142"/>
      <c r="C1" s="143" t="s">
        <v>174</v>
      </c>
      <c r="D1" s="144"/>
    </row>
    <row r="2" s="138" customFormat="1" spans="1:4">
      <c r="A2" s="142" t="s">
        <v>155</v>
      </c>
      <c r="B2" s="142"/>
      <c r="C2" s="145" t="s">
        <v>156</v>
      </c>
      <c r="D2" s="145"/>
    </row>
    <row r="3" s="138" customFormat="1" spans="1:4">
      <c r="A3" s="142" t="s">
        <v>157</v>
      </c>
      <c r="B3" s="142"/>
      <c r="C3" s="146" t="s">
        <v>158</v>
      </c>
      <c r="D3" s="147" t="s">
        <v>61</v>
      </c>
    </row>
    <row r="4" s="138" customFormat="1" spans="1:4">
      <c r="A4" s="142" t="s">
        <v>159</v>
      </c>
      <c r="B4" s="142"/>
      <c r="C4" s="146" t="s">
        <v>160</v>
      </c>
      <c r="D4" s="148"/>
    </row>
    <row r="5" s="138" customFormat="1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="138" customFormat="1" spans="1:33">
      <c r="A6" s="151" t="s">
        <v>21</v>
      </c>
      <c r="B6" s="152" t="s">
        <v>163</v>
      </c>
      <c r="C6" s="153">
        <f>销量!C15</f>
        <v>300</v>
      </c>
      <c r="D6" s="154">
        <f t="shared" ref="D6:D15" si="0">+SUM(C6:C6)</f>
        <v>300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="138" customFormat="1" spans="1:33">
      <c r="A7" s="142">
        <v>1</v>
      </c>
      <c r="B7" s="152" t="s">
        <v>64</v>
      </c>
      <c r="C7" s="154">
        <f>C6*销量!C8</f>
        <v>612000</v>
      </c>
      <c r="D7" s="154">
        <f t="shared" si="0"/>
        <v>612000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="138" customFormat="1" spans="1:33">
      <c r="A8" s="142">
        <v>2</v>
      </c>
      <c r="B8" s="142" t="s">
        <v>66</v>
      </c>
      <c r="C8" s="154">
        <f>C7*(1-销量!$K$12)</f>
        <v>162123.7629375</v>
      </c>
      <c r="D8" s="154">
        <f t="shared" si="0"/>
        <v>162123.7629375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="138" customFormat="1" spans="1:33">
      <c r="A9" s="142">
        <v>3</v>
      </c>
      <c r="B9" s="152" t="s">
        <v>69</v>
      </c>
      <c r="C9" s="154">
        <f>+C7-C8</f>
        <v>449876.2370625</v>
      </c>
      <c r="D9" s="154">
        <f t="shared" si="0"/>
        <v>449876.2370625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="138" customFormat="1" spans="1:33">
      <c r="A10" s="142">
        <v>4</v>
      </c>
      <c r="B10" s="151" t="s">
        <v>74</v>
      </c>
      <c r="C10" s="154">
        <f>C6*C33</f>
        <v>284851.076649011</v>
      </c>
      <c r="D10" s="154">
        <f t="shared" si="0"/>
        <v>284851.076649011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="138" customFormat="1" spans="1:32">
      <c r="A11" s="142">
        <v>5</v>
      </c>
      <c r="B11" s="151" t="s">
        <v>76</v>
      </c>
      <c r="C11" s="154">
        <f>+C6*C36</f>
        <v>18360</v>
      </c>
      <c r="D11" s="154">
        <f t="shared" si="0"/>
        <v>18360</v>
      </c>
      <c r="O11" s="151" t="s">
        <v>76</v>
      </c>
      <c r="AE11" s="151" t="s">
        <v>77</v>
      </c>
      <c r="AF11" s="151" t="s">
        <v>76</v>
      </c>
    </row>
    <row r="12" s="138" customFormat="1" spans="1:32">
      <c r="A12" s="142">
        <v>6</v>
      </c>
      <c r="B12" s="151" t="s">
        <v>78</v>
      </c>
      <c r="C12" s="154">
        <f>+C6*C37</f>
        <v>6120</v>
      </c>
      <c r="D12" s="154">
        <f t="shared" si="0"/>
        <v>6120</v>
      </c>
      <c r="O12" s="151" t="s">
        <v>78</v>
      </c>
      <c r="AE12" s="151" t="s">
        <v>79</v>
      </c>
      <c r="AF12" s="151" t="s">
        <v>78</v>
      </c>
    </row>
    <row r="13" s="138" customFormat="1" spans="1:33">
      <c r="A13" s="142">
        <v>7</v>
      </c>
      <c r="B13" s="151" t="s">
        <v>80</v>
      </c>
      <c r="C13" s="154">
        <f>+C6*C38</f>
        <v>6120</v>
      </c>
      <c r="D13" s="154">
        <f t="shared" si="0"/>
        <v>6120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="138" customFormat="1" spans="1:32">
      <c r="A14" s="142">
        <v>8</v>
      </c>
      <c r="B14" s="156" t="s">
        <v>82</v>
      </c>
      <c r="C14" s="154">
        <f>SUM(C11:C13)</f>
        <v>30600</v>
      </c>
      <c r="D14" s="154">
        <f t="shared" si="0"/>
        <v>30600</v>
      </c>
      <c r="O14" s="156" t="s">
        <v>82</v>
      </c>
      <c r="AE14" s="151" t="s">
        <v>83</v>
      </c>
      <c r="AF14" s="156" t="s">
        <v>82</v>
      </c>
    </row>
    <row r="15" s="138" customFormat="1" spans="1:32">
      <c r="A15" s="142">
        <v>9</v>
      </c>
      <c r="B15" s="156" t="s">
        <v>84</v>
      </c>
      <c r="C15" s="154">
        <f>+C9-C10-C14</f>
        <v>134425.160413489</v>
      </c>
      <c r="D15" s="154">
        <f t="shared" si="0"/>
        <v>134425.160413489</v>
      </c>
      <c r="O15" s="156" t="s">
        <v>84</v>
      </c>
      <c r="AE15" s="151" t="s">
        <v>85</v>
      </c>
      <c r="AF15" s="156" t="s">
        <v>84</v>
      </c>
    </row>
    <row r="16" s="138" customFormat="1" spans="1:32">
      <c r="A16" s="142">
        <v>10</v>
      </c>
      <c r="B16" s="151" t="s">
        <v>86</v>
      </c>
      <c r="C16" s="157">
        <f>+C15/C9</f>
        <v>0.298804758595892</v>
      </c>
      <c r="D16" s="157">
        <f>+D15/D9</f>
        <v>0.298804758595892</v>
      </c>
      <c r="E16" s="158"/>
      <c r="F16" s="158"/>
      <c r="G16" s="158"/>
      <c r="O16" s="151" t="s">
        <v>86</v>
      </c>
      <c r="AE16" s="151" t="s">
        <v>87</v>
      </c>
      <c r="AF16" s="151" t="s">
        <v>86</v>
      </c>
    </row>
    <row r="17" s="138" customFormat="1" spans="1:32">
      <c r="A17" s="142">
        <v>11</v>
      </c>
      <c r="B17" s="151" t="s">
        <v>88</v>
      </c>
      <c r="C17" s="154">
        <f>C6*C43+C18</f>
        <v>41470</v>
      </c>
      <c r="D17" s="154">
        <f>+SUM(C17:C17)</f>
        <v>41470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项目投资!F26</f>
        <v>4750</v>
      </c>
      <c r="E18" s="161" t="s">
        <v>165</v>
      </c>
      <c r="F18" s="161"/>
      <c r="G18" s="161"/>
    </row>
    <row r="19" s="138" customFormat="1" spans="1:33">
      <c r="A19" s="142">
        <v>13</v>
      </c>
      <c r="B19" s="151" t="s">
        <v>90</v>
      </c>
      <c r="C19" s="154">
        <f>C6*C44</f>
        <v>8568</v>
      </c>
      <c r="D19" s="154">
        <f>+SUM(C19:C19)</f>
        <v>8568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="138" customFormat="1" spans="1:32">
      <c r="A20" s="142">
        <v>14</v>
      </c>
      <c r="B20" s="151" t="s">
        <v>92</v>
      </c>
      <c r="C20" s="154">
        <f>C6*C45</f>
        <v>12240</v>
      </c>
      <c r="D20" s="154">
        <f>+SUM(C20:C20)</f>
        <v>12240</v>
      </c>
      <c r="O20" s="151" t="s">
        <v>92</v>
      </c>
      <c r="AE20" s="151" t="s">
        <v>93</v>
      </c>
      <c r="AF20" s="151" t="s">
        <v>92</v>
      </c>
    </row>
    <row r="21" s="138" customFormat="1" spans="1:32">
      <c r="A21" s="142">
        <v>15</v>
      </c>
      <c r="B21" s="151" t="s">
        <v>94</v>
      </c>
      <c r="C21" s="162">
        <f>$D$21/$D$6*C6</f>
        <v>21250</v>
      </c>
      <c r="D21" s="154">
        <f>项目投资!F27</f>
        <v>21250</v>
      </c>
      <c r="O21" s="151" t="s">
        <v>94</v>
      </c>
      <c r="AE21" s="151"/>
      <c r="AF21" s="151"/>
    </row>
    <row r="22" s="138" customFormat="1" spans="1:32">
      <c r="A22" s="142">
        <v>16</v>
      </c>
      <c r="B22" s="151" t="s">
        <v>95</v>
      </c>
      <c r="C22" s="154">
        <f>C6*C47</f>
        <v>24480</v>
      </c>
      <c r="D22" s="154">
        <f>+SUM(C22:C22)</f>
        <v>24480</v>
      </c>
      <c r="O22" s="151" t="s">
        <v>95</v>
      </c>
      <c r="AE22" s="151" t="s">
        <v>96</v>
      </c>
      <c r="AF22" s="151" t="s">
        <v>95</v>
      </c>
    </row>
    <row r="23" s="138" customFormat="1" spans="1:32">
      <c r="A23" s="142">
        <v>17</v>
      </c>
      <c r="B23" s="156" t="s">
        <v>97</v>
      </c>
      <c r="C23" s="162">
        <f>+C22+C21+C20+C19+C17</f>
        <v>108008</v>
      </c>
      <c r="D23" s="162">
        <f>+D22+D21+D20+D19+D17</f>
        <v>108008</v>
      </c>
      <c r="O23" s="156" t="s">
        <v>97</v>
      </c>
      <c r="AE23" s="151" t="s">
        <v>98</v>
      </c>
      <c r="AF23" s="156" t="s">
        <v>97</v>
      </c>
    </row>
    <row r="24" s="138" customFormat="1" spans="1:32">
      <c r="A24" s="142">
        <v>18</v>
      </c>
      <c r="B24" s="163" t="s">
        <v>99</v>
      </c>
      <c r="C24" s="162">
        <f>+C15-C23</f>
        <v>26417.1604134886</v>
      </c>
      <c r="D24" s="162">
        <f>+D15-D23</f>
        <v>26417.1604134886</v>
      </c>
      <c r="F24" s="164"/>
      <c r="O24" s="151" t="s">
        <v>99</v>
      </c>
      <c r="AE24" s="151" t="s">
        <v>100</v>
      </c>
      <c r="AF24" s="151" t="s">
        <v>99</v>
      </c>
    </row>
    <row r="25" s="138" customFormat="1" spans="1:32">
      <c r="A25" s="142">
        <v>19</v>
      </c>
      <c r="B25" s="151" t="s">
        <v>166</v>
      </c>
      <c r="C25" s="162">
        <f>IF(C24&lt;0,0,C24*0.25)</f>
        <v>6604.29010337214</v>
      </c>
      <c r="D25" s="162">
        <f>IF(D24&lt;0,0,D24*0.25)</f>
        <v>6604.29010337214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="138" customFormat="1" spans="1:32">
      <c r="A26" s="142">
        <v>20</v>
      </c>
      <c r="B26" s="151" t="s">
        <v>102</v>
      </c>
      <c r="C26" s="162">
        <f>C24-C25</f>
        <v>19812.8703101164</v>
      </c>
      <c r="D26" s="154">
        <f>+SUM(C26:C26)</f>
        <v>19812.8703101164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="138" customFormat="1" spans="1:32">
      <c r="A27" s="142">
        <v>21</v>
      </c>
      <c r="B27" s="151" t="s">
        <v>106</v>
      </c>
      <c r="C27" s="165">
        <f>C26/C7</f>
        <v>0.0323739710949615</v>
      </c>
      <c r="D27" s="165">
        <f>D26/D7</f>
        <v>0.0323739710949615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="138" customFormat="1" spans="3:15">
      <c r="C28" s="141"/>
      <c r="D28" s="141"/>
      <c r="E28" s="2"/>
      <c r="F28" s="2"/>
      <c r="G28" s="2"/>
      <c r="O28" s="151"/>
    </row>
    <row r="29" s="138" customFormat="1" spans="1:31">
      <c r="A29" s="138" t="s">
        <v>107</v>
      </c>
      <c r="C29" s="141"/>
      <c r="D29" s="141" t="s">
        <v>167</v>
      </c>
      <c r="E29" s="2"/>
      <c r="F29" s="2"/>
      <c r="G29" s="2"/>
      <c r="O29" s="151"/>
      <c r="AE29" s="138" t="s">
        <v>107</v>
      </c>
    </row>
    <row r="30" s="138" customFormat="1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="138" customFormat="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="138" customFormat="1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="138" customFormat="1" spans="1:32">
      <c r="A33" s="142">
        <v>3</v>
      </c>
      <c r="B33" s="159" t="s">
        <v>112</v>
      </c>
      <c r="C33" s="154">
        <f>材料成本!D31</f>
        <v>949.503588830038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s="138" customFormat="1" ht="17.25" customHeight="1" spans="1:32">
      <c r="A34" s="142">
        <v>4</v>
      </c>
      <c r="B34" s="151" t="s">
        <v>114</v>
      </c>
      <c r="C34" s="167">
        <f>C32-C33</f>
        <v>1090.49641116996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="138" customFormat="1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="138" customFormat="1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="138" customFormat="1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="138" customFormat="1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="138" customFormat="1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="138" customFormat="1" spans="1:32">
      <c r="A40" s="142">
        <v>1</v>
      </c>
      <c r="B40" s="151" t="s">
        <v>123</v>
      </c>
      <c r="C40" s="162">
        <f>C34-C36-C37-C38</f>
        <v>988.496411169962</v>
      </c>
      <c r="D40" s="162"/>
      <c r="O40" s="151" t="s">
        <v>123</v>
      </c>
      <c r="AE40" s="151" t="s">
        <v>65</v>
      </c>
      <c r="AF40" s="151" t="s">
        <v>123</v>
      </c>
    </row>
    <row r="41" s="138" customFormat="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="138" customFormat="1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="138" customFormat="1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="138" customFormat="1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="138" customFormat="1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70.8333333333333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="138" customFormat="1" spans="1:32">
      <c r="A48" s="151" t="s">
        <v>125</v>
      </c>
      <c r="B48" s="156" t="s">
        <v>143</v>
      </c>
      <c r="C48" s="162">
        <f>C40-C43-C44-C45-C47-C46</f>
        <v>644.303077836629</v>
      </c>
      <c r="D48" s="162"/>
      <c r="O48" s="156" t="s">
        <v>143</v>
      </c>
      <c r="AE48" s="151" t="s">
        <v>142</v>
      </c>
      <c r="AF48" s="156" t="s">
        <v>143</v>
      </c>
    </row>
    <row r="49" s="138" customFormat="1" spans="3:4">
      <c r="C49" s="141"/>
      <c r="D49" s="141"/>
    </row>
    <row r="50" s="138" customFormat="1" spans="3:4">
      <c r="C50" s="141"/>
      <c r="D50" s="141"/>
    </row>
    <row r="51" s="138" customFormat="1" spans="3:4">
      <c r="C51" s="169"/>
      <c r="D51" s="141"/>
    </row>
    <row r="52" s="138" customFormat="1" spans="3:4">
      <c r="C52" s="141"/>
      <c r="D52" s="141"/>
    </row>
    <row r="53" s="138" customFormat="1" spans="3:4">
      <c r="C53" s="141"/>
      <c r="D53" s="141"/>
    </row>
    <row r="54" s="138" customFormat="1" spans="2:9">
      <c r="B54" s="2"/>
      <c r="C54" s="170"/>
      <c r="D54" s="170"/>
      <c r="E54" s="2"/>
      <c r="F54" s="2"/>
      <c r="G54" s="2"/>
      <c r="H54" s="2"/>
      <c r="I54" s="2"/>
    </row>
    <row r="55" s="138" customFormat="1" spans="2:9">
      <c r="B55" s="2"/>
      <c r="C55" s="170"/>
      <c r="D55" s="170"/>
      <c r="E55" s="2"/>
      <c r="F55" s="2"/>
      <c r="G55" s="2"/>
      <c r="H55" s="2"/>
      <c r="I55" s="2"/>
    </row>
    <row r="56" s="138" customFormat="1" spans="2:9">
      <c r="B56" s="2"/>
      <c r="C56" s="170"/>
      <c r="D56" s="170"/>
      <c r="E56" s="2"/>
      <c r="F56" s="2"/>
      <c r="G56" s="2"/>
      <c r="H56" s="2"/>
      <c r="I56" s="2"/>
    </row>
    <row r="57" s="138" customFormat="1" spans="2:9">
      <c r="B57" s="2"/>
      <c r="C57" s="170"/>
      <c r="D57" s="170"/>
      <c r="E57" s="2"/>
      <c r="F57" s="2"/>
      <c r="G57" s="2"/>
      <c r="H57" s="2"/>
      <c r="I57" s="2"/>
    </row>
    <row r="58" s="138" customFormat="1" spans="2:9">
      <c r="B58" s="2"/>
      <c r="C58" s="170"/>
      <c r="D58" s="170"/>
      <c r="E58" s="2"/>
      <c r="F58" s="2"/>
      <c r="G58" s="2"/>
      <c r="H58" s="2"/>
      <c r="I58" s="2"/>
    </row>
    <row r="59" s="138" customFormat="1" spans="2:9">
      <c r="B59" s="2"/>
      <c r="C59" s="170"/>
      <c r="D59" s="170"/>
      <c r="E59" s="2"/>
      <c r="F59" s="2"/>
      <c r="G59" s="2"/>
      <c r="H59" s="2"/>
      <c r="I59" s="2"/>
    </row>
    <row r="60" s="138" customFormat="1" spans="2:9">
      <c r="B60" s="2"/>
      <c r="C60" s="170"/>
      <c r="D60" s="170"/>
      <c r="E60" s="2"/>
      <c r="F60" s="2"/>
      <c r="G60" s="2"/>
      <c r="H60" s="2"/>
      <c r="I60" s="2"/>
    </row>
    <row r="61" s="138" customFormat="1" spans="2:9">
      <c r="B61" s="2"/>
      <c r="C61" s="170"/>
      <c r="D61" s="170"/>
      <c r="E61" s="2"/>
      <c r="F61" s="2"/>
      <c r="G61" s="2"/>
      <c r="H61" s="2"/>
      <c r="I61" s="2"/>
    </row>
    <row r="62" s="138" customFormat="1" spans="2:9">
      <c r="B62" s="2"/>
      <c r="C62" s="170"/>
      <c r="D62" s="170"/>
      <c r="E62" s="2"/>
      <c r="F62" s="2"/>
      <c r="G62" s="2"/>
      <c r="H62" s="2"/>
      <c r="I62" s="2"/>
    </row>
    <row r="63" s="138" customFormat="1" spans="2:9">
      <c r="B63" s="2"/>
      <c r="C63" s="170"/>
      <c r="D63" s="170"/>
      <c r="E63" s="2"/>
      <c r="F63" s="2"/>
      <c r="G63" s="2"/>
      <c r="H63" s="2"/>
      <c r="I63" s="2"/>
    </row>
    <row r="64" s="138" customFormat="1" spans="2:9">
      <c r="B64" s="2"/>
      <c r="C64" s="170"/>
      <c r="D64" s="170"/>
      <c r="E64" s="2"/>
      <c r="F64" s="2"/>
      <c r="G64" s="2"/>
      <c r="H64" s="2"/>
      <c r="I64" s="2"/>
    </row>
    <row r="65" s="138" customFormat="1" spans="2:9">
      <c r="B65" s="2"/>
      <c r="C65" s="170"/>
      <c r="D65" s="170"/>
      <c r="E65" s="2"/>
      <c r="F65" s="2"/>
      <c r="G65" s="2"/>
      <c r="H65" s="2"/>
      <c r="I65" s="2"/>
    </row>
    <row r="66" s="138" customFormat="1" spans="2:9">
      <c r="B66" s="2"/>
      <c r="C66" s="170"/>
      <c r="D66" s="170"/>
      <c r="E66" s="2"/>
      <c r="F66" s="2"/>
      <c r="G66" s="2"/>
      <c r="H66" s="2"/>
      <c r="I66" s="2"/>
    </row>
    <row r="67" s="138" customFormat="1" spans="2:5">
      <c r="B67" s="2"/>
      <c r="C67" s="170"/>
      <c r="D67" s="170"/>
      <c r="E67" s="2"/>
    </row>
    <row r="68" s="138" customFormat="1" spans="2:5">
      <c r="B68" s="2"/>
      <c r="C68" s="170"/>
      <c r="D68" s="170"/>
      <c r="E68" s="2"/>
    </row>
    <row r="69" s="138" customFormat="1" spans="2:5">
      <c r="B69" s="2"/>
      <c r="C69" s="170"/>
      <c r="D69" s="170"/>
      <c r="E69" s="2"/>
    </row>
    <row r="70" s="138" customFormat="1" spans="2:5">
      <c r="B70" s="2"/>
      <c r="C70" s="170"/>
      <c r="D70" s="170"/>
      <c r="E70" s="2"/>
    </row>
    <row r="71" s="138" customFormat="1" spans="2:5">
      <c r="B71" s="2"/>
      <c r="C71" s="170"/>
      <c r="D71" s="170"/>
      <c r="E71" s="2"/>
    </row>
    <row r="72" s="138" customFormat="1" spans="2:5">
      <c r="B72" s="2"/>
      <c r="C72" s="170"/>
      <c r="D72" s="170"/>
      <c r="E72" s="2"/>
    </row>
    <row r="73" s="138" customFormat="1" spans="2:5">
      <c r="B73" s="2"/>
      <c r="C73" s="170"/>
      <c r="D73" s="170"/>
      <c r="E73" s="2"/>
    </row>
    <row r="74" s="138" customFormat="1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workbookViewId="0">
      <selection activeCell="D12" sqref="D12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="138" customFormat="1" spans="1:4">
      <c r="A1" s="142" t="s">
        <v>153</v>
      </c>
      <c r="B1" s="142"/>
      <c r="C1" s="143" t="s">
        <v>175</v>
      </c>
      <c r="D1" s="144"/>
    </row>
    <row r="2" s="138" customFormat="1" spans="1:4">
      <c r="A2" s="142" t="s">
        <v>155</v>
      </c>
      <c r="B2" s="142"/>
      <c r="C2" s="145" t="s">
        <v>156</v>
      </c>
      <c r="D2" s="145"/>
    </row>
    <row r="3" s="138" customFormat="1" spans="1:4">
      <c r="A3" s="142" t="s">
        <v>157</v>
      </c>
      <c r="B3" s="142"/>
      <c r="C3" s="146" t="s">
        <v>158</v>
      </c>
      <c r="D3" s="147" t="s">
        <v>61</v>
      </c>
    </row>
    <row r="4" s="138" customFormat="1" spans="1:4">
      <c r="A4" s="142" t="s">
        <v>159</v>
      </c>
      <c r="B4" s="142"/>
      <c r="C4" s="146" t="s">
        <v>160</v>
      </c>
      <c r="D4" s="148"/>
    </row>
    <row r="5" s="138" customFormat="1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="138" customFormat="1" spans="1:33">
      <c r="A6" s="151" t="s">
        <v>21</v>
      </c>
      <c r="B6" s="152" t="s">
        <v>163</v>
      </c>
      <c r="C6" s="153">
        <f>销量!C16</f>
        <v>300</v>
      </c>
      <c r="D6" s="154">
        <f>+SUM(C6:C6)</f>
        <v>300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="138" customFormat="1" spans="1:33">
      <c r="A7" s="142">
        <v>1</v>
      </c>
      <c r="B7" s="152" t="s">
        <v>64</v>
      </c>
      <c r="C7" s="154">
        <f>C6*销量!C8</f>
        <v>612000</v>
      </c>
      <c r="D7" s="154">
        <f>+SUM(C7:C7)</f>
        <v>612000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="138" customFormat="1" spans="1:33">
      <c r="A8" s="142">
        <v>2</v>
      </c>
      <c r="B8" s="142" t="s">
        <v>66</v>
      </c>
      <c r="C8" s="154">
        <f>C7*(1-销量!$K$13)</f>
        <v>184617.574790625</v>
      </c>
      <c r="D8" s="154">
        <f t="shared" ref="D6:D15" si="0">+SUM(C8:C8)</f>
        <v>184617.574790625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="138" customFormat="1" spans="1:33">
      <c r="A9" s="142">
        <v>3</v>
      </c>
      <c r="B9" s="152" t="s">
        <v>69</v>
      </c>
      <c r="C9" s="154">
        <f>+C7-C8</f>
        <v>427382.425209375</v>
      </c>
      <c r="D9" s="154">
        <f t="shared" si="0"/>
        <v>427382.425209375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="138" customFormat="1" spans="1:33">
      <c r="A10" s="142">
        <v>4</v>
      </c>
      <c r="B10" s="151" t="s">
        <v>74</v>
      </c>
      <c r="C10" s="154">
        <f>C6*C33</f>
        <v>270608.522816561</v>
      </c>
      <c r="D10" s="154">
        <f t="shared" si="0"/>
        <v>270608.522816561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="138" customFormat="1" spans="1:32">
      <c r="A11" s="142">
        <v>5</v>
      </c>
      <c r="B11" s="151" t="s">
        <v>76</v>
      </c>
      <c r="C11" s="154">
        <f>+C6*C36</f>
        <v>18360</v>
      </c>
      <c r="D11" s="154">
        <f t="shared" si="0"/>
        <v>18360</v>
      </c>
      <c r="O11" s="151" t="s">
        <v>76</v>
      </c>
      <c r="AE11" s="151" t="s">
        <v>77</v>
      </c>
      <c r="AF11" s="151" t="s">
        <v>76</v>
      </c>
    </row>
    <row r="12" s="138" customFormat="1" spans="1:32">
      <c r="A12" s="142">
        <v>6</v>
      </c>
      <c r="B12" s="151" t="s">
        <v>78</v>
      </c>
      <c r="C12" s="154">
        <f>+C6*C37</f>
        <v>6120</v>
      </c>
      <c r="D12" s="154">
        <f t="shared" si="0"/>
        <v>6120</v>
      </c>
      <c r="O12" s="151" t="s">
        <v>78</v>
      </c>
      <c r="AE12" s="151" t="s">
        <v>79</v>
      </c>
      <c r="AF12" s="151" t="s">
        <v>78</v>
      </c>
    </row>
    <row r="13" s="138" customFormat="1" spans="1:33">
      <c r="A13" s="142">
        <v>7</v>
      </c>
      <c r="B13" s="151" t="s">
        <v>80</v>
      </c>
      <c r="C13" s="154">
        <f>+C6*C38</f>
        <v>6120</v>
      </c>
      <c r="D13" s="154">
        <f t="shared" si="0"/>
        <v>6120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="138" customFormat="1" spans="1:32">
      <c r="A14" s="142">
        <v>8</v>
      </c>
      <c r="B14" s="156" t="s">
        <v>82</v>
      </c>
      <c r="C14" s="154">
        <f>SUM(C11:C13)</f>
        <v>30600</v>
      </c>
      <c r="D14" s="154">
        <f t="shared" si="0"/>
        <v>30600</v>
      </c>
      <c r="O14" s="156" t="s">
        <v>82</v>
      </c>
      <c r="AE14" s="151" t="s">
        <v>83</v>
      </c>
      <c r="AF14" s="156" t="s">
        <v>82</v>
      </c>
    </row>
    <row r="15" s="138" customFormat="1" spans="1:32">
      <c r="A15" s="142">
        <v>9</v>
      </c>
      <c r="B15" s="156" t="s">
        <v>84</v>
      </c>
      <c r="C15" s="154">
        <f>+C9-C10-C14</f>
        <v>126173.902392814</v>
      </c>
      <c r="D15" s="154">
        <f t="shared" si="0"/>
        <v>126173.902392814</v>
      </c>
      <c r="O15" s="156" t="s">
        <v>84</v>
      </c>
      <c r="AE15" s="151" t="s">
        <v>85</v>
      </c>
      <c r="AF15" s="156" t="s">
        <v>84</v>
      </c>
    </row>
    <row r="16" s="138" customFormat="1" spans="1:32">
      <c r="A16" s="142">
        <v>10</v>
      </c>
      <c r="B16" s="151" t="s">
        <v>86</v>
      </c>
      <c r="C16" s="157">
        <f>+C15/C9</f>
        <v>0.295224826643261</v>
      </c>
      <c r="D16" s="157">
        <f>+D15/D9</f>
        <v>0.295224826643261</v>
      </c>
      <c r="E16" s="158"/>
      <c r="F16" s="158"/>
      <c r="G16" s="158"/>
      <c r="O16" s="151" t="s">
        <v>86</v>
      </c>
      <c r="AE16" s="151" t="s">
        <v>87</v>
      </c>
      <c r="AF16" s="151" t="s">
        <v>86</v>
      </c>
    </row>
    <row r="17" s="138" customFormat="1" spans="1:32">
      <c r="A17" s="142">
        <v>11</v>
      </c>
      <c r="B17" s="151" t="s">
        <v>88</v>
      </c>
      <c r="C17" s="154">
        <f>C6*C43+C18</f>
        <v>41470</v>
      </c>
      <c r="D17" s="154">
        <f>+SUM(C17:C17)</f>
        <v>41470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项目投资!F26</f>
        <v>4750</v>
      </c>
      <c r="E18" s="161" t="s">
        <v>165</v>
      </c>
      <c r="F18" s="161"/>
      <c r="G18" s="161"/>
    </row>
    <row r="19" s="138" customFormat="1" spans="1:33">
      <c r="A19" s="142">
        <v>13</v>
      </c>
      <c r="B19" s="151" t="s">
        <v>90</v>
      </c>
      <c r="C19" s="154">
        <f>C6*C44</f>
        <v>8568</v>
      </c>
      <c r="D19" s="154">
        <f>+SUM(C19:C19)</f>
        <v>8568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="138" customFormat="1" spans="1:32">
      <c r="A20" s="142">
        <v>14</v>
      </c>
      <c r="B20" s="151" t="s">
        <v>92</v>
      </c>
      <c r="C20" s="154">
        <f>C6*C45</f>
        <v>12240</v>
      </c>
      <c r="D20" s="154">
        <f>+SUM(C20:C20)</f>
        <v>12240</v>
      </c>
      <c r="O20" s="151" t="s">
        <v>92</v>
      </c>
      <c r="AE20" s="151" t="s">
        <v>93</v>
      </c>
      <c r="AF20" s="151" t="s">
        <v>92</v>
      </c>
    </row>
    <row r="21" s="138" customFormat="1" spans="1:32">
      <c r="A21" s="142">
        <v>15</v>
      </c>
      <c r="B21" s="151" t="s">
        <v>94</v>
      </c>
      <c r="C21" s="162">
        <f>$D$21/$D$6*C6</f>
        <v>21250</v>
      </c>
      <c r="D21" s="154">
        <f>项目投资!F27</f>
        <v>21250</v>
      </c>
      <c r="O21" s="151" t="s">
        <v>94</v>
      </c>
      <c r="AE21" s="151"/>
      <c r="AF21" s="151"/>
    </row>
    <row r="22" s="138" customFormat="1" spans="1:32">
      <c r="A22" s="142">
        <v>16</v>
      </c>
      <c r="B22" s="151" t="s">
        <v>95</v>
      </c>
      <c r="C22" s="154">
        <f>C6*C47</f>
        <v>24480</v>
      </c>
      <c r="D22" s="154">
        <f>+SUM(C22:C22)</f>
        <v>24480</v>
      </c>
      <c r="O22" s="151" t="s">
        <v>95</v>
      </c>
      <c r="AE22" s="151" t="s">
        <v>96</v>
      </c>
      <c r="AF22" s="151" t="s">
        <v>95</v>
      </c>
    </row>
    <row r="23" s="138" customFormat="1" spans="1:32">
      <c r="A23" s="142">
        <v>17</v>
      </c>
      <c r="B23" s="156" t="s">
        <v>97</v>
      </c>
      <c r="C23" s="162">
        <f>+C22+C21+C20+C19+C17</f>
        <v>108008</v>
      </c>
      <c r="D23" s="162">
        <f>+D22+D21+D20+D19+D17</f>
        <v>108008</v>
      </c>
      <c r="O23" s="156" t="s">
        <v>97</v>
      </c>
      <c r="AE23" s="151" t="s">
        <v>98</v>
      </c>
      <c r="AF23" s="156" t="s">
        <v>97</v>
      </c>
    </row>
    <row r="24" s="138" customFormat="1" spans="1:32">
      <c r="A24" s="142">
        <v>18</v>
      </c>
      <c r="B24" s="163" t="s">
        <v>99</v>
      </c>
      <c r="C24" s="162">
        <f>+C15-C23</f>
        <v>18165.9023928141</v>
      </c>
      <c r="D24" s="162">
        <f>+D15-D23</f>
        <v>18165.9023928141</v>
      </c>
      <c r="F24" s="164"/>
      <c r="O24" s="151" t="s">
        <v>99</v>
      </c>
      <c r="AE24" s="151" t="s">
        <v>100</v>
      </c>
      <c r="AF24" s="151" t="s">
        <v>99</v>
      </c>
    </row>
    <row r="25" s="138" customFormat="1" spans="1:32">
      <c r="A25" s="142">
        <v>19</v>
      </c>
      <c r="B25" s="151" t="s">
        <v>166</v>
      </c>
      <c r="C25" s="162">
        <f>IF(C24&lt;0,0,C24*0.25)</f>
        <v>4541.47559820353</v>
      </c>
      <c r="D25" s="162">
        <f>IF(D24&lt;0,0,D24*0.25)</f>
        <v>4541.47559820353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="138" customFormat="1" spans="1:32">
      <c r="A26" s="142">
        <v>20</v>
      </c>
      <c r="B26" s="151" t="s">
        <v>102</v>
      </c>
      <c r="C26" s="162">
        <f>C24-C25</f>
        <v>13624.4267946106</v>
      </c>
      <c r="D26" s="154">
        <f>+SUM(C26:C26)</f>
        <v>13624.4267946106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="138" customFormat="1" spans="1:32">
      <c r="A27" s="142">
        <v>21</v>
      </c>
      <c r="B27" s="151" t="s">
        <v>106</v>
      </c>
      <c r="C27" s="165">
        <f>C26/C7</f>
        <v>0.0222621352853114</v>
      </c>
      <c r="D27" s="165">
        <f>D26/D7</f>
        <v>0.0222621352853114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="138" customFormat="1" spans="3:15">
      <c r="C28" s="141"/>
      <c r="D28" s="141"/>
      <c r="E28" s="2"/>
      <c r="F28" s="2"/>
      <c r="G28" s="2"/>
      <c r="O28" s="151"/>
    </row>
    <row r="29" s="138" customFormat="1" spans="1:31">
      <c r="A29" s="138" t="s">
        <v>107</v>
      </c>
      <c r="C29" s="141"/>
      <c r="D29" s="141" t="s">
        <v>167</v>
      </c>
      <c r="E29" s="2"/>
      <c r="F29" s="2"/>
      <c r="G29" s="2"/>
      <c r="O29" s="151"/>
      <c r="AE29" s="138" t="s">
        <v>107</v>
      </c>
    </row>
    <row r="30" s="138" customFormat="1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="138" customFormat="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="138" customFormat="1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="138" customFormat="1" spans="1:32">
      <c r="A33" s="142">
        <v>3</v>
      </c>
      <c r="B33" s="159" t="s">
        <v>112</v>
      </c>
      <c r="C33" s="154">
        <f>材料成本!D32</f>
        <v>902.028409388536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s="138" customFormat="1" ht="17.25" customHeight="1" spans="1:32">
      <c r="A34" s="142">
        <v>4</v>
      </c>
      <c r="B34" s="151" t="s">
        <v>114</v>
      </c>
      <c r="C34" s="167">
        <f>C32-C33</f>
        <v>1137.97159061146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="138" customFormat="1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="138" customFormat="1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="138" customFormat="1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="138" customFormat="1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="138" customFormat="1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="138" customFormat="1" spans="1:32">
      <c r="A40" s="142">
        <v>1</v>
      </c>
      <c r="B40" s="151" t="s">
        <v>123</v>
      </c>
      <c r="C40" s="162">
        <f>C34-C36-C37-C38</f>
        <v>1035.97159061146</v>
      </c>
      <c r="D40" s="162"/>
      <c r="O40" s="151" t="s">
        <v>123</v>
      </c>
      <c r="AE40" s="151" t="s">
        <v>65</v>
      </c>
      <c r="AF40" s="151" t="s">
        <v>123</v>
      </c>
    </row>
    <row r="41" s="138" customFormat="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="138" customFormat="1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="138" customFormat="1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="138" customFormat="1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="138" customFormat="1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70.8333333333333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="138" customFormat="1" spans="1:32">
      <c r="A48" s="151" t="s">
        <v>125</v>
      </c>
      <c r="B48" s="156" t="s">
        <v>143</v>
      </c>
      <c r="C48" s="162">
        <f>C40-C43-C44-C45-C47-C46</f>
        <v>691.77825727813</v>
      </c>
      <c r="D48" s="162"/>
      <c r="O48" s="156" t="s">
        <v>143</v>
      </c>
      <c r="AE48" s="151" t="s">
        <v>142</v>
      </c>
      <c r="AF48" s="156" t="s">
        <v>143</v>
      </c>
    </row>
    <row r="49" s="138" customFormat="1" spans="3:4">
      <c r="C49" s="141"/>
      <c r="D49" s="141"/>
    </row>
    <row r="50" s="138" customFormat="1" spans="3:4">
      <c r="C50" s="141"/>
      <c r="D50" s="141"/>
    </row>
    <row r="51" s="138" customFormat="1" spans="3:4">
      <c r="C51" s="169"/>
      <c r="D51" s="141"/>
    </row>
    <row r="52" s="138" customFormat="1" spans="3:4">
      <c r="C52" s="141"/>
      <c r="D52" s="141"/>
    </row>
    <row r="53" s="138" customFormat="1" spans="3:4">
      <c r="C53" s="141"/>
      <c r="D53" s="141"/>
    </row>
    <row r="54" s="138" customFormat="1" spans="2:9">
      <c r="B54" s="2"/>
      <c r="C54" s="170"/>
      <c r="D54" s="170"/>
      <c r="E54" s="2"/>
      <c r="F54" s="2"/>
      <c r="G54" s="2"/>
      <c r="H54" s="2"/>
      <c r="I54" s="2"/>
    </row>
    <row r="55" s="138" customFormat="1" spans="2:9">
      <c r="B55" s="2"/>
      <c r="C55" s="170"/>
      <c r="D55" s="170"/>
      <c r="E55" s="2"/>
      <c r="F55" s="2"/>
      <c r="G55" s="2"/>
      <c r="H55" s="2"/>
      <c r="I55" s="2"/>
    </row>
    <row r="56" s="138" customFormat="1" spans="2:9">
      <c r="B56" s="2"/>
      <c r="C56" s="170"/>
      <c r="D56" s="170"/>
      <c r="E56" s="2"/>
      <c r="F56" s="2"/>
      <c r="G56" s="2"/>
      <c r="H56" s="2"/>
      <c r="I56" s="2"/>
    </row>
    <row r="57" s="138" customFormat="1" spans="2:9">
      <c r="B57" s="2"/>
      <c r="C57" s="170"/>
      <c r="D57" s="170"/>
      <c r="E57" s="2"/>
      <c r="F57" s="2"/>
      <c r="G57" s="2"/>
      <c r="H57" s="2"/>
      <c r="I57" s="2"/>
    </row>
    <row r="58" s="138" customFormat="1" spans="2:9">
      <c r="B58" s="2"/>
      <c r="C58" s="170"/>
      <c r="D58" s="170"/>
      <c r="E58" s="2"/>
      <c r="F58" s="2"/>
      <c r="G58" s="2"/>
      <c r="H58" s="2"/>
      <c r="I58" s="2"/>
    </row>
    <row r="59" s="138" customFormat="1" spans="2:9">
      <c r="B59" s="2"/>
      <c r="C59" s="170"/>
      <c r="D59" s="170"/>
      <c r="E59" s="2"/>
      <c r="F59" s="2"/>
      <c r="G59" s="2"/>
      <c r="H59" s="2"/>
      <c r="I59" s="2"/>
    </row>
    <row r="60" s="138" customFormat="1" spans="2:9">
      <c r="B60" s="2"/>
      <c r="C60" s="170"/>
      <c r="D60" s="170"/>
      <c r="E60" s="2"/>
      <c r="F60" s="2"/>
      <c r="G60" s="2"/>
      <c r="H60" s="2"/>
      <c r="I60" s="2"/>
    </row>
    <row r="61" s="138" customFormat="1" spans="2:9">
      <c r="B61" s="2"/>
      <c r="C61" s="170"/>
      <c r="D61" s="170"/>
      <c r="E61" s="2"/>
      <c r="F61" s="2"/>
      <c r="G61" s="2"/>
      <c r="H61" s="2"/>
      <c r="I61" s="2"/>
    </row>
    <row r="62" s="138" customFormat="1" spans="2:9">
      <c r="B62" s="2"/>
      <c r="C62" s="170"/>
      <c r="D62" s="170"/>
      <c r="E62" s="2"/>
      <c r="F62" s="2"/>
      <c r="G62" s="2"/>
      <c r="H62" s="2"/>
      <c r="I62" s="2"/>
    </row>
    <row r="63" s="138" customFormat="1" spans="2:9">
      <c r="B63" s="2"/>
      <c r="C63" s="170"/>
      <c r="D63" s="170"/>
      <c r="E63" s="2"/>
      <c r="F63" s="2"/>
      <c r="G63" s="2"/>
      <c r="H63" s="2"/>
      <c r="I63" s="2"/>
    </row>
    <row r="64" s="138" customFormat="1" spans="2:9">
      <c r="B64" s="2"/>
      <c r="C64" s="170"/>
      <c r="D64" s="170"/>
      <c r="E64" s="2"/>
      <c r="F64" s="2"/>
      <c r="G64" s="2"/>
      <c r="H64" s="2"/>
      <c r="I64" s="2"/>
    </row>
    <row r="65" s="138" customFormat="1" spans="2:9">
      <c r="B65" s="2"/>
      <c r="C65" s="170"/>
      <c r="D65" s="170"/>
      <c r="E65" s="2"/>
      <c r="F65" s="2"/>
      <c r="G65" s="2"/>
      <c r="H65" s="2"/>
      <c r="I65" s="2"/>
    </row>
    <row r="66" s="138" customFormat="1" spans="2:9">
      <c r="B66" s="2"/>
      <c r="C66" s="170"/>
      <c r="D66" s="170"/>
      <c r="E66" s="2"/>
      <c r="F66" s="2"/>
      <c r="G66" s="2"/>
      <c r="H66" s="2"/>
      <c r="I66" s="2"/>
    </row>
    <row r="67" s="138" customFormat="1" spans="2:5">
      <c r="B67" s="2"/>
      <c r="C67" s="170"/>
      <c r="D67" s="170"/>
      <c r="E67" s="2"/>
    </row>
    <row r="68" s="138" customFormat="1" spans="2:5">
      <c r="B68" s="2"/>
      <c r="C68" s="170"/>
      <c r="D68" s="170"/>
      <c r="E68" s="2"/>
    </row>
    <row r="69" s="138" customFormat="1" spans="2:5">
      <c r="B69" s="2"/>
      <c r="C69" s="170"/>
      <c r="D69" s="170"/>
      <c r="E69" s="2"/>
    </row>
    <row r="70" s="138" customFormat="1" spans="2:5">
      <c r="B70" s="2"/>
      <c r="C70" s="170"/>
      <c r="D70" s="170"/>
      <c r="E70" s="2"/>
    </row>
    <row r="71" s="138" customFormat="1" spans="2:5">
      <c r="B71" s="2"/>
      <c r="C71" s="170"/>
      <c r="D71" s="170"/>
      <c r="E71" s="2"/>
    </row>
    <row r="72" s="138" customFormat="1" spans="2:5">
      <c r="B72" s="2"/>
      <c r="C72" s="170"/>
      <c r="D72" s="170"/>
      <c r="E72" s="2"/>
    </row>
    <row r="73" s="138" customFormat="1" spans="2:5">
      <c r="B73" s="2"/>
      <c r="C73" s="170"/>
      <c r="D73" s="170"/>
      <c r="E73" s="2"/>
    </row>
    <row r="74" s="138" customFormat="1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4"/>
  <cols>
    <col min="1" max="1" width="19.5" customWidth="1"/>
    <col min="2" max="2" width="14.8727272727273" style="94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5.1818181818182" customWidth="1"/>
    <col min="8" max="8" width="13" customWidth="1"/>
    <col min="9" max="9" width="14.8727272727273" customWidth="1"/>
    <col min="10" max="11" width="13" customWidth="1"/>
    <col min="12" max="12" width="15.6363636363636"/>
    <col min="13" max="13" width="12.4545454545455"/>
  </cols>
  <sheetData>
    <row r="1" ht="21" spans="1:8">
      <c r="A1" s="95" t="s">
        <v>176</v>
      </c>
      <c r="B1" s="95"/>
      <c r="C1" s="95"/>
      <c r="E1" s="96" t="s">
        <v>177</v>
      </c>
      <c r="F1" s="97"/>
      <c r="G1" s="97"/>
      <c r="H1" s="98"/>
    </row>
    <row r="2" ht="23.45" customHeight="1" spans="1:8">
      <c r="A2" s="99" t="s">
        <v>1</v>
      </c>
      <c r="B2" s="100" t="s">
        <v>178</v>
      </c>
      <c r="C2" s="101" t="s">
        <v>179</v>
      </c>
      <c r="E2" s="102" t="s">
        <v>180</v>
      </c>
      <c r="F2" s="102" t="s">
        <v>1</v>
      </c>
      <c r="G2" s="103" t="s">
        <v>181</v>
      </c>
      <c r="H2" s="102" t="s">
        <v>179</v>
      </c>
    </row>
    <row r="3" ht="15.75" customHeight="1" spans="1:8">
      <c r="A3" s="104" t="s">
        <v>182</v>
      </c>
      <c r="B3" s="105"/>
      <c r="C3" s="106"/>
      <c r="E3" s="107" t="s">
        <v>183</v>
      </c>
      <c r="F3" s="108" t="s">
        <v>184</v>
      </c>
      <c r="G3" s="109">
        <v>0</v>
      </c>
      <c r="H3" s="108"/>
    </row>
    <row r="4" ht="15.75" customHeight="1" spans="1:8">
      <c r="A4" s="104" t="s">
        <v>185</v>
      </c>
      <c r="B4" s="105"/>
      <c r="C4" s="110"/>
      <c r="E4" s="111"/>
      <c r="F4" s="108" t="s">
        <v>186</v>
      </c>
      <c r="G4" s="109">
        <v>0</v>
      </c>
      <c r="H4" s="108"/>
    </row>
    <row r="5" ht="15.75" customHeight="1" spans="1:8">
      <c r="A5" s="104" t="s">
        <v>187</v>
      </c>
      <c r="B5" s="112">
        <f>SUM(G3:G4)</f>
        <v>0</v>
      </c>
      <c r="C5" s="106"/>
      <c r="E5" s="113" t="s">
        <v>188</v>
      </c>
      <c r="F5" s="114" t="s">
        <v>189</v>
      </c>
      <c r="G5" s="109"/>
      <c r="H5" s="114"/>
    </row>
    <row r="6" ht="15.75" customHeight="1" spans="1:10">
      <c r="A6" s="104" t="s">
        <v>190</v>
      </c>
      <c r="B6" s="105"/>
      <c r="C6" s="106"/>
      <c r="E6" s="115"/>
      <c r="F6" s="114" t="s">
        <v>191</v>
      </c>
      <c r="G6" s="109"/>
      <c r="H6" s="108"/>
      <c r="J6">
        <v>10000</v>
      </c>
    </row>
    <row r="7" ht="15.75" customHeight="1" spans="1:8">
      <c r="A7" s="116" t="s">
        <v>192</v>
      </c>
      <c r="B7" s="112">
        <f>SUM(B3:B6)</f>
        <v>0</v>
      </c>
      <c r="C7" s="106"/>
      <c r="E7" s="115"/>
      <c r="F7" s="114" t="s">
        <v>193</v>
      </c>
      <c r="G7" s="117">
        <v>4</v>
      </c>
      <c r="H7" s="108"/>
    </row>
    <row r="8" ht="15.75" customHeight="1" spans="1:8">
      <c r="A8" s="118" t="s">
        <v>194</v>
      </c>
      <c r="B8" s="112">
        <f>SUM(G5:G12)</f>
        <v>4</v>
      </c>
      <c r="C8" s="119"/>
      <c r="E8" s="115"/>
      <c r="F8" s="114" t="s">
        <v>195</v>
      </c>
      <c r="G8" s="117"/>
      <c r="H8" s="108"/>
    </row>
    <row r="9" ht="15.75" customHeight="1" spans="1:8">
      <c r="A9" s="104" t="s">
        <v>196</v>
      </c>
      <c r="B9" s="112">
        <f>SUM(G13:G21)</f>
        <v>17</v>
      </c>
      <c r="C9" s="106"/>
      <c r="E9" s="115"/>
      <c r="F9" s="108" t="s">
        <v>197</v>
      </c>
      <c r="G9" s="117"/>
      <c r="H9" s="120"/>
    </row>
    <row r="10" ht="15.75" customHeight="1" spans="1:8">
      <c r="A10" s="110" t="s">
        <v>61</v>
      </c>
      <c r="B10" s="112">
        <f>B7+B8+B9</f>
        <v>21</v>
      </c>
      <c r="C10" s="106"/>
      <c r="E10" s="115"/>
      <c r="F10" s="108" t="s">
        <v>198</v>
      </c>
      <c r="G10" s="121"/>
      <c r="H10" s="108"/>
    </row>
    <row r="11" ht="15.75" customHeight="1" spans="5:8">
      <c r="E11" s="115"/>
      <c r="F11" s="108" t="s">
        <v>199</v>
      </c>
      <c r="G11" s="121"/>
      <c r="H11" s="108"/>
    </row>
    <row r="12" ht="15.75" customHeight="1" spans="5:8">
      <c r="E12" s="122"/>
      <c r="F12" s="108" t="s">
        <v>200</v>
      </c>
      <c r="G12" s="117" t="s">
        <v>31</v>
      </c>
      <c r="H12" s="120"/>
    </row>
    <row r="13" ht="15.75" customHeight="1" spans="5:8">
      <c r="E13" s="107" t="s">
        <v>94</v>
      </c>
      <c r="F13" s="108" t="s">
        <v>201</v>
      </c>
      <c r="G13" s="117"/>
      <c r="H13" s="123"/>
    </row>
    <row r="14" ht="15.75" customHeight="1" spans="5:8">
      <c r="E14" s="111"/>
      <c r="F14" s="108" t="s">
        <v>202</v>
      </c>
      <c r="G14" s="117">
        <v>2</v>
      </c>
      <c r="H14" s="108"/>
    </row>
    <row r="15" ht="15.75" customHeight="1" spans="5:8">
      <c r="E15" s="111"/>
      <c r="F15" s="108" t="s">
        <v>203</v>
      </c>
      <c r="G15" s="117"/>
      <c r="H15" s="108"/>
    </row>
    <row r="16" ht="15.75" customHeight="1" spans="5:8">
      <c r="E16" s="111"/>
      <c r="F16" s="108" t="s">
        <v>204</v>
      </c>
      <c r="G16" s="117">
        <v>1</v>
      </c>
      <c r="H16" s="108"/>
    </row>
    <row r="17" ht="15.75" customHeight="1" spans="5:8">
      <c r="E17" s="111"/>
      <c r="F17" s="108" t="s">
        <v>205</v>
      </c>
      <c r="G17" s="117"/>
      <c r="H17" s="108"/>
    </row>
    <row r="18" ht="15.75" customHeight="1" spans="5:8">
      <c r="E18" s="111"/>
      <c r="F18" s="108" t="s">
        <v>206</v>
      </c>
      <c r="G18" s="117">
        <v>4</v>
      </c>
      <c r="H18" s="108"/>
    </row>
    <row r="19" ht="15.75" customHeight="1" spans="5:8">
      <c r="E19" s="111"/>
      <c r="F19" s="108" t="s">
        <v>207</v>
      </c>
      <c r="G19" s="117">
        <v>10</v>
      </c>
      <c r="H19" s="108"/>
    </row>
    <row r="20" ht="15.75" customHeight="1" spans="5:8">
      <c r="E20" s="111"/>
      <c r="F20" s="108" t="s">
        <v>208</v>
      </c>
      <c r="G20" s="109"/>
      <c r="H20" s="108"/>
    </row>
    <row r="21" ht="15.75" customHeight="1" spans="5:8">
      <c r="E21" s="124"/>
      <c r="F21" s="108" t="s">
        <v>39</v>
      </c>
      <c r="G21" s="109">
        <v>0</v>
      </c>
      <c r="H21" s="108"/>
    </row>
    <row r="22" spans="5:8">
      <c r="E22" s="102" t="s">
        <v>61</v>
      </c>
      <c r="F22" s="108"/>
      <c r="G22" s="103">
        <f>SUM(G3:G21)</f>
        <v>21</v>
      </c>
      <c r="H22" s="125"/>
    </row>
    <row r="23" ht="30.75" customHeight="1" spans="5:8">
      <c r="E23" s="126" t="s">
        <v>209</v>
      </c>
      <c r="F23" s="126"/>
      <c r="G23" s="126"/>
      <c r="H23" s="126"/>
    </row>
    <row r="25" ht="16.5" spans="1:13">
      <c r="A25" s="127" t="s">
        <v>1</v>
      </c>
      <c r="B25" s="127" t="s">
        <v>178</v>
      </c>
      <c r="C25" s="127" t="s">
        <v>210</v>
      </c>
      <c r="D25" s="128" t="s">
        <v>211</v>
      </c>
      <c r="E25" s="128" t="s">
        <v>54</v>
      </c>
      <c r="F25" s="128" t="s">
        <v>55</v>
      </c>
      <c r="G25" s="128" t="s">
        <v>56</v>
      </c>
      <c r="H25" s="128" t="s">
        <v>212</v>
      </c>
      <c r="I25" s="128" t="s">
        <v>213</v>
      </c>
      <c r="J25" s="128" t="s">
        <v>214</v>
      </c>
      <c r="K25" s="128" t="s">
        <v>215</v>
      </c>
      <c r="L25" s="128" t="s">
        <v>61</v>
      </c>
      <c r="M25" s="136" t="s">
        <v>216</v>
      </c>
    </row>
    <row r="26" ht="16.5" spans="1:13">
      <c r="A26" s="129" t="s">
        <v>164</v>
      </c>
      <c r="B26" s="130">
        <f>(B5+B8)*10000</f>
        <v>40000</v>
      </c>
      <c r="C26" s="131">
        <v>0.05</v>
      </c>
      <c r="D26" s="132">
        <f>B26*(1-C26)/8</f>
        <v>4750</v>
      </c>
      <c r="E26" s="132">
        <f t="shared" ref="E26:K26" si="0">D26</f>
        <v>4750</v>
      </c>
      <c r="F26" s="132">
        <f t="shared" si="0"/>
        <v>4750</v>
      </c>
      <c r="G26" s="132">
        <f t="shared" si="0"/>
        <v>4750</v>
      </c>
      <c r="H26" s="132">
        <f t="shared" si="0"/>
        <v>4750</v>
      </c>
      <c r="I26" s="132">
        <f t="shared" si="0"/>
        <v>4750</v>
      </c>
      <c r="J26" s="132">
        <f t="shared" si="0"/>
        <v>4750</v>
      </c>
      <c r="K26" s="132">
        <f t="shared" si="0"/>
        <v>4750</v>
      </c>
      <c r="L26" s="132">
        <f>SUM(D26:K26)</f>
        <v>38000</v>
      </c>
      <c r="M26" s="132">
        <f>B26*0.05</f>
        <v>2000</v>
      </c>
    </row>
    <row r="27" ht="16.5" spans="1:13">
      <c r="A27" s="129" t="s">
        <v>217</v>
      </c>
      <c r="B27" s="130">
        <f>B9*10000</f>
        <v>170000</v>
      </c>
      <c r="C27" s="132"/>
      <c r="D27" s="132">
        <f>B27/8</f>
        <v>21250</v>
      </c>
      <c r="E27" s="132">
        <f t="shared" ref="E26:F27" si="1">D27</f>
        <v>21250</v>
      </c>
      <c r="F27" s="132">
        <f t="shared" si="1"/>
        <v>21250</v>
      </c>
      <c r="G27" s="132">
        <f>F27</f>
        <v>21250</v>
      </c>
      <c r="H27" s="132">
        <f>G27</f>
        <v>21250</v>
      </c>
      <c r="I27" s="132">
        <f>H27</f>
        <v>21250</v>
      </c>
      <c r="J27" s="132">
        <f>I27</f>
        <v>21250</v>
      </c>
      <c r="K27" s="132">
        <f>J27</f>
        <v>21250</v>
      </c>
      <c r="L27" s="132">
        <f>SUM(D27:K27)</f>
        <v>170000</v>
      </c>
      <c r="M27" s="132"/>
    </row>
    <row r="28" ht="16.5" spans="1:13">
      <c r="A28" s="133" t="s">
        <v>151</v>
      </c>
      <c r="B28" s="134"/>
      <c r="C28" s="135"/>
      <c r="D28" s="132">
        <f>SUM(D26:D27)</f>
        <v>26000</v>
      </c>
      <c r="E28" s="132">
        <f t="shared" ref="E28:L28" si="2">SUM(E26:E27)</f>
        <v>26000</v>
      </c>
      <c r="F28" s="132">
        <f t="shared" si="2"/>
        <v>26000</v>
      </c>
      <c r="G28" s="132">
        <f t="shared" si="2"/>
        <v>26000</v>
      </c>
      <c r="H28" s="132">
        <f t="shared" si="2"/>
        <v>26000</v>
      </c>
      <c r="I28" s="132">
        <f t="shared" si="2"/>
        <v>26000</v>
      </c>
      <c r="J28" s="132">
        <f t="shared" si="2"/>
        <v>26000</v>
      </c>
      <c r="K28" s="132">
        <f t="shared" si="2"/>
        <v>26000</v>
      </c>
      <c r="L28" s="132">
        <f t="shared" si="2"/>
        <v>208000</v>
      </c>
      <c r="M28" s="13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85" zoomScaleNormal="85" workbookViewId="0">
      <selection activeCell="K8" sqref="K8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1.1272727272727" style="69" customWidth="1"/>
    <col min="5" max="5" width="12.8727272727273" style="69" customWidth="1"/>
    <col min="6" max="6" width="11.1272727272727" style="69" customWidth="1"/>
    <col min="7" max="7" width="13.2545454545455" style="69" customWidth="1"/>
    <col min="8" max="8" width="11.6272727272727" style="69" customWidth="1"/>
    <col min="9" max="9" width="9.25454545454545" style="69" customWidth="1"/>
    <col min="10" max="10" width="9.12727272727273" style="70" customWidth="1"/>
    <col min="11" max="11" width="12.8727272727273" style="70"/>
    <col min="12" max="16384" width="9" style="69"/>
  </cols>
  <sheetData>
    <row r="1" ht="29.25" customHeight="1" spans="1:8">
      <c r="A1" s="71" t="s">
        <v>218</v>
      </c>
      <c r="E1" s="72"/>
      <c r="F1" s="72"/>
      <c r="G1" s="72"/>
      <c r="H1" s="72"/>
    </row>
    <row r="2" ht="24" customHeight="1" spans="1:8">
      <c r="A2" s="73" t="s">
        <v>219</v>
      </c>
      <c r="E2" s="72"/>
      <c r="F2" s="72"/>
      <c r="G2" s="72"/>
      <c r="H2" s="72"/>
    </row>
    <row r="3" spans="3:5">
      <c r="C3" s="69" t="s">
        <v>220</v>
      </c>
      <c r="D3" s="69" t="s">
        <v>221</v>
      </c>
      <c r="E3" s="74">
        <v>0.05</v>
      </c>
    </row>
    <row r="5" ht="45" customHeight="1" spans="1:8">
      <c r="A5" s="75" t="s">
        <v>222</v>
      </c>
      <c r="B5" s="76" t="s">
        <v>157</v>
      </c>
      <c r="C5" s="21" t="s">
        <v>158</v>
      </c>
      <c r="D5" s="21"/>
      <c r="E5" s="21"/>
      <c r="F5" s="21"/>
      <c r="G5" s="21"/>
      <c r="H5" s="77" t="s">
        <v>61</v>
      </c>
    </row>
    <row r="6" ht="31.5" customHeight="1" spans="1:10">
      <c r="A6" s="75"/>
      <c r="B6" s="76" t="s">
        <v>159</v>
      </c>
      <c r="C6" s="21" t="s">
        <v>160</v>
      </c>
      <c r="D6" s="21"/>
      <c r="E6" s="21"/>
      <c r="F6" s="21"/>
      <c r="G6" s="21"/>
      <c r="H6" s="78"/>
      <c r="J6" s="70">
        <v>100</v>
      </c>
    </row>
    <row r="7" ht="43" customHeight="1" spans="1:11">
      <c r="A7" s="75"/>
      <c r="B7" s="23" t="s">
        <v>223</v>
      </c>
      <c r="C7" s="79" t="s">
        <v>162</v>
      </c>
      <c r="D7" s="79"/>
      <c r="E7" s="23"/>
      <c r="F7" s="23"/>
      <c r="G7" s="79"/>
      <c r="H7" s="80"/>
      <c r="I7" s="69">
        <v>2025</v>
      </c>
      <c r="J7" s="70">
        <f>J6*(1-$E$3)</f>
        <v>95</v>
      </c>
      <c r="K7" s="70">
        <f>J7/$J$6</f>
        <v>0.95</v>
      </c>
    </row>
    <row r="8" ht="33" spans="1:11">
      <c r="A8" s="75"/>
      <c r="B8" s="23" t="s">
        <v>224</v>
      </c>
      <c r="C8" s="81">
        <v>2040</v>
      </c>
      <c r="D8" s="81"/>
      <c r="E8" s="81"/>
      <c r="F8" s="81"/>
      <c r="G8" s="81"/>
      <c r="H8" s="82">
        <f>SUM(C8:G8)</f>
        <v>2040</v>
      </c>
      <c r="I8" s="69">
        <v>2026</v>
      </c>
      <c r="J8" s="70">
        <f>J7*(1-$E$3)</f>
        <v>90.25</v>
      </c>
      <c r="K8" s="70">
        <f t="shared" ref="K8:K13" si="0">J8/$J$6</f>
        <v>0.9025</v>
      </c>
    </row>
    <row r="9" spans="1:11">
      <c r="A9" s="83" t="s">
        <v>225</v>
      </c>
      <c r="B9" s="23" t="s">
        <v>211</v>
      </c>
      <c r="C9" s="84">
        <v>20</v>
      </c>
      <c r="D9" s="84"/>
      <c r="E9" s="84"/>
      <c r="F9" s="84"/>
      <c r="G9" s="84"/>
      <c r="H9" s="82">
        <f>SUM(C9:G9)</f>
        <v>20</v>
      </c>
      <c r="I9" s="69">
        <v>2027</v>
      </c>
      <c r="J9" s="70">
        <f>J8*(1-E3)</f>
        <v>85.7375</v>
      </c>
      <c r="K9" s="70">
        <f t="shared" si="0"/>
        <v>0.857375</v>
      </c>
    </row>
    <row r="10" spans="1:11">
      <c r="A10" s="85"/>
      <c r="B10" s="86" t="s">
        <v>54</v>
      </c>
      <c r="C10" s="84">
        <v>200</v>
      </c>
      <c r="D10" s="84"/>
      <c r="E10" s="84"/>
      <c r="F10" s="84"/>
      <c r="G10" s="84"/>
      <c r="H10" s="82">
        <f t="shared" ref="H10:H16" si="1">SUM(C10:G10)</f>
        <v>200</v>
      </c>
      <c r="I10" s="69">
        <v>2028</v>
      </c>
      <c r="J10" s="70">
        <f>J9*(1-$E$3)</f>
        <v>81.450625</v>
      </c>
      <c r="K10" s="70">
        <f t="shared" si="0"/>
        <v>0.81450625</v>
      </c>
    </row>
    <row r="11" spans="1:11">
      <c r="A11" s="85"/>
      <c r="B11" s="86" t="s">
        <v>55</v>
      </c>
      <c r="C11" s="84">
        <v>200</v>
      </c>
      <c r="D11" s="84"/>
      <c r="E11" s="84"/>
      <c r="F11" s="84"/>
      <c r="G11" s="84"/>
      <c r="H11" s="82">
        <f t="shared" si="1"/>
        <v>200</v>
      </c>
      <c r="I11" s="69">
        <v>2029</v>
      </c>
      <c r="J11" s="70">
        <f>J10*(1-$E$3)</f>
        <v>77.37809375</v>
      </c>
      <c r="K11" s="70">
        <f t="shared" ref="K11:K12" si="2">J11/$J$6</f>
        <v>0.7737809375</v>
      </c>
    </row>
    <row r="12" spans="1:11">
      <c r="A12" s="85"/>
      <c r="B12" s="86" t="s">
        <v>56</v>
      </c>
      <c r="C12" s="84">
        <v>200</v>
      </c>
      <c r="D12" s="84"/>
      <c r="E12" s="84"/>
      <c r="F12" s="84"/>
      <c r="G12" s="84"/>
      <c r="H12" s="82">
        <f t="shared" si="1"/>
        <v>200</v>
      </c>
      <c r="I12" s="69">
        <v>2030</v>
      </c>
      <c r="J12" s="70">
        <f>J11*(1-E3)</f>
        <v>73.5091890625</v>
      </c>
      <c r="K12" s="70">
        <f t="shared" si="0"/>
        <v>0.735091890625</v>
      </c>
    </row>
    <row r="13" spans="1:11">
      <c r="A13" s="85"/>
      <c r="B13" s="86" t="s">
        <v>212</v>
      </c>
      <c r="C13" s="84">
        <v>300</v>
      </c>
      <c r="D13" s="84"/>
      <c r="E13" s="84"/>
      <c r="F13" s="84"/>
      <c r="G13" s="84"/>
      <c r="H13" s="82">
        <f t="shared" si="1"/>
        <v>300</v>
      </c>
      <c r="I13" s="69">
        <v>2031</v>
      </c>
      <c r="J13" s="70">
        <f>J12*(1-$E$3)</f>
        <v>69.833729609375</v>
      </c>
      <c r="K13" s="70">
        <f t="shared" si="0"/>
        <v>0.69833729609375</v>
      </c>
    </row>
    <row r="14" spans="1:8">
      <c r="A14" s="85"/>
      <c r="B14" s="86" t="s">
        <v>213</v>
      </c>
      <c r="C14" s="84">
        <v>300</v>
      </c>
      <c r="D14" s="84"/>
      <c r="E14" s="84"/>
      <c r="F14" s="84"/>
      <c r="G14" s="84"/>
      <c r="H14" s="82">
        <f t="shared" si="1"/>
        <v>300</v>
      </c>
    </row>
    <row r="15" spans="1:8">
      <c r="A15" s="85"/>
      <c r="B15" s="86" t="s">
        <v>214</v>
      </c>
      <c r="C15" s="84">
        <v>300</v>
      </c>
      <c r="D15" s="84"/>
      <c r="E15" s="84"/>
      <c r="F15" s="84"/>
      <c r="G15" s="84"/>
      <c r="H15" s="82">
        <f t="shared" si="1"/>
        <v>300</v>
      </c>
    </row>
    <row r="16" spans="1:8">
      <c r="A16" s="87"/>
      <c r="B16" s="86" t="s">
        <v>215</v>
      </c>
      <c r="C16" s="84">
        <v>300</v>
      </c>
      <c r="D16" s="84"/>
      <c r="E16" s="84"/>
      <c r="F16" s="84"/>
      <c r="G16" s="84"/>
      <c r="H16" s="82">
        <f t="shared" si="1"/>
        <v>300</v>
      </c>
    </row>
    <row r="17" spans="1:8">
      <c r="A17" s="86" t="s">
        <v>61</v>
      </c>
      <c r="B17" s="86"/>
      <c r="C17" s="88">
        <f>SUM(C9:C16)</f>
        <v>1820</v>
      </c>
      <c r="D17" s="88">
        <f t="shared" ref="C17:H17" si="3">SUM(D9:D15)</f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88">
        <f>SUM(H9:H16)</f>
        <v>1820</v>
      </c>
    </row>
    <row r="18" ht="33" spans="1:3">
      <c r="A18" s="89"/>
      <c r="B18" s="89"/>
      <c r="C18" s="90" t="s">
        <v>52</v>
      </c>
    </row>
    <row r="19" spans="2:8">
      <c r="B19" s="69" t="s">
        <v>226</v>
      </c>
      <c r="C19" s="91">
        <f>材料成本!D24</f>
        <v>1291.6801299804</v>
      </c>
      <c r="D19" s="91">
        <f>材料成本!E24</f>
        <v>0</v>
      </c>
      <c r="E19" s="91">
        <f>材料成本!F24</f>
        <v>0</v>
      </c>
      <c r="F19" s="91">
        <f>材料成本!G24</f>
        <v>0</v>
      </c>
      <c r="G19" s="91">
        <f>材料成本!H24</f>
        <v>0</v>
      </c>
      <c r="H19" s="89">
        <f>SUM(C19:G19)</f>
        <v>1291.6801299804</v>
      </c>
    </row>
    <row r="20" spans="2:8">
      <c r="B20" s="69" t="s">
        <v>109</v>
      </c>
      <c r="C20" s="91">
        <f>C8-C19</f>
        <v>748.3198700196</v>
      </c>
      <c r="D20" s="91">
        <f>D8-D19</f>
        <v>0</v>
      </c>
      <c r="E20" s="91">
        <f>E8-E19</f>
        <v>0</v>
      </c>
      <c r="F20" s="91">
        <f>F8-F19</f>
        <v>0</v>
      </c>
      <c r="G20" s="91">
        <f>G8-G19</f>
        <v>0</v>
      </c>
      <c r="H20" s="89">
        <f>SUM(C20:G20)</f>
        <v>748.3198700196</v>
      </c>
    </row>
    <row r="21" spans="2:8">
      <c r="B21" s="69" t="s">
        <v>227</v>
      </c>
      <c r="C21" s="92">
        <f t="shared" ref="C21:H21" si="4">C20/C8</f>
        <v>0.366823465695882</v>
      </c>
      <c r="D21" s="92" t="e">
        <f t="shared" si="4"/>
        <v>#DIV/0!</v>
      </c>
      <c r="E21" s="92" t="e">
        <f t="shared" si="4"/>
        <v>#DIV/0!</v>
      </c>
      <c r="F21" s="92" t="e">
        <f t="shared" si="4"/>
        <v>#DIV/0!</v>
      </c>
      <c r="G21" s="93" t="e">
        <f t="shared" si="4"/>
        <v>#DIV/0!</v>
      </c>
      <c r="H21" s="92">
        <f t="shared" si="4"/>
        <v>0.366823465695882</v>
      </c>
    </row>
  </sheetData>
  <mergeCells count="4">
    <mergeCell ref="A17:B17"/>
    <mergeCell ref="A5:A8"/>
    <mergeCell ref="A9:A16"/>
    <mergeCell ref="H5:H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  <ignoredErrors>
    <ignoredError sqref="J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pane xSplit="3" ySplit="5" topLeftCell="D16" activePane="bottomRight" state="frozen"/>
      <selection/>
      <selection pane="topRight"/>
      <selection pane="bottomLeft"/>
      <selection pane="bottomRight" activeCell="D26" sqref="D26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9" width="12" style="34" customWidth="1"/>
    <col min="10" max="10" width="12.2545454545455" style="33" customWidth="1"/>
    <col min="11" max="11" width="13.2545454545455" style="33" customWidth="1"/>
    <col min="12" max="12" width="16" style="33" customWidth="1"/>
    <col min="13" max="16384" width="9" style="33"/>
  </cols>
  <sheetData>
    <row r="1" s="32" customFormat="1" ht="28.5" customHeight="1" spans="1:12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L1" s="62"/>
    </row>
    <row r="2" spans="1:9">
      <c r="A2" s="38" t="s">
        <v>228</v>
      </c>
      <c r="B2" s="38"/>
      <c r="C2" s="39"/>
      <c r="D2" s="40"/>
      <c r="E2" s="41" t="s">
        <v>229</v>
      </c>
      <c r="F2" s="42"/>
      <c r="G2" s="42"/>
      <c r="H2" s="42"/>
      <c r="I2" s="63"/>
    </row>
    <row r="3" ht="33" spans="1:9">
      <c r="A3" s="43" t="s">
        <v>21</v>
      </c>
      <c r="B3" s="43" t="s">
        <v>230</v>
      </c>
      <c r="C3" s="43" t="s">
        <v>231</v>
      </c>
      <c r="D3" s="44" t="s">
        <v>232</v>
      </c>
      <c r="E3" s="44"/>
      <c r="F3" s="40" t="s">
        <v>233</v>
      </c>
      <c r="G3" s="45" t="s">
        <v>234</v>
      </c>
      <c r="H3" s="46"/>
      <c r="I3" s="64" t="s">
        <v>179</v>
      </c>
    </row>
    <row r="4" ht="33" spans="1:9">
      <c r="A4" s="43"/>
      <c r="B4" s="43"/>
      <c r="C4" s="43" t="s">
        <v>157</v>
      </c>
      <c r="D4" s="47" t="s">
        <v>158</v>
      </c>
      <c r="E4" s="47"/>
      <c r="F4" s="47"/>
      <c r="G4" s="47"/>
      <c r="H4" s="48"/>
      <c r="I4" s="65"/>
    </row>
    <row r="5" ht="33" spans="1:9">
      <c r="A5" s="43"/>
      <c r="B5" s="43"/>
      <c r="C5" s="43" t="s">
        <v>159</v>
      </c>
      <c r="D5" s="47" t="s">
        <v>160</v>
      </c>
      <c r="E5" s="47"/>
      <c r="F5" s="47"/>
      <c r="G5" s="47"/>
      <c r="H5" s="47"/>
      <c r="I5" s="66"/>
    </row>
    <row r="6" spans="1:9">
      <c r="A6" s="49">
        <v>1</v>
      </c>
      <c r="B6" s="50" t="s">
        <v>235</v>
      </c>
      <c r="C6" s="51"/>
      <c r="D6" s="52"/>
      <c r="E6" s="48"/>
      <c r="F6" s="48"/>
      <c r="G6" s="48"/>
      <c r="H6" s="48"/>
      <c r="I6" s="67"/>
    </row>
    <row r="7" spans="1:9">
      <c r="A7" s="49">
        <v>2</v>
      </c>
      <c r="B7" s="50" t="s">
        <v>236</v>
      </c>
      <c r="C7" s="51"/>
      <c r="D7" s="52"/>
      <c r="E7" s="48"/>
      <c r="F7" s="48"/>
      <c r="G7" s="48"/>
      <c r="H7" s="48"/>
      <c r="I7" s="67"/>
    </row>
    <row r="8" spans="1:9">
      <c r="A8" s="49">
        <v>3</v>
      </c>
      <c r="B8" s="50" t="s">
        <v>237</v>
      </c>
      <c r="C8" s="51"/>
      <c r="D8" s="52"/>
      <c r="E8" s="52"/>
      <c r="F8" s="52"/>
      <c r="G8" s="52"/>
      <c r="H8" s="52"/>
      <c r="I8" s="67"/>
    </row>
    <row r="9" spans="1:9">
      <c r="A9" s="49">
        <v>4</v>
      </c>
      <c r="B9" s="50" t="s">
        <v>238</v>
      </c>
      <c r="C9" s="51"/>
      <c r="D9" s="52"/>
      <c r="E9" s="48"/>
      <c r="F9" s="48"/>
      <c r="G9" s="48"/>
      <c r="H9" s="48"/>
      <c r="I9" s="67"/>
    </row>
    <row r="10" spans="1:9">
      <c r="A10" s="49">
        <v>5</v>
      </c>
      <c r="B10" s="50" t="s">
        <v>239</v>
      </c>
      <c r="C10" s="51"/>
      <c r="D10" s="52"/>
      <c r="E10" s="48"/>
      <c r="F10" s="48"/>
      <c r="G10" s="48"/>
      <c r="H10" s="48"/>
      <c r="I10" s="67"/>
    </row>
    <row r="11" spans="1:9">
      <c r="A11" s="49">
        <v>6</v>
      </c>
      <c r="B11" s="50" t="s">
        <v>240</v>
      </c>
      <c r="C11" s="51"/>
      <c r="D11" s="52"/>
      <c r="E11" s="48"/>
      <c r="F11" s="48"/>
      <c r="G11" s="48"/>
      <c r="H11" s="48"/>
      <c r="I11" s="67"/>
    </row>
    <row r="12" spans="1:9">
      <c r="A12" s="49">
        <v>7</v>
      </c>
      <c r="B12" s="50" t="s">
        <v>241</v>
      </c>
      <c r="C12" s="51"/>
      <c r="D12" s="52"/>
      <c r="E12" s="48"/>
      <c r="F12" s="48"/>
      <c r="G12" s="48"/>
      <c r="H12" s="48"/>
      <c r="I12" s="67"/>
    </row>
    <row r="13" spans="1:9">
      <c r="A13" s="49">
        <v>8</v>
      </c>
      <c r="B13" s="50" t="s">
        <v>242</v>
      </c>
      <c r="C13" s="51"/>
      <c r="D13" s="52"/>
      <c r="E13" s="48"/>
      <c r="F13" s="48"/>
      <c r="G13" s="48"/>
      <c r="H13" s="48"/>
      <c r="I13" s="67"/>
    </row>
    <row r="14" spans="1:9">
      <c r="A14" s="49">
        <v>9</v>
      </c>
      <c r="B14" s="50" t="s">
        <v>243</v>
      </c>
      <c r="C14" s="51"/>
      <c r="D14" s="52"/>
      <c r="E14" s="48"/>
      <c r="F14" s="48"/>
      <c r="G14" s="48"/>
      <c r="H14" s="48"/>
      <c r="I14" s="67"/>
    </row>
    <row r="15" spans="1:9">
      <c r="A15" s="49">
        <v>10</v>
      </c>
      <c r="B15" s="50" t="s">
        <v>244</v>
      </c>
      <c r="C15" s="51"/>
      <c r="D15" s="52"/>
      <c r="E15" s="48"/>
      <c r="F15" s="48"/>
      <c r="G15" s="48"/>
      <c r="H15" s="48"/>
      <c r="I15" s="67"/>
    </row>
    <row r="16" spans="1:9">
      <c r="A16" s="49">
        <v>11</v>
      </c>
      <c r="B16" s="50" t="s">
        <v>245</v>
      </c>
      <c r="C16" s="51"/>
      <c r="D16" s="52"/>
      <c r="E16" s="48"/>
      <c r="F16" s="48"/>
      <c r="G16" s="48"/>
      <c r="H16" s="48"/>
      <c r="I16" s="67"/>
    </row>
    <row r="17" spans="1:9">
      <c r="A17" s="49">
        <v>12</v>
      </c>
      <c r="B17" s="50" t="s">
        <v>246</v>
      </c>
      <c r="C17" s="51"/>
      <c r="D17" s="52"/>
      <c r="E17" s="48"/>
      <c r="F17" s="48"/>
      <c r="G17" s="48"/>
      <c r="H17" s="48"/>
      <c r="I17" s="67"/>
    </row>
    <row r="18" spans="1:9">
      <c r="A18" s="49">
        <v>13</v>
      </c>
      <c r="B18" s="50" t="s">
        <v>247</v>
      </c>
      <c r="C18" s="51"/>
      <c r="D18" s="52"/>
      <c r="E18" s="48"/>
      <c r="F18" s="48"/>
      <c r="G18" s="48"/>
      <c r="H18" s="48"/>
      <c r="I18" s="67"/>
    </row>
    <row r="19" spans="1:9">
      <c r="A19" s="49">
        <v>14</v>
      </c>
      <c r="B19" s="50" t="s">
        <v>248</v>
      </c>
      <c r="C19" s="51"/>
      <c r="D19" s="52"/>
      <c r="E19" s="48"/>
      <c r="F19" s="48"/>
      <c r="G19" s="48"/>
      <c r="H19" s="48"/>
      <c r="I19" s="67"/>
    </row>
    <row r="20" spans="1:9">
      <c r="A20" s="49">
        <v>15</v>
      </c>
      <c r="B20" s="50" t="s">
        <v>249</v>
      </c>
      <c r="C20" s="51"/>
      <c r="D20" s="52"/>
      <c r="E20" s="48"/>
      <c r="F20" s="48"/>
      <c r="G20" s="48"/>
      <c r="H20" s="48"/>
      <c r="I20" s="67"/>
    </row>
    <row r="21" spans="1:9">
      <c r="A21" s="49">
        <v>16</v>
      </c>
      <c r="B21" s="50" t="s">
        <v>250</v>
      </c>
      <c r="C21" s="51"/>
      <c r="D21" s="52"/>
      <c r="E21" s="48"/>
      <c r="F21" s="48"/>
      <c r="G21" s="48"/>
      <c r="H21" s="48"/>
      <c r="I21" s="67"/>
    </row>
    <row r="22" spans="1:9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67"/>
    </row>
    <row r="23" spans="1:9">
      <c r="A23" s="49">
        <v>18</v>
      </c>
      <c r="B23" s="50" t="s">
        <v>251</v>
      </c>
      <c r="C23" s="51"/>
      <c r="D23" s="53">
        <v>1291.6801299804</v>
      </c>
      <c r="E23" s="53"/>
      <c r="F23" s="53"/>
      <c r="G23" s="54"/>
      <c r="H23" s="55"/>
      <c r="I23" s="68"/>
    </row>
    <row r="24" ht="31.5" customHeight="1" spans="1:9">
      <c r="A24" s="56" t="s">
        <v>252</v>
      </c>
      <c r="B24" s="57"/>
      <c r="C24" s="58"/>
      <c r="D24" s="59">
        <f>SUM(D6:D23)</f>
        <v>1291.6801299804</v>
      </c>
      <c r="E24" s="59">
        <f>SUM(E6:E23)</f>
        <v>0</v>
      </c>
      <c r="F24" s="59">
        <f>SUM(F6:F23)</f>
        <v>0</v>
      </c>
      <c r="G24" s="59">
        <f>SUM(G6:G23)</f>
        <v>0</v>
      </c>
      <c r="H24" s="59">
        <f>SUM(H6:H23)</f>
        <v>0</v>
      </c>
      <c r="I24" s="68"/>
    </row>
    <row r="25" spans="4:4">
      <c r="D25" s="60">
        <v>0.05</v>
      </c>
    </row>
    <row r="26" spans="3:8">
      <c r="C26" s="33" t="s">
        <v>54</v>
      </c>
      <c r="D26" s="61">
        <f>D24*(1-$D$25)</f>
        <v>1227.09612348138</v>
      </c>
      <c r="E26" s="61">
        <f>E24</f>
        <v>0</v>
      </c>
      <c r="F26" s="61">
        <f>F24</f>
        <v>0</v>
      </c>
      <c r="G26" s="61">
        <f>G24</f>
        <v>0</v>
      </c>
      <c r="H26" s="61">
        <f>H24</f>
        <v>0</v>
      </c>
    </row>
    <row r="27" spans="3:8">
      <c r="C27" s="33" t="s">
        <v>55</v>
      </c>
      <c r="D27" s="61">
        <f t="shared" ref="D27:D32" si="0">D26*(1-$D$25)</f>
        <v>1165.74131730731</v>
      </c>
      <c r="E27" s="61">
        <f>E26</f>
        <v>0</v>
      </c>
      <c r="F27" s="61">
        <f>F26</f>
        <v>0</v>
      </c>
      <c r="G27" s="61">
        <f>G26</f>
        <v>0</v>
      </c>
      <c r="H27" s="61">
        <f>H26</f>
        <v>0</v>
      </c>
    </row>
    <row r="28" spans="3:4">
      <c r="C28" s="33" t="s">
        <v>56</v>
      </c>
      <c r="D28" s="61">
        <f t="shared" si="0"/>
        <v>1107.45425144195</v>
      </c>
    </row>
    <row r="29" spans="3:4">
      <c r="C29" s="33" t="s">
        <v>212</v>
      </c>
      <c r="D29" s="61">
        <f t="shared" si="0"/>
        <v>1052.08153886985</v>
      </c>
    </row>
    <row r="30" spans="3:4">
      <c r="C30" s="33" t="s">
        <v>213</v>
      </c>
      <c r="D30" s="61">
        <f t="shared" si="0"/>
        <v>999.477461926356</v>
      </c>
    </row>
    <row r="31" spans="3:4">
      <c r="C31" s="33" t="s">
        <v>214</v>
      </c>
      <c r="D31" s="61">
        <f t="shared" si="0"/>
        <v>949.503588830038</v>
      </c>
    </row>
    <row r="32" spans="3:4">
      <c r="C32" s="33" t="s">
        <v>215</v>
      </c>
      <c r="D32" s="61">
        <f t="shared" si="0"/>
        <v>902.028409388536</v>
      </c>
    </row>
  </sheetData>
  <mergeCells count="27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253</v>
      </c>
      <c r="C1" s="25" t="s">
        <v>254</v>
      </c>
      <c r="D1" s="25" t="s">
        <v>255</v>
      </c>
    </row>
    <row r="2" ht="19.5" customHeight="1" spans="1:4">
      <c r="A2" s="25">
        <v>1</v>
      </c>
      <c r="B2" s="26" t="s">
        <v>256</v>
      </c>
      <c r="C2" s="27" t="s">
        <v>257</v>
      </c>
      <c r="D2" s="25"/>
    </row>
    <row r="3" ht="36" customHeight="1" spans="1:4">
      <c r="A3" s="25">
        <v>2</v>
      </c>
      <c r="B3" s="26" t="s">
        <v>258</v>
      </c>
      <c r="C3" s="28" t="s">
        <v>259</v>
      </c>
      <c r="D3" s="25" t="s">
        <v>260</v>
      </c>
    </row>
    <row r="4" ht="19.5" customHeight="1" spans="1:4">
      <c r="A4" s="25">
        <v>3</v>
      </c>
      <c r="B4" s="26" t="s">
        <v>261</v>
      </c>
      <c r="C4" s="27" t="s">
        <v>262</v>
      </c>
      <c r="D4" s="25"/>
    </row>
    <row r="5" ht="42.75" customHeight="1" spans="1:4">
      <c r="A5" s="25">
        <v>4</v>
      </c>
      <c r="B5" s="26" t="s">
        <v>263</v>
      </c>
      <c r="C5" s="27"/>
      <c r="D5" s="25"/>
    </row>
    <row r="6" ht="39" customHeight="1" spans="1:4">
      <c r="A6" s="25">
        <v>5</v>
      </c>
      <c r="B6" s="26" t="s">
        <v>264</v>
      </c>
      <c r="C6" s="27"/>
      <c r="D6" s="25"/>
    </row>
    <row r="7" ht="27.75" customHeight="1" spans="1:3">
      <c r="A7" s="25">
        <v>6</v>
      </c>
      <c r="B7" s="25" t="s">
        <v>265</v>
      </c>
      <c r="C7" s="28" t="s">
        <v>266</v>
      </c>
    </row>
    <row r="8" ht="36" customHeight="1" spans="1:4">
      <c r="A8" s="25">
        <v>7</v>
      </c>
      <c r="B8" s="26" t="s">
        <v>267</v>
      </c>
      <c r="C8" s="29" t="s">
        <v>268</v>
      </c>
      <c r="D8" s="25"/>
    </row>
    <row r="9" ht="34.5" customHeight="1" spans="1:4">
      <c r="A9" s="25">
        <v>8</v>
      </c>
      <c r="B9" s="25" t="s">
        <v>269</v>
      </c>
      <c r="C9" s="30">
        <v>0.003</v>
      </c>
      <c r="D9" s="25"/>
    </row>
    <row r="10" ht="34.5" customHeight="1" spans="1:4">
      <c r="A10" s="25">
        <v>9</v>
      </c>
      <c r="B10" s="25" t="s">
        <v>270</v>
      </c>
      <c r="C10" s="29" t="s">
        <v>271</v>
      </c>
      <c r="D10" s="25"/>
    </row>
    <row r="11" ht="34.5" customHeight="1" spans="1:4">
      <c r="A11" s="25">
        <v>10</v>
      </c>
      <c r="B11" s="25" t="s">
        <v>272</v>
      </c>
      <c r="C11" s="29"/>
      <c r="D11" s="25" t="s">
        <v>273</v>
      </c>
    </row>
    <row r="12" ht="34.5" customHeight="1" spans="1:4">
      <c r="A12" s="25">
        <v>11</v>
      </c>
      <c r="B12" s="25" t="s">
        <v>274</v>
      </c>
      <c r="C12" s="29"/>
      <c r="D12" s="25"/>
    </row>
    <row r="13" ht="24" customHeight="1" spans="1:4">
      <c r="A13" s="25">
        <v>12</v>
      </c>
      <c r="B13" s="26" t="s">
        <v>275</v>
      </c>
      <c r="C13" s="29" t="s">
        <v>276</v>
      </c>
      <c r="D13" s="25"/>
    </row>
    <row r="14" ht="24" customHeight="1" spans="1:4">
      <c r="A14" s="25">
        <v>13</v>
      </c>
      <c r="B14" s="26" t="s">
        <v>277</v>
      </c>
      <c r="C14" s="29" t="s">
        <v>278</v>
      </c>
      <c r="D14" s="25"/>
    </row>
    <row r="15" ht="24" customHeight="1" spans="1:4">
      <c r="A15" s="25">
        <v>14</v>
      </c>
      <c r="B15" s="26" t="s">
        <v>279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280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2"/>
  <sheetViews>
    <sheetView zoomScale="85" zoomScaleNormal="85" workbookViewId="0">
      <selection activeCell="I11" sqref="I11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281</v>
      </c>
      <c r="H1" s="4"/>
      <c r="I1" s="21" t="str">
        <f>销量!C6</f>
        <v>DZ14251510204</v>
      </c>
    </row>
    <row r="2" ht="39" customHeight="1" spans="1:9">
      <c r="A2" s="5" t="s">
        <v>282</v>
      </c>
      <c r="B2" s="5"/>
      <c r="C2" s="6" t="s">
        <v>283</v>
      </c>
      <c r="D2" s="7"/>
      <c r="E2" s="7"/>
      <c r="F2" s="7"/>
      <c r="G2" s="7"/>
      <c r="H2" s="8"/>
      <c r="I2" s="3" t="s">
        <v>284</v>
      </c>
    </row>
    <row r="3" ht="34.5" customHeight="1" spans="1:9">
      <c r="A3" s="5"/>
      <c r="B3" s="5"/>
      <c r="C3" s="9" t="s">
        <v>285</v>
      </c>
      <c r="D3" s="9" t="s">
        <v>286</v>
      </c>
      <c r="E3" s="9" t="s">
        <v>287</v>
      </c>
      <c r="F3" s="10" t="s">
        <v>288</v>
      </c>
      <c r="G3" s="10" t="s">
        <v>289</v>
      </c>
      <c r="H3" s="10" t="s">
        <v>290</v>
      </c>
      <c r="I3" s="22">
        <f>销量!C8</f>
        <v>2040</v>
      </c>
    </row>
    <row r="4" ht="24" customHeight="1" spans="1:9">
      <c r="A4" s="11" t="s">
        <v>291</v>
      </c>
      <c r="B4" s="11"/>
      <c r="C4" s="12"/>
      <c r="D4" s="13"/>
      <c r="E4" s="14">
        <f>I3*I4</f>
        <v>61.2</v>
      </c>
      <c r="F4" s="14"/>
      <c r="G4" s="14"/>
      <c r="H4" s="15">
        <v>0.0448</v>
      </c>
      <c r="I4" s="3">
        <v>0.03</v>
      </c>
    </row>
    <row r="5" ht="24" customHeight="1" spans="1:9">
      <c r="A5" s="11" t="s">
        <v>292</v>
      </c>
      <c r="B5" s="11" t="s">
        <v>293</v>
      </c>
      <c r="C5" s="12"/>
      <c r="D5" s="13"/>
      <c r="E5" s="14">
        <f>$I$3*I5</f>
        <v>122.4</v>
      </c>
      <c r="F5" s="14"/>
      <c r="G5" s="14"/>
      <c r="H5" s="15">
        <v>0.0404</v>
      </c>
      <c r="I5" s="3">
        <v>0.06</v>
      </c>
    </row>
    <row r="6" ht="24" customHeight="1" spans="1:9">
      <c r="A6" s="11"/>
      <c r="B6" s="11" t="s">
        <v>294</v>
      </c>
      <c r="C6" s="12"/>
      <c r="D6" s="13"/>
      <c r="E6" s="14">
        <f>$I$3*I6</f>
        <v>20.4</v>
      </c>
      <c r="F6" s="14"/>
      <c r="G6" s="14"/>
      <c r="H6" s="15">
        <v>0.0166</v>
      </c>
      <c r="I6" s="3">
        <v>0.01</v>
      </c>
    </row>
    <row r="7" ht="24" customHeight="1" spans="1:9">
      <c r="A7" s="6" t="s">
        <v>295</v>
      </c>
      <c r="B7" s="8"/>
      <c r="C7" s="16"/>
      <c r="D7" s="17"/>
      <c r="E7" s="14">
        <f t="shared" ref="E7:E11" si="0">$I$3*I7</f>
        <v>204</v>
      </c>
      <c r="F7" s="14"/>
      <c r="G7" s="14"/>
      <c r="H7" s="18">
        <f>SUM(H4:H6)</f>
        <v>0.1018</v>
      </c>
      <c r="I7" s="3">
        <v>0.1</v>
      </c>
    </row>
    <row r="8" ht="24" customHeight="1" spans="1:9">
      <c r="A8" s="11" t="s">
        <v>92</v>
      </c>
      <c r="B8" s="11"/>
      <c r="C8" s="12"/>
      <c r="D8" s="13"/>
      <c r="E8" s="14">
        <f t="shared" si="0"/>
        <v>40.8</v>
      </c>
      <c r="F8" s="14"/>
      <c r="G8" s="14"/>
      <c r="H8" s="15">
        <f>1.97%+0.75%</f>
        <v>0.0272</v>
      </c>
      <c r="I8" s="3">
        <v>0.02</v>
      </c>
    </row>
    <row r="9" ht="24" customHeight="1" spans="1:9">
      <c r="A9" s="19" t="s">
        <v>296</v>
      </c>
      <c r="B9" s="11" t="s">
        <v>293</v>
      </c>
      <c r="C9" s="12"/>
      <c r="D9" s="13"/>
      <c r="E9" s="14">
        <f t="shared" si="0"/>
        <v>28.56</v>
      </c>
      <c r="F9" s="14"/>
      <c r="G9" s="14"/>
      <c r="H9" s="15">
        <v>0.0053</v>
      </c>
      <c r="I9" s="3">
        <v>0.014</v>
      </c>
    </row>
    <row r="10" ht="24" customHeight="1" spans="1:9">
      <c r="A10" s="20"/>
      <c r="B10" s="11" t="s">
        <v>294</v>
      </c>
      <c r="C10" s="12"/>
      <c r="D10" s="13"/>
      <c r="E10" s="14">
        <f t="shared" si="0"/>
        <v>20.4</v>
      </c>
      <c r="F10" s="14"/>
      <c r="G10" s="14"/>
      <c r="H10" s="15">
        <v>0.0341</v>
      </c>
      <c r="I10" s="3">
        <v>0.01</v>
      </c>
    </row>
    <row r="11" ht="24" customHeight="1" spans="1:9">
      <c r="A11" s="11" t="s">
        <v>95</v>
      </c>
      <c r="B11" s="11"/>
      <c r="C11" s="12"/>
      <c r="D11" s="13"/>
      <c r="E11" s="14">
        <f t="shared" si="0"/>
        <v>81.6</v>
      </c>
      <c r="F11" s="14"/>
      <c r="G11" s="14"/>
      <c r="H11" s="15">
        <v>0.011</v>
      </c>
      <c r="I11" s="3">
        <v>0.04</v>
      </c>
    </row>
    <row r="13" s="1" customFormat="1" ht="18.75" customHeight="1" spans="7:9">
      <c r="G13" s="4" t="s">
        <v>281</v>
      </c>
      <c r="H13" s="4"/>
      <c r="I13" s="23">
        <f>销量!D6</f>
        <v>0</v>
      </c>
    </row>
    <row r="14" ht="39" customHeight="1" spans="1:9">
      <c r="A14" s="5" t="s">
        <v>282</v>
      </c>
      <c r="B14" s="5"/>
      <c r="C14" s="6" t="s">
        <v>283</v>
      </c>
      <c r="D14" s="7"/>
      <c r="E14" s="7"/>
      <c r="F14" s="7"/>
      <c r="G14" s="7"/>
      <c r="H14" s="8"/>
      <c r="I14" s="3" t="s">
        <v>284</v>
      </c>
    </row>
    <row r="15" ht="34.5" customHeight="1" spans="1:9">
      <c r="A15" s="5"/>
      <c r="B15" s="5"/>
      <c r="C15" s="9" t="s">
        <v>285</v>
      </c>
      <c r="D15" s="9" t="s">
        <v>286</v>
      </c>
      <c r="E15" s="9" t="s">
        <v>287</v>
      </c>
      <c r="F15" s="10" t="s">
        <v>288</v>
      </c>
      <c r="G15" s="10" t="s">
        <v>289</v>
      </c>
      <c r="H15" s="10" t="s">
        <v>290</v>
      </c>
      <c r="I15" s="22">
        <f>销量!D8</f>
        <v>0</v>
      </c>
    </row>
    <row r="16" ht="24" customHeight="1" spans="1:9">
      <c r="A16" s="11" t="s">
        <v>291</v>
      </c>
      <c r="B16" s="11"/>
      <c r="C16" s="12"/>
      <c r="D16" s="13"/>
      <c r="E16" s="14">
        <f>I15*I16</f>
        <v>0</v>
      </c>
      <c r="F16" s="14"/>
      <c r="G16" s="14"/>
      <c r="H16" s="15">
        <v>0.0448</v>
      </c>
      <c r="I16" s="3">
        <v>0.03</v>
      </c>
    </row>
    <row r="17" ht="24" customHeight="1" spans="1:9">
      <c r="A17" s="11" t="s">
        <v>292</v>
      </c>
      <c r="B17" s="11" t="s">
        <v>293</v>
      </c>
      <c r="C17" s="12"/>
      <c r="D17" s="13"/>
      <c r="E17" s="14">
        <f>$I$15*I17</f>
        <v>0</v>
      </c>
      <c r="F17" s="14"/>
      <c r="G17" s="14"/>
      <c r="H17" s="15">
        <v>0.0404</v>
      </c>
      <c r="I17" s="3">
        <v>0.06</v>
      </c>
    </row>
    <row r="18" ht="24" customHeight="1" spans="1:9">
      <c r="A18" s="11"/>
      <c r="B18" s="11" t="s">
        <v>294</v>
      </c>
      <c r="C18" s="12"/>
      <c r="D18" s="13"/>
      <c r="E18" s="14">
        <f t="shared" ref="E18:E23" si="1">$I$15*I18</f>
        <v>0</v>
      </c>
      <c r="F18" s="14"/>
      <c r="G18" s="14"/>
      <c r="H18" s="15">
        <v>0.0166</v>
      </c>
      <c r="I18" s="3">
        <v>0.01</v>
      </c>
    </row>
    <row r="19" ht="24" customHeight="1" spans="1:9">
      <c r="A19" s="6" t="s">
        <v>295</v>
      </c>
      <c r="B19" s="8"/>
      <c r="C19" s="16"/>
      <c r="D19" s="17"/>
      <c r="E19" s="14">
        <f t="shared" si="1"/>
        <v>0</v>
      </c>
      <c r="F19" s="14"/>
      <c r="G19" s="14"/>
      <c r="H19" s="18">
        <f>SUM(H16:H18)</f>
        <v>0.1018</v>
      </c>
      <c r="I19" s="3">
        <v>0.1</v>
      </c>
    </row>
    <row r="20" ht="24" customHeight="1" spans="1:9">
      <c r="A20" s="11" t="s">
        <v>92</v>
      </c>
      <c r="B20" s="11"/>
      <c r="C20" s="12"/>
      <c r="D20" s="13"/>
      <c r="E20" s="14">
        <f t="shared" si="1"/>
        <v>0</v>
      </c>
      <c r="F20" s="14"/>
      <c r="G20" s="14"/>
      <c r="H20" s="15">
        <f>1.97%+0.75%</f>
        <v>0.0272</v>
      </c>
      <c r="I20" s="3">
        <v>0.02</v>
      </c>
    </row>
    <row r="21" ht="24" customHeight="1" spans="1:9">
      <c r="A21" s="19" t="s">
        <v>296</v>
      </c>
      <c r="B21" s="11" t="s">
        <v>293</v>
      </c>
      <c r="C21" s="12"/>
      <c r="D21" s="13"/>
      <c r="E21" s="14">
        <f t="shared" si="1"/>
        <v>0</v>
      </c>
      <c r="F21" s="14"/>
      <c r="G21" s="14"/>
      <c r="H21" s="15">
        <v>0.0053</v>
      </c>
      <c r="I21" s="3">
        <v>0.014</v>
      </c>
    </row>
    <row r="22" ht="24" customHeight="1" spans="1:9">
      <c r="A22" s="20"/>
      <c r="B22" s="11" t="s">
        <v>294</v>
      </c>
      <c r="C22" s="12"/>
      <c r="D22" s="13"/>
      <c r="E22" s="14">
        <f t="shared" si="1"/>
        <v>0</v>
      </c>
      <c r="F22" s="14"/>
      <c r="G22" s="14"/>
      <c r="H22" s="15">
        <v>0.0341</v>
      </c>
      <c r="I22" s="3">
        <v>0.01</v>
      </c>
    </row>
    <row r="23" ht="24" customHeight="1" spans="1:9">
      <c r="A23" s="11" t="s">
        <v>95</v>
      </c>
      <c r="B23" s="11"/>
      <c r="C23" s="12"/>
      <c r="D23" s="13"/>
      <c r="E23" s="14">
        <f t="shared" si="1"/>
        <v>0</v>
      </c>
      <c r="F23" s="14"/>
      <c r="G23" s="14"/>
      <c r="H23" s="15">
        <v>0.011</v>
      </c>
      <c r="I23" s="3">
        <v>0.04</v>
      </c>
    </row>
    <row r="26" s="1" customFormat="1" ht="18.75" customHeight="1" spans="7:9">
      <c r="G26" s="4" t="s">
        <v>281</v>
      </c>
      <c r="H26" s="4"/>
      <c r="I26" s="23"/>
    </row>
    <row r="27" ht="39" customHeight="1" spans="1:9">
      <c r="A27" s="5" t="s">
        <v>282</v>
      </c>
      <c r="B27" s="5"/>
      <c r="C27" s="6" t="s">
        <v>297</v>
      </c>
      <c r="D27" s="7"/>
      <c r="E27" s="7"/>
      <c r="F27" s="7"/>
      <c r="G27" s="7"/>
      <c r="H27" s="8"/>
      <c r="I27" s="3" t="s">
        <v>284</v>
      </c>
    </row>
    <row r="28" ht="34.5" customHeight="1" spans="1:9">
      <c r="A28" s="5"/>
      <c r="B28" s="5"/>
      <c r="C28" s="9" t="s">
        <v>285</v>
      </c>
      <c r="D28" s="9" t="s">
        <v>286</v>
      </c>
      <c r="E28" s="9" t="s">
        <v>287</v>
      </c>
      <c r="F28" s="10" t="s">
        <v>288</v>
      </c>
      <c r="G28" s="10" t="s">
        <v>289</v>
      </c>
      <c r="H28" s="10" t="s">
        <v>290</v>
      </c>
      <c r="I28" s="22">
        <f>材料成本!F23</f>
        <v>0</v>
      </c>
    </row>
    <row r="29" ht="24" customHeight="1" spans="1:9">
      <c r="A29" s="11" t="s">
        <v>291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292</v>
      </c>
      <c r="B30" s="11" t="s">
        <v>293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294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295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92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296</v>
      </c>
      <c r="B34" s="11" t="s">
        <v>293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294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95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281</v>
      </c>
      <c r="H39" s="4"/>
      <c r="I39" s="23"/>
    </row>
    <row r="40" ht="39" customHeight="1" spans="1:9">
      <c r="A40" s="5" t="s">
        <v>282</v>
      </c>
      <c r="B40" s="5"/>
      <c r="C40" s="6" t="s">
        <v>297</v>
      </c>
      <c r="D40" s="7"/>
      <c r="E40" s="7"/>
      <c r="F40" s="7"/>
      <c r="G40" s="7"/>
      <c r="H40" s="8"/>
      <c r="I40" s="3" t="s">
        <v>284</v>
      </c>
    </row>
    <row r="41" ht="34.5" customHeight="1" spans="1:9">
      <c r="A41" s="5"/>
      <c r="B41" s="5"/>
      <c r="C41" s="9" t="s">
        <v>285</v>
      </c>
      <c r="D41" s="9" t="s">
        <v>286</v>
      </c>
      <c r="E41" s="9" t="s">
        <v>287</v>
      </c>
      <c r="F41" s="10" t="s">
        <v>288</v>
      </c>
      <c r="G41" s="10" t="s">
        <v>289</v>
      </c>
      <c r="H41" s="10" t="s">
        <v>290</v>
      </c>
      <c r="I41" s="22">
        <f>材料成本!G23</f>
        <v>0</v>
      </c>
    </row>
    <row r="42" ht="24" customHeight="1" spans="1:9">
      <c r="A42" s="11" t="s">
        <v>291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292</v>
      </c>
      <c r="B43" s="11" t="s">
        <v>293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294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295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92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296</v>
      </c>
      <c r="B47" s="11" t="s">
        <v>293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294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95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281</v>
      </c>
      <c r="H52" s="4"/>
      <c r="I52" s="23"/>
    </row>
    <row r="53" ht="39" customHeight="1" spans="1:9">
      <c r="A53" s="5" t="s">
        <v>282</v>
      </c>
      <c r="B53" s="5"/>
      <c r="C53" s="6" t="s">
        <v>297</v>
      </c>
      <c r="D53" s="7"/>
      <c r="E53" s="7"/>
      <c r="F53" s="7"/>
      <c r="G53" s="7"/>
      <c r="H53" s="8"/>
      <c r="I53" s="3" t="s">
        <v>284</v>
      </c>
    </row>
    <row r="54" ht="34.5" customHeight="1" spans="1:9">
      <c r="A54" s="5"/>
      <c r="B54" s="5"/>
      <c r="C54" s="9" t="s">
        <v>285</v>
      </c>
      <c r="D54" s="9" t="s">
        <v>286</v>
      </c>
      <c r="E54" s="9" t="s">
        <v>287</v>
      </c>
      <c r="F54" s="10" t="s">
        <v>288</v>
      </c>
      <c r="G54" s="10" t="s">
        <v>289</v>
      </c>
      <c r="H54" s="10" t="s">
        <v>290</v>
      </c>
      <c r="I54" s="22">
        <f>材料成本!H23</f>
        <v>0</v>
      </c>
    </row>
    <row r="55" ht="24" customHeight="1" spans="1:9">
      <c r="A55" s="11" t="s">
        <v>291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292</v>
      </c>
      <c r="B56" s="11" t="s">
        <v>293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294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295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92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296</v>
      </c>
      <c r="B60" s="11" t="s">
        <v>293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294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95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</sheetData>
  <mergeCells count="45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2:B3"/>
    <mergeCell ref="A14:B15"/>
    <mergeCell ref="A27:B28"/>
    <mergeCell ref="A40:B41"/>
    <mergeCell ref="A53:B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6" customWidth="1"/>
    <col min="2" max="2" width="28.5" style="206" customWidth="1"/>
    <col min="3" max="4" width="9.12727272727273" style="206"/>
    <col min="5" max="5" width="13.8727272727273" style="206" customWidth="1"/>
    <col min="6" max="12" width="16.1272727272727" style="206" customWidth="1"/>
    <col min="13" max="13" width="10.6272727272727" style="206" customWidth="1"/>
    <col min="14" max="254" width="9.12727272727273" style="206"/>
    <col min="255" max="255" width="8" style="206" customWidth="1"/>
    <col min="256" max="256" width="28.5" style="206" customWidth="1"/>
    <col min="257" max="268" width="9.12727272727273" style="206"/>
    <col min="269" max="269" width="10.6272727272727" style="206" customWidth="1"/>
    <col min="270" max="510" width="9.12727272727273" style="206"/>
    <col min="511" max="511" width="8" style="206" customWidth="1"/>
    <col min="512" max="512" width="28.5" style="206" customWidth="1"/>
    <col min="513" max="524" width="9.12727272727273" style="206"/>
    <col min="525" max="525" width="10.6272727272727" style="206" customWidth="1"/>
    <col min="526" max="766" width="9.12727272727273" style="206"/>
    <col min="767" max="767" width="8" style="206" customWidth="1"/>
    <col min="768" max="768" width="28.5" style="206" customWidth="1"/>
    <col min="769" max="780" width="9.12727272727273" style="206"/>
    <col min="781" max="781" width="10.6272727272727" style="206" customWidth="1"/>
    <col min="782" max="1022" width="9.12727272727273" style="206"/>
    <col min="1023" max="1023" width="8" style="206" customWidth="1"/>
    <col min="1024" max="1024" width="28.5" style="206" customWidth="1"/>
    <col min="1025" max="1036" width="9.12727272727273" style="206"/>
    <col min="1037" max="1037" width="10.6272727272727" style="206" customWidth="1"/>
    <col min="1038" max="1278" width="9.12727272727273" style="206"/>
    <col min="1279" max="1279" width="8" style="206" customWidth="1"/>
    <col min="1280" max="1280" width="28.5" style="206" customWidth="1"/>
    <col min="1281" max="1292" width="9.12727272727273" style="206"/>
    <col min="1293" max="1293" width="10.6272727272727" style="206" customWidth="1"/>
    <col min="1294" max="1534" width="9.12727272727273" style="206"/>
    <col min="1535" max="1535" width="8" style="206" customWidth="1"/>
    <col min="1536" max="1536" width="28.5" style="206" customWidth="1"/>
    <col min="1537" max="1548" width="9.12727272727273" style="206"/>
    <col min="1549" max="1549" width="10.6272727272727" style="206" customWidth="1"/>
    <col min="1550" max="1790" width="9.12727272727273" style="206"/>
    <col min="1791" max="1791" width="8" style="206" customWidth="1"/>
    <col min="1792" max="1792" width="28.5" style="206" customWidth="1"/>
    <col min="1793" max="1804" width="9.12727272727273" style="206"/>
    <col min="1805" max="1805" width="10.6272727272727" style="206" customWidth="1"/>
    <col min="1806" max="2046" width="9.12727272727273" style="206"/>
    <col min="2047" max="2047" width="8" style="206" customWidth="1"/>
    <col min="2048" max="2048" width="28.5" style="206" customWidth="1"/>
    <col min="2049" max="2060" width="9.12727272727273" style="206"/>
    <col min="2061" max="2061" width="10.6272727272727" style="206" customWidth="1"/>
    <col min="2062" max="2302" width="9.12727272727273" style="206"/>
    <col min="2303" max="2303" width="8" style="206" customWidth="1"/>
    <col min="2304" max="2304" width="28.5" style="206" customWidth="1"/>
    <col min="2305" max="2316" width="9.12727272727273" style="206"/>
    <col min="2317" max="2317" width="10.6272727272727" style="206" customWidth="1"/>
    <col min="2318" max="2558" width="9.12727272727273" style="206"/>
    <col min="2559" max="2559" width="8" style="206" customWidth="1"/>
    <col min="2560" max="2560" width="28.5" style="206" customWidth="1"/>
    <col min="2561" max="2572" width="9.12727272727273" style="206"/>
    <col min="2573" max="2573" width="10.6272727272727" style="206" customWidth="1"/>
    <col min="2574" max="2814" width="9.12727272727273" style="206"/>
    <col min="2815" max="2815" width="8" style="206" customWidth="1"/>
    <col min="2816" max="2816" width="28.5" style="206" customWidth="1"/>
    <col min="2817" max="2828" width="9.12727272727273" style="206"/>
    <col min="2829" max="2829" width="10.6272727272727" style="206" customWidth="1"/>
    <col min="2830" max="3070" width="9.12727272727273" style="206"/>
    <col min="3071" max="3071" width="8" style="206" customWidth="1"/>
    <col min="3072" max="3072" width="28.5" style="206" customWidth="1"/>
    <col min="3073" max="3084" width="9.12727272727273" style="206"/>
    <col min="3085" max="3085" width="10.6272727272727" style="206" customWidth="1"/>
    <col min="3086" max="3326" width="9.12727272727273" style="206"/>
    <col min="3327" max="3327" width="8" style="206" customWidth="1"/>
    <col min="3328" max="3328" width="28.5" style="206" customWidth="1"/>
    <col min="3329" max="3340" width="9.12727272727273" style="206"/>
    <col min="3341" max="3341" width="10.6272727272727" style="206" customWidth="1"/>
    <col min="3342" max="3582" width="9.12727272727273" style="206"/>
    <col min="3583" max="3583" width="8" style="206" customWidth="1"/>
    <col min="3584" max="3584" width="28.5" style="206" customWidth="1"/>
    <col min="3585" max="3596" width="9.12727272727273" style="206"/>
    <col min="3597" max="3597" width="10.6272727272727" style="206" customWidth="1"/>
    <col min="3598" max="3838" width="9.12727272727273" style="206"/>
    <col min="3839" max="3839" width="8" style="206" customWidth="1"/>
    <col min="3840" max="3840" width="28.5" style="206" customWidth="1"/>
    <col min="3841" max="3852" width="9.12727272727273" style="206"/>
    <col min="3853" max="3853" width="10.6272727272727" style="206" customWidth="1"/>
    <col min="3854" max="4094" width="9.12727272727273" style="206"/>
    <col min="4095" max="4095" width="8" style="206" customWidth="1"/>
    <col min="4096" max="4096" width="28.5" style="206" customWidth="1"/>
    <col min="4097" max="4108" width="9.12727272727273" style="206"/>
    <col min="4109" max="4109" width="10.6272727272727" style="206" customWidth="1"/>
    <col min="4110" max="4350" width="9.12727272727273" style="206"/>
    <col min="4351" max="4351" width="8" style="206" customWidth="1"/>
    <col min="4352" max="4352" width="28.5" style="206" customWidth="1"/>
    <col min="4353" max="4364" width="9.12727272727273" style="206"/>
    <col min="4365" max="4365" width="10.6272727272727" style="206" customWidth="1"/>
    <col min="4366" max="4606" width="9.12727272727273" style="206"/>
    <col min="4607" max="4607" width="8" style="206" customWidth="1"/>
    <col min="4608" max="4608" width="28.5" style="206" customWidth="1"/>
    <col min="4609" max="4620" width="9.12727272727273" style="206"/>
    <col min="4621" max="4621" width="10.6272727272727" style="206" customWidth="1"/>
    <col min="4622" max="4862" width="9.12727272727273" style="206"/>
    <col min="4863" max="4863" width="8" style="206" customWidth="1"/>
    <col min="4864" max="4864" width="28.5" style="206" customWidth="1"/>
    <col min="4865" max="4876" width="9.12727272727273" style="206"/>
    <col min="4877" max="4877" width="10.6272727272727" style="206" customWidth="1"/>
    <col min="4878" max="5118" width="9.12727272727273" style="206"/>
    <col min="5119" max="5119" width="8" style="206" customWidth="1"/>
    <col min="5120" max="5120" width="28.5" style="206" customWidth="1"/>
    <col min="5121" max="5132" width="9.12727272727273" style="206"/>
    <col min="5133" max="5133" width="10.6272727272727" style="206" customWidth="1"/>
    <col min="5134" max="5374" width="9.12727272727273" style="206"/>
    <col min="5375" max="5375" width="8" style="206" customWidth="1"/>
    <col min="5376" max="5376" width="28.5" style="206" customWidth="1"/>
    <col min="5377" max="5388" width="9.12727272727273" style="206"/>
    <col min="5389" max="5389" width="10.6272727272727" style="206" customWidth="1"/>
    <col min="5390" max="5630" width="9.12727272727273" style="206"/>
    <col min="5631" max="5631" width="8" style="206" customWidth="1"/>
    <col min="5632" max="5632" width="28.5" style="206" customWidth="1"/>
    <col min="5633" max="5644" width="9.12727272727273" style="206"/>
    <col min="5645" max="5645" width="10.6272727272727" style="206" customWidth="1"/>
    <col min="5646" max="5886" width="9.12727272727273" style="206"/>
    <col min="5887" max="5887" width="8" style="206" customWidth="1"/>
    <col min="5888" max="5888" width="28.5" style="206" customWidth="1"/>
    <col min="5889" max="5900" width="9.12727272727273" style="206"/>
    <col min="5901" max="5901" width="10.6272727272727" style="206" customWidth="1"/>
    <col min="5902" max="6142" width="9.12727272727273" style="206"/>
    <col min="6143" max="6143" width="8" style="206" customWidth="1"/>
    <col min="6144" max="6144" width="28.5" style="206" customWidth="1"/>
    <col min="6145" max="6156" width="9.12727272727273" style="206"/>
    <col min="6157" max="6157" width="10.6272727272727" style="206" customWidth="1"/>
    <col min="6158" max="6398" width="9.12727272727273" style="206"/>
    <col min="6399" max="6399" width="8" style="206" customWidth="1"/>
    <col min="6400" max="6400" width="28.5" style="206" customWidth="1"/>
    <col min="6401" max="6412" width="9.12727272727273" style="206"/>
    <col min="6413" max="6413" width="10.6272727272727" style="206" customWidth="1"/>
    <col min="6414" max="6654" width="9.12727272727273" style="206"/>
    <col min="6655" max="6655" width="8" style="206" customWidth="1"/>
    <col min="6656" max="6656" width="28.5" style="206" customWidth="1"/>
    <col min="6657" max="6668" width="9.12727272727273" style="206"/>
    <col min="6669" max="6669" width="10.6272727272727" style="206" customWidth="1"/>
    <col min="6670" max="6910" width="9.12727272727273" style="206"/>
    <col min="6911" max="6911" width="8" style="206" customWidth="1"/>
    <col min="6912" max="6912" width="28.5" style="206" customWidth="1"/>
    <col min="6913" max="6924" width="9.12727272727273" style="206"/>
    <col min="6925" max="6925" width="10.6272727272727" style="206" customWidth="1"/>
    <col min="6926" max="7166" width="9.12727272727273" style="206"/>
    <col min="7167" max="7167" width="8" style="206" customWidth="1"/>
    <col min="7168" max="7168" width="28.5" style="206" customWidth="1"/>
    <col min="7169" max="7180" width="9.12727272727273" style="206"/>
    <col min="7181" max="7181" width="10.6272727272727" style="206" customWidth="1"/>
    <col min="7182" max="7422" width="9.12727272727273" style="206"/>
    <col min="7423" max="7423" width="8" style="206" customWidth="1"/>
    <col min="7424" max="7424" width="28.5" style="206" customWidth="1"/>
    <col min="7425" max="7436" width="9.12727272727273" style="206"/>
    <col min="7437" max="7437" width="10.6272727272727" style="206" customWidth="1"/>
    <col min="7438" max="7678" width="9.12727272727273" style="206"/>
    <col min="7679" max="7679" width="8" style="206" customWidth="1"/>
    <col min="7680" max="7680" width="28.5" style="206" customWidth="1"/>
    <col min="7681" max="7692" width="9.12727272727273" style="206"/>
    <col min="7693" max="7693" width="10.6272727272727" style="206" customWidth="1"/>
    <col min="7694" max="7934" width="9.12727272727273" style="206"/>
    <col min="7935" max="7935" width="8" style="206" customWidth="1"/>
    <col min="7936" max="7936" width="28.5" style="206" customWidth="1"/>
    <col min="7937" max="7948" width="9.12727272727273" style="206"/>
    <col min="7949" max="7949" width="10.6272727272727" style="206" customWidth="1"/>
    <col min="7950" max="8190" width="9.12727272727273" style="206"/>
    <col min="8191" max="8191" width="8" style="206" customWidth="1"/>
    <col min="8192" max="8192" width="28.5" style="206" customWidth="1"/>
    <col min="8193" max="8204" width="9.12727272727273" style="206"/>
    <col min="8205" max="8205" width="10.6272727272727" style="206" customWidth="1"/>
    <col min="8206" max="8446" width="9.12727272727273" style="206"/>
    <col min="8447" max="8447" width="8" style="206" customWidth="1"/>
    <col min="8448" max="8448" width="28.5" style="206" customWidth="1"/>
    <col min="8449" max="8460" width="9.12727272727273" style="206"/>
    <col min="8461" max="8461" width="10.6272727272727" style="206" customWidth="1"/>
    <col min="8462" max="8702" width="9.12727272727273" style="206"/>
    <col min="8703" max="8703" width="8" style="206" customWidth="1"/>
    <col min="8704" max="8704" width="28.5" style="206" customWidth="1"/>
    <col min="8705" max="8716" width="9.12727272727273" style="206"/>
    <col min="8717" max="8717" width="10.6272727272727" style="206" customWidth="1"/>
    <col min="8718" max="8958" width="9.12727272727273" style="206"/>
    <col min="8959" max="8959" width="8" style="206" customWidth="1"/>
    <col min="8960" max="8960" width="28.5" style="206" customWidth="1"/>
    <col min="8961" max="8972" width="9.12727272727273" style="206"/>
    <col min="8973" max="8973" width="10.6272727272727" style="206" customWidth="1"/>
    <col min="8974" max="9214" width="9.12727272727273" style="206"/>
    <col min="9215" max="9215" width="8" style="206" customWidth="1"/>
    <col min="9216" max="9216" width="28.5" style="206" customWidth="1"/>
    <col min="9217" max="9228" width="9.12727272727273" style="206"/>
    <col min="9229" max="9229" width="10.6272727272727" style="206" customWidth="1"/>
    <col min="9230" max="9470" width="9.12727272727273" style="206"/>
    <col min="9471" max="9471" width="8" style="206" customWidth="1"/>
    <col min="9472" max="9472" width="28.5" style="206" customWidth="1"/>
    <col min="9473" max="9484" width="9.12727272727273" style="206"/>
    <col min="9485" max="9485" width="10.6272727272727" style="206" customWidth="1"/>
    <col min="9486" max="9726" width="9.12727272727273" style="206"/>
    <col min="9727" max="9727" width="8" style="206" customWidth="1"/>
    <col min="9728" max="9728" width="28.5" style="206" customWidth="1"/>
    <col min="9729" max="9740" width="9.12727272727273" style="206"/>
    <col min="9741" max="9741" width="10.6272727272727" style="206" customWidth="1"/>
    <col min="9742" max="9982" width="9.12727272727273" style="206"/>
    <col min="9983" max="9983" width="8" style="206" customWidth="1"/>
    <col min="9984" max="9984" width="28.5" style="206" customWidth="1"/>
    <col min="9985" max="9996" width="9.12727272727273" style="206"/>
    <col min="9997" max="9997" width="10.6272727272727" style="206" customWidth="1"/>
    <col min="9998" max="10238" width="9.12727272727273" style="206"/>
    <col min="10239" max="10239" width="8" style="206" customWidth="1"/>
    <col min="10240" max="10240" width="28.5" style="206" customWidth="1"/>
    <col min="10241" max="10252" width="9.12727272727273" style="206"/>
    <col min="10253" max="10253" width="10.6272727272727" style="206" customWidth="1"/>
    <col min="10254" max="10494" width="9.12727272727273" style="206"/>
    <col min="10495" max="10495" width="8" style="206" customWidth="1"/>
    <col min="10496" max="10496" width="28.5" style="206" customWidth="1"/>
    <col min="10497" max="10508" width="9.12727272727273" style="206"/>
    <col min="10509" max="10509" width="10.6272727272727" style="206" customWidth="1"/>
    <col min="10510" max="10750" width="9.12727272727273" style="206"/>
    <col min="10751" max="10751" width="8" style="206" customWidth="1"/>
    <col min="10752" max="10752" width="28.5" style="206" customWidth="1"/>
    <col min="10753" max="10764" width="9.12727272727273" style="206"/>
    <col min="10765" max="10765" width="10.6272727272727" style="206" customWidth="1"/>
    <col min="10766" max="11006" width="9.12727272727273" style="206"/>
    <col min="11007" max="11007" width="8" style="206" customWidth="1"/>
    <col min="11008" max="11008" width="28.5" style="206" customWidth="1"/>
    <col min="11009" max="11020" width="9.12727272727273" style="206"/>
    <col min="11021" max="11021" width="10.6272727272727" style="206" customWidth="1"/>
    <col min="11022" max="11262" width="9.12727272727273" style="206"/>
    <col min="11263" max="11263" width="8" style="206" customWidth="1"/>
    <col min="11264" max="11264" width="28.5" style="206" customWidth="1"/>
    <col min="11265" max="11276" width="9.12727272727273" style="206"/>
    <col min="11277" max="11277" width="10.6272727272727" style="206" customWidth="1"/>
    <col min="11278" max="11518" width="9.12727272727273" style="206"/>
    <col min="11519" max="11519" width="8" style="206" customWidth="1"/>
    <col min="11520" max="11520" width="28.5" style="206" customWidth="1"/>
    <col min="11521" max="11532" width="9.12727272727273" style="206"/>
    <col min="11533" max="11533" width="10.6272727272727" style="206" customWidth="1"/>
    <col min="11534" max="11774" width="9.12727272727273" style="206"/>
    <col min="11775" max="11775" width="8" style="206" customWidth="1"/>
    <col min="11776" max="11776" width="28.5" style="206" customWidth="1"/>
    <col min="11777" max="11788" width="9.12727272727273" style="206"/>
    <col min="11789" max="11789" width="10.6272727272727" style="206" customWidth="1"/>
    <col min="11790" max="12030" width="9.12727272727273" style="206"/>
    <col min="12031" max="12031" width="8" style="206" customWidth="1"/>
    <col min="12032" max="12032" width="28.5" style="206" customWidth="1"/>
    <col min="12033" max="12044" width="9.12727272727273" style="206"/>
    <col min="12045" max="12045" width="10.6272727272727" style="206" customWidth="1"/>
    <col min="12046" max="12286" width="9.12727272727273" style="206"/>
    <col min="12287" max="12287" width="8" style="206" customWidth="1"/>
    <col min="12288" max="12288" width="28.5" style="206" customWidth="1"/>
    <col min="12289" max="12300" width="9.12727272727273" style="206"/>
    <col min="12301" max="12301" width="10.6272727272727" style="206" customWidth="1"/>
    <col min="12302" max="12542" width="9.12727272727273" style="206"/>
    <col min="12543" max="12543" width="8" style="206" customWidth="1"/>
    <col min="12544" max="12544" width="28.5" style="206" customWidth="1"/>
    <col min="12545" max="12556" width="9.12727272727273" style="206"/>
    <col min="12557" max="12557" width="10.6272727272727" style="206" customWidth="1"/>
    <col min="12558" max="12798" width="9.12727272727273" style="206"/>
    <col min="12799" max="12799" width="8" style="206" customWidth="1"/>
    <col min="12800" max="12800" width="28.5" style="206" customWidth="1"/>
    <col min="12801" max="12812" width="9.12727272727273" style="206"/>
    <col min="12813" max="12813" width="10.6272727272727" style="206" customWidth="1"/>
    <col min="12814" max="13054" width="9.12727272727273" style="206"/>
    <col min="13055" max="13055" width="8" style="206" customWidth="1"/>
    <col min="13056" max="13056" width="28.5" style="206" customWidth="1"/>
    <col min="13057" max="13068" width="9.12727272727273" style="206"/>
    <col min="13069" max="13069" width="10.6272727272727" style="206" customWidth="1"/>
    <col min="13070" max="13310" width="9.12727272727273" style="206"/>
    <col min="13311" max="13311" width="8" style="206" customWidth="1"/>
    <col min="13312" max="13312" width="28.5" style="206" customWidth="1"/>
    <col min="13313" max="13324" width="9.12727272727273" style="206"/>
    <col min="13325" max="13325" width="10.6272727272727" style="206" customWidth="1"/>
    <col min="13326" max="13566" width="9.12727272727273" style="206"/>
    <col min="13567" max="13567" width="8" style="206" customWidth="1"/>
    <col min="13568" max="13568" width="28.5" style="206" customWidth="1"/>
    <col min="13569" max="13580" width="9.12727272727273" style="206"/>
    <col min="13581" max="13581" width="10.6272727272727" style="206" customWidth="1"/>
    <col min="13582" max="13822" width="9.12727272727273" style="206"/>
    <col min="13823" max="13823" width="8" style="206" customWidth="1"/>
    <col min="13824" max="13824" width="28.5" style="206" customWidth="1"/>
    <col min="13825" max="13836" width="9.12727272727273" style="206"/>
    <col min="13837" max="13837" width="10.6272727272727" style="206" customWidth="1"/>
    <col min="13838" max="14078" width="9.12727272727273" style="206"/>
    <col min="14079" max="14079" width="8" style="206" customWidth="1"/>
    <col min="14080" max="14080" width="28.5" style="206" customWidth="1"/>
    <col min="14081" max="14092" width="9.12727272727273" style="206"/>
    <col min="14093" max="14093" width="10.6272727272727" style="206" customWidth="1"/>
    <col min="14094" max="14334" width="9.12727272727273" style="206"/>
    <col min="14335" max="14335" width="8" style="206" customWidth="1"/>
    <col min="14336" max="14336" width="28.5" style="206" customWidth="1"/>
    <col min="14337" max="14348" width="9.12727272727273" style="206"/>
    <col min="14349" max="14349" width="10.6272727272727" style="206" customWidth="1"/>
    <col min="14350" max="14590" width="9.12727272727273" style="206"/>
    <col min="14591" max="14591" width="8" style="206" customWidth="1"/>
    <col min="14592" max="14592" width="28.5" style="206" customWidth="1"/>
    <col min="14593" max="14604" width="9.12727272727273" style="206"/>
    <col min="14605" max="14605" width="10.6272727272727" style="206" customWidth="1"/>
    <col min="14606" max="14846" width="9.12727272727273" style="206"/>
    <col min="14847" max="14847" width="8" style="206" customWidth="1"/>
    <col min="14848" max="14848" width="28.5" style="206" customWidth="1"/>
    <col min="14849" max="14860" width="9.12727272727273" style="206"/>
    <col min="14861" max="14861" width="10.6272727272727" style="206" customWidth="1"/>
    <col min="14862" max="15102" width="9.12727272727273" style="206"/>
    <col min="15103" max="15103" width="8" style="206" customWidth="1"/>
    <col min="15104" max="15104" width="28.5" style="206" customWidth="1"/>
    <col min="15105" max="15116" width="9.12727272727273" style="206"/>
    <col min="15117" max="15117" width="10.6272727272727" style="206" customWidth="1"/>
    <col min="15118" max="15358" width="9.12727272727273" style="206"/>
    <col min="15359" max="15359" width="8" style="206" customWidth="1"/>
    <col min="15360" max="15360" width="28.5" style="206" customWidth="1"/>
    <col min="15361" max="15372" width="9.12727272727273" style="206"/>
    <col min="15373" max="15373" width="10.6272727272727" style="206" customWidth="1"/>
    <col min="15374" max="15614" width="9.12727272727273" style="206"/>
    <col min="15615" max="15615" width="8" style="206" customWidth="1"/>
    <col min="15616" max="15616" width="28.5" style="206" customWidth="1"/>
    <col min="15617" max="15628" width="9.12727272727273" style="206"/>
    <col min="15629" max="15629" width="10.6272727272727" style="206" customWidth="1"/>
    <col min="15630" max="15870" width="9.12727272727273" style="206"/>
    <col min="15871" max="15871" width="8" style="206" customWidth="1"/>
    <col min="15872" max="15872" width="28.5" style="206" customWidth="1"/>
    <col min="15873" max="15884" width="9.12727272727273" style="206"/>
    <col min="15885" max="15885" width="10.6272727272727" style="206" customWidth="1"/>
    <col min="15886" max="16126" width="9.12727272727273" style="206"/>
    <col min="16127" max="16127" width="8" style="206" customWidth="1"/>
    <col min="16128" max="16128" width="28.5" style="206" customWidth="1"/>
    <col min="16129" max="16140" width="9.12727272727273" style="206"/>
    <col min="16141" max="16141" width="10.6272727272727" style="206" customWidth="1"/>
    <col min="16142" max="16384" width="9.12727272727273" style="206"/>
  </cols>
  <sheetData>
    <row r="1" ht="17.5" spans="1:13">
      <c r="A1" s="207" t="s">
        <v>19</v>
      </c>
      <c r="B1" s="208"/>
      <c r="C1" s="209"/>
      <c r="D1" s="209"/>
      <c r="E1" s="208"/>
      <c r="F1" s="209"/>
      <c r="G1" s="209"/>
      <c r="H1" s="208"/>
      <c r="I1" s="209"/>
      <c r="J1" s="209"/>
      <c r="K1" s="209"/>
      <c r="L1" s="209"/>
      <c r="M1" s="209"/>
    </row>
    <row r="2" ht="14" spans="1:2">
      <c r="A2" s="206" t="s">
        <v>20</v>
      </c>
      <c r="B2" s="210"/>
    </row>
    <row r="3" ht="16.9" customHeight="1" spans="1:13">
      <c r="A3" s="211" t="s">
        <v>21</v>
      </c>
      <c r="B3" s="211" t="s">
        <v>22</v>
      </c>
      <c r="C3" s="212" t="s">
        <v>23</v>
      </c>
      <c r="D3" s="212"/>
      <c r="E3" s="212"/>
      <c r="F3" s="213"/>
      <c r="G3" s="214"/>
      <c r="H3" s="215"/>
      <c r="I3" s="215"/>
      <c r="J3" s="215" t="s">
        <v>24</v>
      </c>
      <c r="K3" s="215"/>
      <c r="L3" s="215"/>
      <c r="M3" s="236"/>
    </row>
    <row r="4" ht="16.15" customHeight="1" spans="1:13">
      <c r="A4" s="216"/>
      <c r="B4" s="216" t="s">
        <v>25</v>
      </c>
      <c r="C4" s="212">
        <v>2017</v>
      </c>
      <c r="D4" s="212">
        <f t="shared" ref="D4:L4" si="0">C4+1</f>
        <v>2018</v>
      </c>
      <c r="E4" s="212">
        <f t="shared" si="0"/>
        <v>2019</v>
      </c>
      <c r="F4" s="212">
        <f t="shared" si="0"/>
        <v>2020</v>
      </c>
      <c r="G4" s="212">
        <f t="shared" si="0"/>
        <v>2021</v>
      </c>
      <c r="H4" s="217">
        <f t="shared" si="0"/>
        <v>2022</v>
      </c>
      <c r="I4" s="217">
        <f t="shared" si="0"/>
        <v>2023</v>
      </c>
      <c r="J4" s="217">
        <f t="shared" si="0"/>
        <v>2024</v>
      </c>
      <c r="K4" s="217">
        <f t="shared" si="0"/>
        <v>2025</v>
      </c>
      <c r="L4" s="217">
        <f t="shared" si="0"/>
        <v>2026</v>
      </c>
      <c r="M4" s="237" t="s">
        <v>26</v>
      </c>
    </row>
    <row r="5" ht="15.6" customHeight="1" spans="1:13">
      <c r="A5" s="218">
        <v>1</v>
      </c>
      <c r="B5" s="219" t="s">
        <v>27</v>
      </c>
      <c r="C5" s="220">
        <f>SUM(C6:C9)</f>
        <v>0</v>
      </c>
      <c r="D5" s="220">
        <f t="shared" ref="D5:L5" si="1">SUM(D6:D9)</f>
        <v>0</v>
      </c>
      <c r="E5" s="220" t="e">
        <f t="shared" si="1"/>
        <v>#REF!</v>
      </c>
      <c r="F5" s="220" t="e">
        <f t="shared" si="1"/>
        <v>#REF!</v>
      </c>
      <c r="G5" s="220" t="e">
        <f t="shared" si="1"/>
        <v>#REF!</v>
      </c>
      <c r="H5" s="220" t="e">
        <f t="shared" si="1"/>
        <v>#REF!</v>
      </c>
      <c r="I5" s="220" t="e">
        <f t="shared" si="1"/>
        <v>#REF!</v>
      </c>
      <c r="J5" s="220" t="e">
        <f t="shared" si="1"/>
        <v>#REF!</v>
      </c>
      <c r="K5" s="220" t="e">
        <f t="shared" si="1"/>
        <v>#REF!</v>
      </c>
      <c r="L5" s="220" t="e">
        <f t="shared" si="1"/>
        <v>#REF!</v>
      </c>
      <c r="M5" s="224" t="e">
        <f t="shared" ref="M5:M17" si="2">SUM(C5:L5)</f>
        <v>#REF!</v>
      </c>
    </row>
    <row r="6" ht="15.6" customHeight="1" spans="1:13">
      <c r="A6" s="218">
        <v>1.1</v>
      </c>
      <c r="B6" s="221" t="s">
        <v>28</v>
      </c>
      <c r="C6" s="222"/>
      <c r="D6" s="222"/>
      <c r="E6" s="222" t="e">
        <f>#REF!</f>
        <v>#REF!</v>
      </c>
      <c r="F6" s="222" t="e">
        <f>#REF!</f>
        <v>#REF!</v>
      </c>
      <c r="G6" s="222" t="e">
        <f>#REF!</f>
        <v>#REF!</v>
      </c>
      <c r="H6" s="222" t="e">
        <f>#REF!</f>
        <v>#REF!</v>
      </c>
      <c r="I6" s="222" t="e">
        <f>#REF!</f>
        <v>#REF!</v>
      </c>
      <c r="J6" s="222" t="e">
        <f>#REF!</f>
        <v>#REF!</v>
      </c>
      <c r="K6" s="222" t="e">
        <f>#REF!</f>
        <v>#REF!</v>
      </c>
      <c r="L6" s="222" t="e">
        <f>#REF!</f>
        <v>#REF!</v>
      </c>
      <c r="M6" s="224" t="e">
        <f t="shared" si="2"/>
        <v>#REF!</v>
      </c>
    </row>
    <row r="7" ht="15.6" customHeight="1" spans="1:13">
      <c r="A7" s="218">
        <v>1.2</v>
      </c>
      <c r="B7" s="221" t="s">
        <v>29</v>
      </c>
      <c r="C7" s="222"/>
      <c r="D7" s="222"/>
      <c r="E7" s="222">
        <f>[1]折、摊!G18</f>
        <v>0</v>
      </c>
      <c r="F7" s="222">
        <f>[1]折、摊!H18</f>
        <v>0</v>
      </c>
      <c r="G7" s="222">
        <f>[1]折、摊!I18</f>
        <v>0</v>
      </c>
      <c r="H7" s="222">
        <f>[1]折、摊!J18</f>
        <v>0</v>
      </c>
      <c r="I7" s="222">
        <f>[1]折、摊!K18</f>
        <v>0</v>
      </c>
      <c r="J7" s="222">
        <f>[1]折、摊!L18</f>
        <v>0</v>
      </c>
      <c r="K7" s="222">
        <f>[1]折、摊!M18</f>
        <v>0</v>
      </c>
      <c r="L7" s="222">
        <f>[1]折、摊!N18</f>
        <v>0</v>
      </c>
      <c r="M7" s="224">
        <f t="shared" si="2"/>
        <v>0</v>
      </c>
    </row>
    <row r="8" ht="15.6" customHeight="1" spans="1:13">
      <c r="A8" s="218">
        <v>1.3</v>
      </c>
      <c r="B8" s="221" t="s">
        <v>30</v>
      </c>
      <c r="C8" s="222" t="s">
        <v>31</v>
      </c>
      <c r="D8" s="222" t="s">
        <v>31</v>
      </c>
      <c r="E8" s="222" t="s">
        <v>31</v>
      </c>
      <c r="F8" s="222" t="s">
        <v>31</v>
      </c>
      <c r="G8" s="222" t="s">
        <v>31</v>
      </c>
      <c r="H8" s="222" t="s">
        <v>31</v>
      </c>
      <c r="I8" s="222" t="s">
        <v>31</v>
      </c>
      <c r="J8" s="222" t="s">
        <v>31</v>
      </c>
      <c r="K8" s="222" t="s">
        <v>31</v>
      </c>
      <c r="L8" s="222"/>
      <c r="M8" s="224">
        <f t="shared" si="2"/>
        <v>0</v>
      </c>
    </row>
    <row r="9" s="205" customFormat="1" ht="15.6" customHeight="1" spans="1:13">
      <c r="A9" s="223">
        <v>1.4</v>
      </c>
      <c r="B9" s="224" t="s">
        <v>32</v>
      </c>
      <c r="C9" s="222" t="s">
        <v>31</v>
      </c>
      <c r="D9" s="222" t="s">
        <v>31</v>
      </c>
      <c r="E9" s="222" t="s">
        <v>31</v>
      </c>
      <c r="F9" s="222" t="s">
        <v>31</v>
      </c>
      <c r="G9" s="222" t="s">
        <v>31</v>
      </c>
      <c r="H9" s="222" t="s">
        <v>31</v>
      </c>
      <c r="I9" s="222" t="s">
        <v>31</v>
      </c>
      <c r="J9" s="222" t="s">
        <v>31</v>
      </c>
      <c r="K9" s="222" t="s">
        <v>31</v>
      </c>
      <c r="L9" s="222" t="s">
        <v>31</v>
      </c>
      <c r="M9" s="224">
        <f t="shared" si="2"/>
        <v>0</v>
      </c>
    </row>
    <row r="10" ht="15.6" customHeight="1" spans="1:13">
      <c r="A10" s="223">
        <v>2</v>
      </c>
      <c r="B10" s="219" t="s">
        <v>33</v>
      </c>
      <c r="C10" s="220">
        <f t="shared" ref="C10:L10" si="3">SUM(C11:C16)</f>
        <v>0</v>
      </c>
      <c r="D10" s="220">
        <f t="shared" si="3"/>
        <v>0</v>
      </c>
      <c r="E10" s="220">
        <f t="shared" si="3"/>
        <v>0</v>
      </c>
      <c r="F10" s="220">
        <f t="shared" si="3"/>
        <v>0</v>
      </c>
      <c r="G10" s="220">
        <f t="shared" si="3"/>
        <v>0</v>
      </c>
      <c r="H10" s="220">
        <f t="shared" si="3"/>
        <v>0</v>
      </c>
      <c r="I10" s="220">
        <f t="shared" si="3"/>
        <v>0</v>
      </c>
      <c r="J10" s="220">
        <f t="shared" si="3"/>
        <v>0</v>
      </c>
      <c r="K10" s="220">
        <f t="shared" si="3"/>
        <v>0</v>
      </c>
      <c r="L10" s="220">
        <f t="shared" si="3"/>
        <v>0</v>
      </c>
      <c r="M10" s="224">
        <f t="shared" si="2"/>
        <v>0</v>
      </c>
    </row>
    <row r="11" ht="15" customHeight="1" spans="1:13">
      <c r="A11" s="218">
        <v>2.1</v>
      </c>
      <c r="B11" s="218" t="s">
        <v>34</v>
      </c>
      <c r="C11" s="222">
        <f>([1]计划!C6-[1]计划!C7)</f>
        <v>0</v>
      </c>
      <c r="D11" s="222">
        <f>([1]计划!D6-[1]计划!D7)</f>
        <v>0</v>
      </c>
      <c r="E11" s="222">
        <f>([1]计划!E6-[1]计划!E7)</f>
        <v>0</v>
      </c>
      <c r="F11" s="222">
        <f>([1]计划!F6-[1]计划!F7)</f>
        <v>0</v>
      </c>
      <c r="G11" s="222">
        <f>([1]计划!G6-[1]计划!G7)</f>
        <v>0</v>
      </c>
      <c r="H11" s="222">
        <f>([1]计划!H6-[1]计划!H7)</f>
        <v>0</v>
      </c>
      <c r="I11" s="222">
        <f>([1]计划!I6-[1]计划!I7)</f>
        <v>0</v>
      </c>
      <c r="J11" s="222">
        <f>([1]计划!J6-[1]计划!J7)</f>
        <v>0</v>
      </c>
      <c r="K11" s="222">
        <f>([1]计划!K6-[1]计划!K7)</f>
        <v>0</v>
      </c>
      <c r="L11" s="222">
        <f>([1]计划!L6-[1]计划!L7)</f>
        <v>0</v>
      </c>
      <c r="M11" s="224">
        <f t="shared" si="2"/>
        <v>0</v>
      </c>
    </row>
    <row r="12" s="205" customFormat="1" ht="15" customHeight="1" spans="1:13">
      <c r="A12" s="218">
        <v>2.2</v>
      </c>
      <c r="B12" s="224" t="s">
        <v>35</v>
      </c>
      <c r="C12" s="222">
        <f>[1]计划!C8</f>
        <v>0</v>
      </c>
      <c r="D12" s="222">
        <f>[1]计划!D8</f>
        <v>0</v>
      </c>
      <c r="E12" s="222">
        <f>[1]计划!E8</f>
        <v>0</v>
      </c>
      <c r="F12" s="222">
        <f>[1]计划!F8</f>
        <v>0</v>
      </c>
      <c r="G12" s="222">
        <f>[1]计划!G8</f>
        <v>0</v>
      </c>
      <c r="H12" s="222">
        <f>[1]计划!H8</f>
        <v>0</v>
      </c>
      <c r="I12" s="222">
        <f>[1]计划!I8</f>
        <v>0</v>
      </c>
      <c r="J12" s="222">
        <f>[1]计划!J8</f>
        <v>0</v>
      </c>
      <c r="K12" s="222">
        <f>[1]计划!K8</f>
        <v>0</v>
      </c>
      <c r="L12" s="222">
        <f>[1]计划!L8</f>
        <v>0</v>
      </c>
      <c r="M12" s="224">
        <f t="shared" si="2"/>
        <v>0</v>
      </c>
    </row>
    <row r="13" ht="15" customHeight="1" spans="1:13">
      <c r="A13" s="218">
        <v>2.3</v>
      </c>
      <c r="B13" s="221" t="s">
        <v>36</v>
      </c>
      <c r="C13" s="222">
        <f>[1]总成本!C22</f>
        <v>0</v>
      </c>
      <c r="D13" s="222">
        <f>[1]总成本!D22</f>
        <v>0</v>
      </c>
      <c r="E13" s="222">
        <f>[1]总成本!E22</f>
        <v>0</v>
      </c>
      <c r="F13" s="222">
        <f>[1]总成本!F22</f>
        <v>0</v>
      </c>
      <c r="G13" s="222">
        <f>[1]总成本!G22</f>
        <v>0</v>
      </c>
      <c r="H13" s="222">
        <f>[1]总成本!H22</f>
        <v>0</v>
      </c>
      <c r="I13" s="222">
        <f>[1]总成本!I22</f>
        <v>0</v>
      </c>
      <c r="J13" s="222">
        <f>[1]总成本!J22</f>
        <v>0</v>
      </c>
      <c r="K13" s="222">
        <f>[1]总成本!K22</f>
        <v>0</v>
      </c>
      <c r="L13" s="222">
        <f>[1]总成本!L22</f>
        <v>0</v>
      </c>
      <c r="M13" s="224">
        <f t="shared" si="2"/>
        <v>0</v>
      </c>
    </row>
    <row r="14" ht="15" customHeight="1" spans="1:13">
      <c r="A14" s="218">
        <v>2.4</v>
      </c>
      <c r="B14" s="221" t="s">
        <v>37</v>
      </c>
      <c r="C14" s="222">
        <f>[1]价格!D15</f>
        <v>0</v>
      </c>
      <c r="D14" s="222">
        <f>[1]价格!E15</f>
        <v>0</v>
      </c>
      <c r="E14" s="222">
        <f>[1]价格!F15</f>
        <v>0</v>
      </c>
      <c r="F14" s="222">
        <f>[1]价格!G15</f>
        <v>0</v>
      </c>
      <c r="G14" s="222">
        <f>[1]价格!H15</f>
        <v>0</v>
      </c>
      <c r="H14" s="222">
        <f>[1]价格!I15</f>
        <v>0</v>
      </c>
      <c r="I14" s="222">
        <f>[1]价格!J15</f>
        <v>0</v>
      </c>
      <c r="J14" s="222">
        <f>[1]价格!K15</f>
        <v>0</v>
      </c>
      <c r="K14" s="222">
        <f>[1]价格!L15</f>
        <v>0</v>
      </c>
      <c r="L14" s="222">
        <f>[1]价格!M15</f>
        <v>0</v>
      </c>
      <c r="M14" s="224">
        <f t="shared" si="2"/>
        <v>0</v>
      </c>
    </row>
    <row r="15" ht="15" customHeight="1" spans="1:13">
      <c r="A15" s="218">
        <v>2.5</v>
      </c>
      <c r="B15" s="221" t="s">
        <v>38</v>
      </c>
      <c r="C15" s="222">
        <f>[1]利润!C13</f>
        <v>0</v>
      </c>
      <c r="D15" s="222">
        <f>[1]利润!D13</f>
        <v>0</v>
      </c>
      <c r="E15" s="222">
        <f>[1]利润!E13</f>
        <v>0</v>
      </c>
      <c r="F15" s="222">
        <f>[1]利润!F13</f>
        <v>0</v>
      </c>
      <c r="G15" s="222">
        <f>[1]利润!G13</f>
        <v>0</v>
      </c>
      <c r="H15" s="222">
        <f>[1]利润!H13</f>
        <v>0</v>
      </c>
      <c r="I15" s="222">
        <f>[1]利润!I13</f>
        <v>0</v>
      </c>
      <c r="J15" s="222">
        <f>[1]利润!J13</f>
        <v>0</v>
      </c>
      <c r="K15" s="222">
        <f>[1]利润!K13</f>
        <v>0</v>
      </c>
      <c r="L15" s="222">
        <f>[1]利润!L13</f>
        <v>0</v>
      </c>
      <c r="M15" s="224">
        <f t="shared" si="2"/>
        <v>0</v>
      </c>
    </row>
    <row r="16" ht="15" customHeight="1" spans="1:13">
      <c r="A16" s="218">
        <v>2.6</v>
      </c>
      <c r="B16" s="221" t="s">
        <v>39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4">
        <f t="shared" si="2"/>
        <v>0</v>
      </c>
    </row>
    <row r="17" ht="14" spans="1:13">
      <c r="A17" s="218">
        <v>3</v>
      </c>
      <c r="B17" s="219" t="s">
        <v>40</v>
      </c>
      <c r="C17" s="220">
        <f t="shared" ref="C17:L17" si="4">C5-C10</f>
        <v>0</v>
      </c>
      <c r="D17" s="220">
        <f t="shared" si="4"/>
        <v>0</v>
      </c>
      <c r="E17" s="220" t="e">
        <f t="shared" si="4"/>
        <v>#REF!</v>
      </c>
      <c r="F17" s="220" t="e">
        <f t="shared" si="4"/>
        <v>#REF!</v>
      </c>
      <c r="G17" s="220" t="e">
        <f t="shared" si="4"/>
        <v>#REF!</v>
      </c>
      <c r="H17" s="220" t="e">
        <f t="shared" si="4"/>
        <v>#REF!</v>
      </c>
      <c r="I17" s="220" t="e">
        <f t="shared" si="4"/>
        <v>#REF!</v>
      </c>
      <c r="J17" s="220" t="e">
        <f t="shared" si="4"/>
        <v>#REF!</v>
      </c>
      <c r="K17" s="220" t="e">
        <f t="shared" si="4"/>
        <v>#REF!</v>
      </c>
      <c r="L17" s="220" t="e">
        <f t="shared" si="4"/>
        <v>#REF!</v>
      </c>
      <c r="M17" s="224" t="e">
        <f t="shared" si="2"/>
        <v>#REF!</v>
      </c>
    </row>
    <row r="18" ht="14" spans="1:13">
      <c r="A18" s="225">
        <v>4</v>
      </c>
      <c r="B18" s="221" t="s">
        <v>41</v>
      </c>
      <c r="C18" s="222">
        <f>C17</f>
        <v>0</v>
      </c>
      <c r="D18" s="222">
        <f t="shared" ref="D18:L18" si="5">C18+D17</f>
        <v>0</v>
      </c>
      <c r="E18" s="222" t="e">
        <f t="shared" si="5"/>
        <v>#REF!</v>
      </c>
      <c r="F18" s="222" t="e">
        <f t="shared" si="5"/>
        <v>#REF!</v>
      </c>
      <c r="G18" s="222" t="e">
        <f t="shared" si="5"/>
        <v>#REF!</v>
      </c>
      <c r="H18" s="222" t="e">
        <f t="shared" si="5"/>
        <v>#REF!</v>
      </c>
      <c r="I18" s="222" t="e">
        <f t="shared" si="5"/>
        <v>#REF!</v>
      </c>
      <c r="J18" s="222" t="e">
        <f t="shared" si="5"/>
        <v>#REF!</v>
      </c>
      <c r="K18" s="222" t="e">
        <f t="shared" si="5"/>
        <v>#REF!</v>
      </c>
      <c r="L18" s="222" t="e">
        <f t="shared" si="5"/>
        <v>#REF!</v>
      </c>
      <c r="M18" s="221" t="s">
        <v>31</v>
      </c>
    </row>
    <row r="19" s="205" customFormat="1" ht="13" spans="1:13">
      <c r="A19" s="225">
        <v>5</v>
      </c>
      <c r="B19" s="221" t="s">
        <v>42</v>
      </c>
      <c r="C19" s="222">
        <f t="shared" ref="C19:L19" si="6">C17+C15</f>
        <v>0</v>
      </c>
      <c r="D19" s="222">
        <f t="shared" si="6"/>
        <v>0</v>
      </c>
      <c r="E19" s="222" t="e">
        <f t="shared" si="6"/>
        <v>#REF!</v>
      </c>
      <c r="F19" s="222" t="e">
        <f t="shared" si="6"/>
        <v>#REF!</v>
      </c>
      <c r="G19" s="222" t="e">
        <f t="shared" si="6"/>
        <v>#REF!</v>
      </c>
      <c r="H19" s="222" t="e">
        <f t="shared" si="6"/>
        <v>#REF!</v>
      </c>
      <c r="I19" s="222" t="e">
        <f t="shared" si="6"/>
        <v>#REF!</v>
      </c>
      <c r="J19" s="222" t="e">
        <f t="shared" si="6"/>
        <v>#REF!</v>
      </c>
      <c r="K19" s="222" t="e">
        <f t="shared" si="6"/>
        <v>#REF!</v>
      </c>
      <c r="L19" s="222" t="e">
        <f t="shared" si="6"/>
        <v>#REF!</v>
      </c>
      <c r="M19" s="224" t="e">
        <f>SUM(C19:L19)</f>
        <v>#REF!</v>
      </c>
    </row>
    <row r="20" s="205" customFormat="1" ht="13" spans="1:13">
      <c r="A20" s="218">
        <v>6</v>
      </c>
      <c r="B20" s="221" t="s">
        <v>43</v>
      </c>
      <c r="C20" s="222">
        <f>C19</f>
        <v>0</v>
      </c>
      <c r="D20" s="222">
        <f t="shared" ref="D20:L20" si="7">C20+D19</f>
        <v>0</v>
      </c>
      <c r="E20" s="222" t="e">
        <f t="shared" si="7"/>
        <v>#REF!</v>
      </c>
      <c r="F20" s="222" t="e">
        <f t="shared" si="7"/>
        <v>#REF!</v>
      </c>
      <c r="G20" s="222" t="e">
        <f t="shared" si="7"/>
        <v>#REF!</v>
      </c>
      <c r="H20" s="222" t="e">
        <f t="shared" si="7"/>
        <v>#REF!</v>
      </c>
      <c r="I20" s="222" t="e">
        <f t="shared" si="7"/>
        <v>#REF!</v>
      </c>
      <c r="J20" s="222" t="e">
        <f t="shared" si="7"/>
        <v>#REF!</v>
      </c>
      <c r="K20" s="222" t="e">
        <f t="shared" si="7"/>
        <v>#REF!</v>
      </c>
      <c r="L20" s="222" t="e">
        <f t="shared" si="7"/>
        <v>#REF!</v>
      </c>
      <c r="M20" s="221" t="s">
        <v>31</v>
      </c>
    </row>
    <row r="21" ht="14" spans="1:13">
      <c r="A21" s="226"/>
      <c r="B21" s="227" t="s">
        <v>44</v>
      </c>
      <c r="C21" s="227"/>
      <c r="D21" s="227"/>
      <c r="E21" s="227" t="s">
        <v>45</v>
      </c>
      <c r="F21" s="227"/>
      <c r="G21" s="227"/>
      <c r="H21" s="227"/>
      <c r="I21" s="227" t="s">
        <v>46</v>
      </c>
      <c r="J21" s="227"/>
      <c r="K21" s="227"/>
      <c r="L21" s="227"/>
      <c r="M21" s="238"/>
    </row>
    <row r="22" ht="14" spans="1:13">
      <c r="A22" s="228"/>
      <c r="B22" s="229" t="s">
        <v>47</v>
      </c>
      <c r="C22" s="229"/>
      <c r="D22" s="230" t="s">
        <v>48</v>
      </c>
      <c r="E22" s="231" t="e">
        <f>IRR(C17:L17,0.15)</f>
        <v>#VALUE!</v>
      </c>
      <c r="F22" s="229"/>
      <c r="G22" s="229"/>
      <c r="H22" s="229"/>
      <c r="I22" s="231" t="e">
        <f>IRR(C19:L19,0.15)</f>
        <v>#VALUE!</v>
      </c>
      <c r="J22" s="229"/>
      <c r="K22" s="229"/>
      <c r="L22" s="229"/>
      <c r="M22" s="239"/>
    </row>
    <row r="23" ht="14" spans="1:18">
      <c r="A23" s="228"/>
      <c r="B23" s="229" t="s">
        <v>49</v>
      </c>
      <c r="C23" s="229"/>
      <c r="D23" s="229"/>
      <c r="E23" s="232" t="e">
        <f>NPV(0.12,C17:L17)</f>
        <v>#REF!</v>
      </c>
      <c r="F23" s="229"/>
      <c r="G23" s="229"/>
      <c r="H23" s="229"/>
      <c r="I23" s="232" t="e">
        <f>NPV(0.12,C19:L19)</f>
        <v>#REF!</v>
      </c>
      <c r="J23" s="229"/>
      <c r="K23" s="229"/>
      <c r="L23" s="229"/>
      <c r="M23" s="239"/>
      <c r="R23" s="206">
        <f>30.9-29.82</f>
        <v>1.08</v>
      </c>
    </row>
    <row r="24" ht="14" spans="1:13">
      <c r="A24" s="233"/>
      <c r="B24" s="234" t="s">
        <v>50</v>
      </c>
      <c r="C24" s="234"/>
      <c r="D24" s="234"/>
      <c r="E24" s="235" t="e">
        <f>6-H18/I17</f>
        <v>#REF!</v>
      </c>
      <c r="F24" s="234"/>
      <c r="G24" s="234"/>
      <c r="H24" s="234"/>
      <c r="I24" s="235" t="e">
        <f>6-H20/I19</f>
        <v>#REF!</v>
      </c>
      <c r="J24" s="234"/>
      <c r="K24" s="234"/>
      <c r="L24" s="234"/>
      <c r="M24" s="24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3"/>
  <sheetViews>
    <sheetView tabSelected="1" workbookViewId="0">
      <pane xSplit="2" ySplit="4" topLeftCell="C23" activePane="bottomRight" state="frozen"/>
      <selection/>
      <selection pane="topRight"/>
      <selection pane="bottomLeft"/>
      <selection pane="bottomRight" activeCell="A2" sqref="A2:A3"/>
    </sheetView>
  </sheetViews>
  <sheetFormatPr defaultColWidth="9" defaultRowHeight="14.5"/>
  <cols>
    <col min="1" max="1" width="5.12727272727273" style="174" customWidth="1"/>
    <col min="2" max="2" width="32.6272727272727" style="174" customWidth="1"/>
    <col min="3" max="3" width="13.4545454545455" style="174" customWidth="1"/>
    <col min="4" max="4" width="14.5" style="175" customWidth="1"/>
    <col min="5" max="10" width="14.7545454545455" style="175" customWidth="1"/>
    <col min="11" max="11" width="16.5" style="175" customWidth="1"/>
    <col min="12" max="12" width="15.5" style="174" customWidth="1"/>
    <col min="13" max="38" width="9" style="174"/>
    <col min="39" max="39" width="4.37272727272727" style="174" customWidth="1"/>
    <col min="40" max="40" width="13.8727272727273" style="174" customWidth="1"/>
    <col min="41" max="16384" width="9" style="174"/>
  </cols>
  <sheetData>
    <row r="1" ht="27" customHeight="1" spans="1:12">
      <c r="A1" s="176" t="s">
        <v>51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90" t="s">
        <v>52</v>
      </c>
    </row>
    <row r="2" ht="15.75" customHeight="1" spans="1:41">
      <c r="A2" s="177" t="s">
        <v>21</v>
      </c>
      <c r="B2" s="178" t="s">
        <v>1</v>
      </c>
      <c r="C2" s="178" t="s">
        <v>53</v>
      </c>
      <c r="D2" s="178" t="s">
        <v>54</v>
      </c>
      <c r="E2" s="178" t="s">
        <v>55</v>
      </c>
      <c r="F2" s="178" t="s">
        <v>56</v>
      </c>
      <c r="G2" s="178" t="s">
        <v>57</v>
      </c>
      <c r="H2" s="178" t="s">
        <v>58</v>
      </c>
      <c r="I2" s="178" t="s">
        <v>59</v>
      </c>
      <c r="J2" s="178" t="s">
        <v>60</v>
      </c>
      <c r="K2" s="199" t="s">
        <v>61</v>
      </c>
      <c r="AO2" s="174" t="s">
        <v>62</v>
      </c>
    </row>
    <row r="3" s="138" customFormat="1" ht="15.75" customHeight="1" spans="1:41">
      <c r="A3" s="179"/>
      <c r="B3" s="152" t="s">
        <v>3</v>
      </c>
      <c r="C3" s="180">
        <f>'2024年'!D6</f>
        <v>20</v>
      </c>
      <c r="D3" s="180">
        <f>'2025年'!D6</f>
        <v>200</v>
      </c>
      <c r="E3" s="180">
        <f>'2026年'!D6</f>
        <v>200</v>
      </c>
      <c r="F3" s="180">
        <f>'2027年'!D6</f>
        <v>200</v>
      </c>
      <c r="G3" s="180">
        <f>'2028年'!D6</f>
        <v>300</v>
      </c>
      <c r="H3" s="180">
        <f>'2029年'!D6</f>
        <v>300</v>
      </c>
      <c r="I3" s="180">
        <f>'2030年'!D6</f>
        <v>300</v>
      </c>
      <c r="J3" s="180">
        <f>'2031年'!D6</f>
        <v>300</v>
      </c>
      <c r="K3" s="180">
        <f t="shared" ref="K3:K10" si="0">SUM(C3:J3)</f>
        <v>1820</v>
      </c>
      <c r="L3" s="155"/>
      <c r="AM3" s="151" t="s">
        <v>21</v>
      </c>
      <c r="AN3" s="152" t="s">
        <v>3</v>
      </c>
      <c r="AO3" s="138" t="s">
        <v>63</v>
      </c>
    </row>
    <row r="4" s="138" customFormat="1" ht="15.75" customHeight="1" spans="1:41">
      <c r="A4" s="142">
        <v>1</v>
      </c>
      <c r="B4" s="152" t="s">
        <v>64</v>
      </c>
      <c r="C4" s="180">
        <f>'2024年'!D7</f>
        <v>40800</v>
      </c>
      <c r="D4" s="180">
        <f>'2025年'!D7</f>
        <v>408000</v>
      </c>
      <c r="E4" s="180">
        <f>'2026年'!D7</f>
        <v>408000</v>
      </c>
      <c r="F4" s="180">
        <f>'2027年'!D7</f>
        <v>408000</v>
      </c>
      <c r="G4" s="180">
        <f>'2028年'!D7</f>
        <v>612000</v>
      </c>
      <c r="H4" s="180">
        <f>'2029年'!D7</f>
        <v>612000</v>
      </c>
      <c r="I4" s="180">
        <f>'2030年'!D7</f>
        <v>612000</v>
      </c>
      <c r="J4" s="180">
        <f>'2031年'!D7</f>
        <v>612000</v>
      </c>
      <c r="K4" s="180">
        <f t="shared" si="0"/>
        <v>3712800</v>
      </c>
      <c r="L4" s="155"/>
      <c r="AM4" s="151" t="s">
        <v>65</v>
      </c>
      <c r="AN4" s="152" t="s">
        <v>64</v>
      </c>
      <c r="AO4" s="138" t="s">
        <v>63</v>
      </c>
    </row>
    <row r="5" s="138" customFormat="1" ht="15.75" customHeight="1" spans="1:41">
      <c r="A5" s="142">
        <v>2</v>
      </c>
      <c r="B5" s="142" t="s">
        <v>66</v>
      </c>
      <c r="C5" s="180">
        <f>'2024年'!D8</f>
        <v>0</v>
      </c>
      <c r="D5" s="180">
        <f>'2025年'!D8</f>
        <v>20400</v>
      </c>
      <c r="E5" s="180">
        <f>'2026年'!D8</f>
        <v>39780</v>
      </c>
      <c r="F5" s="180">
        <f>'2027年'!D8</f>
        <v>58191</v>
      </c>
      <c r="G5" s="180">
        <f>'2028年'!D8</f>
        <v>113522.175</v>
      </c>
      <c r="H5" s="180">
        <f>'2029年'!D8</f>
        <v>138446.06625</v>
      </c>
      <c r="I5" s="180">
        <f>'2030年'!D8</f>
        <v>162123.7629375</v>
      </c>
      <c r="J5" s="180">
        <f>'2031年'!D8</f>
        <v>184617.574790625</v>
      </c>
      <c r="K5" s="180">
        <f t="shared" si="0"/>
        <v>717080.578978125</v>
      </c>
      <c r="L5" s="155"/>
      <c r="AM5" s="151" t="s">
        <v>67</v>
      </c>
      <c r="AN5" s="142" t="s">
        <v>68</v>
      </c>
      <c r="AO5" s="138" t="s">
        <v>63</v>
      </c>
    </row>
    <row r="6" s="138" customFormat="1" ht="15.75" customHeight="1" spans="1:41">
      <c r="A6" s="142">
        <v>3</v>
      </c>
      <c r="B6" s="152" t="s">
        <v>69</v>
      </c>
      <c r="C6" s="181">
        <f>'2024年'!D9</f>
        <v>40800</v>
      </c>
      <c r="D6" s="181">
        <f>D4-D5</f>
        <v>387600</v>
      </c>
      <c r="E6" s="181">
        <f>'2026年'!D9</f>
        <v>368220</v>
      </c>
      <c r="F6" s="180">
        <f>'2027年'!D9</f>
        <v>349809</v>
      </c>
      <c r="G6" s="180">
        <f>'2028年'!D9</f>
        <v>498477.825</v>
      </c>
      <c r="H6" s="180">
        <f>'2029年'!D9</f>
        <v>473553.93375</v>
      </c>
      <c r="I6" s="180">
        <f>'2030年'!D9</f>
        <v>449876.2370625</v>
      </c>
      <c r="J6" s="180">
        <f>'2031年'!D9</f>
        <v>427382.425209375</v>
      </c>
      <c r="K6" s="180">
        <f t="shared" si="0"/>
        <v>2995719.42102187</v>
      </c>
      <c r="L6" s="155"/>
      <c r="AM6" s="151" t="s">
        <v>70</v>
      </c>
      <c r="AN6" s="152" t="s">
        <v>69</v>
      </c>
      <c r="AO6" s="138" t="s">
        <v>71</v>
      </c>
    </row>
    <row r="7" s="138" customFormat="1" ht="15.75" customHeight="1" spans="1:41">
      <c r="A7" s="142">
        <v>4</v>
      </c>
      <c r="B7" s="151" t="s">
        <v>72</v>
      </c>
      <c r="C7" s="180">
        <f>'2024年'!D10</f>
        <v>25833.602599608</v>
      </c>
      <c r="D7" s="180">
        <f>'2025年'!D10</f>
        <v>245419.224696276</v>
      </c>
      <c r="E7" s="181">
        <f>'2026年'!D10</f>
        <v>233148.263461462</v>
      </c>
      <c r="F7" s="180">
        <f>'2027年'!D10</f>
        <v>221490.850288389</v>
      </c>
      <c r="G7" s="180">
        <f>'2028年'!D10</f>
        <v>315624.461660955</v>
      </c>
      <c r="H7" s="180">
        <f>'2029年'!D10</f>
        <v>299843.238577907</v>
      </c>
      <c r="I7" s="180">
        <f>'2030年'!D10</f>
        <v>284851.076649011</v>
      </c>
      <c r="J7" s="180">
        <f>'2031年'!D10</f>
        <v>270608.522816561</v>
      </c>
      <c r="K7" s="180">
        <f t="shared" si="0"/>
        <v>1896819.24075017</v>
      </c>
      <c r="L7" s="155"/>
      <c r="AM7" s="151" t="s">
        <v>73</v>
      </c>
      <c r="AN7" s="151" t="s">
        <v>74</v>
      </c>
      <c r="AO7" s="138" t="s">
        <v>75</v>
      </c>
    </row>
    <row r="8" s="138" customFormat="1" ht="15.75" customHeight="1" spans="1:40">
      <c r="A8" s="142">
        <v>5</v>
      </c>
      <c r="B8" s="151" t="s">
        <v>76</v>
      </c>
      <c r="C8" s="180">
        <f>'2024年'!D11</f>
        <v>1224</v>
      </c>
      <c r="D8" s="180">
        <f>'2025年'!D11</f>
        <v>12240</v>
      </c>
      <c r="E8" s="181">
        <f>'2026年'!D11</f>
        <v>12240</v>
      </c>
      <c r="F8" s="180">
        <f>'2027年'!D11</f>
        <v>12240</v>
      </c>
      <c r="G8" s="180">
        <f>'2028年'!D11</f>
        <v>18360</v>
      </c>
      <c r="H8" s="180">
        <f>'2029年'!D11</f>
        <v>18360</v>
      </c>
      <c r="I8" s="180">
        <f>'2030年'!D11</f>
        <v>18360</v>
      </c>
      <c r="J8" s="180">
        <f>'2031年'!D11</f>
        <v>18360</v>
      </c>
      <c r="K8" s="180">
        <f t="shared" si="0"/>
        <v>111384</v>
      </c>
      <c r="L8" s="155"/>
      <c r="AM8" s="151" t="s">
        <v>77</v>
      </c>
      <c r="AN8" s="151" t="s">
        <v>76</v>
      </c>
    </row>
    <row r="9" s="138" customFormat="1" ht="15.75" customHeight="1" spans="1:40">
      <c r="A9" s="142">
        <v>6</v>
      </c>
      <c r="B9" s="151" t="s">
        <v>78</v>
      </c>
      <c r="C9" s="180">
        <f>'2024年'!D12</f>
        <v>408</v>
      </c>
      <c r="D9" s="180">
        <f>'2025年'!D12</f>
        <v>4080</v>
      </c>
      <c r="E9" s="181">
        <f>'2026年'!D12</f>
        <v>4080</v>
      </c>
      <c r="F9" s="180">
        <f>'2027年'!D12</f>
        <v>4080</v>
      </c>
      <c r="G9" s="180">
        <f>'2028年'!D12</f>
        <v>6120</v>
      </c>
      <c r="H9" s="180">
        <f>'2029年'!D12</f>
        <v>6120</v>
      </c>
      <c r="I9" s="180">
        <f>'2030年'!D12</f>
        <v>6120</v>
      </c>
      <c r="J9" s="180">
        <f>'2031年'!D12</f>
        <v>6120</v>
      </c>
      <c r="K9" s="180">
        <f t="shared" si="0"/>
        <v>37128</v>
      </c>
      <c r="L9" s="155"/>
      <c r="AM9" s="151" t="s">
        <v>79</v>
      </c>
      <c r="AN9" s="151" t="s">
        <v>78</v>
      </c>
    </row>
    <row r="10" s="138" customFormat="1" ht="15.75" customHeight="1" spans="1:41">
      <c r="A10" s="142">
        <v>7</v>
      </c>
      <c r="B10" s="151" t="s">
        <v>80</v>
      </c>
      <c r="C10" s="180">
        <f>'2024年'!D13</f>
        <v>408</v>
      </c>
      <c r="D10" s="180">
        <f>'2025年'!D13</f>
        <v>4080</v>
      </c>
      <c r="E10" s="181">
        <f>'2026年'!D13</f>
        <v>4080</v>
      </c>
      <c r="F10" s="180">
        <f>'2027年'!D13</f>
        <v>4080</v>
      </c>
      <c r="G10" s="180">
        <f>'2028年'!D13</f>
        <v>6120</v>
      </c>
      <c r="H10" s="180">
        <f>'2029年'!D13</f>
        <v>6120</v>
      </c>
      <c r="I10" s="180">
        <f>'2030年'!D13</f>
        <v>6120</v>
      </c>
      <c r="J10" s="180">
        <f>'2031年'!D13</f>
        <v>6120</v>
      </c>
      <c r="K10" s="180">
        <f t="shared" si="0"/>
        <v>37128</v>
      </c>
      <c r="L10" s="155"/>
      <c r="AM10" s="151" t="s">
        <v>81</v>
      </c>
      <c r="AN10" s="151" t="s">
        <v>80</v>
      </c>
      <c r="AO10" s="138" t="s">
        <v>63</v>
      </c>
    </row>
    <row r="11" s="138" customFormat="1" ht="15.75" customHeight="1" spans="1:40">
      <c r="A11" s="142">
        <v>8</v>
      </c>
      <c r="B11" s="182" t="s">
        <v>82</v>
      </c>
      <c r="C11" s="183">
        <f>SUM(C8:C10)</f>
        <v>2040</v>
      </c>
      <c r="D11" s="183">
        <f t="shared" ref="D11:K11" si="1">SUM(D8:D10)</f>
        <v>20400</v>
      </c>
      <c r="E11" s="183">
        <f t="shared" si="1"/>
        <v>20400</v>
      </c>
      <c r="F11" s="183">
        <f t="shared" si="1"/>
        <v>20400</v>
      </c>
      <c r="G11" s="183">
        <f t="shared" si="1"/>
        <v>30600</v>
      </c>
      <c r="H11" s="183">
        <f t="shared" si="1"/>
        <v>30600</v>
      </c>
      <c r="I11" s="183">
        <f t="shared" si="1"/>
        <v>30600</v>
      </c>
      <c r="J11" s="183">
        <f t="shared" si="1"/>
        <v>30600</v>
      </c>
      <c r="K11" s="183">
        <f t="shared" si="1"/>
        <v>185640</v>
      </c>
      <c r="L11" s="155"/>
      <c r="AM11" s="151" t="s">
        <v>83</v>
      </c>
      <c r="AN11" s="156" t="s">
        <v>82</v>
      </c>
    </row>
    <row r="12" s="138" customFormat="1" ht="15.75" customHeight="1" spans="1:40">
      <c r="A12" s="142">
        <v>9</v>
      </c>
      <c r="B12" s="184" t="s">
        <v>84</v>
      </c>
      <c r="C12" s="180">
        <f>'2024年'!D15</f>
        <v>12926.397400392</v>
      </c>
      <c r="D12" s="180">
        <f>'2025年'!D15</f>
        <v>121780.775303724</v>
      </c>
      <c r="E12" s="181">
        <f>'2026年'!D15</f>
        <v>114671.736538538</v>
      </c>
      <c r="F12" s="180">
        <f>'2027年'!D15</f>
        <v>107918.149711611</v>
      </c>
      <c r="G12" s="180">
        <f>'2028年'!D15</f>
        <v>152253.363339045</v>
      </c>
      <c r="H12" s="180">
        <f>'2029年'!D15</f>
        <v>143110.695172093</v>
      </c>
      <c r="I12" s="180">
        <f>'2030年'!D15</f>
        <v>134425.160413489</v>
      </c>
      <c r="J12" s="180">
        <f>'2031年'!D15</f>
        <v>126173.902392814</v>
      </c>
      <c r="K12" s="180">
        <f t="shared" ref="K12:K19" si="2">SUM(C12:J12)</f>
        <v>913260.180271706</v>
      </c>
      <c r="L12" s="155"/>
      <c r="N12" s="174"/>
      <c r="O12" s="174"/>
      <c r="P12" s="174"/>
      <c r="Q12" s="174"/>
      <c r="R12" s="174"/>
      <c r="S12" s="174"/>
      <c r="AM12" s="151" t="s">
        <v>85</v>
      </c>
      <c r="AN12" s="156" t="s">
        <v>84</v>
      </c>
    </row>
    <row r="13" ht="15.75" customHeight="1" spans="1:40">
      <c r="A13" s="142">
        <v>10</v>
      </c>
      <c r="B13" s="185" t="s">
        <v>86</v>
      </c>
      <c r="C13" s="186">
        <f t="shared" ref="C13:K13" si="3">+C12/C6</f>
        <v>0.316823465695882</v>
      </c>
      <c r="D13" s="186">
        <f t="shared" si="3"/>
        <v>0.314191886748514</v>
      </c>
      <c r="E13" s="186">
        <f t="shared" si="3"/>
        <v>0.311421803646021</v>
      </c>
      <c r="F13" s="186">
        <f t="shared" si="3"/>
        <v>0.308505926696028</v>
      </c>
      <c r="G13" s="186">
        <f t="shared" si="3"/>
        <v>0.305436582538141</v>
      </c>
      <c r="H13" s="186">
        <f t="shared" si="3"/>
        <v>0.302205693950891</v>
      </c>
      <c r="I13" s="186">
        <f t="shared" si="3"/>
        <v>0.298804758595892</v>
      </c>
      <c r="J13" s="186">
        <f t="shared" si="3"/>
        <v>0.295224826643261</v>
      </c>
      <c r="K13" s="186">
        <f t="shared" si="3"/>
        <v>0.304855045456888</v>
      </c>
      <c r="L13" s="155"/>
      <c r="AM13" s="185" t="s">
        <v>87</v>
      </c>
      <c r="AN13" s="185" t="s">
        <v>86</v>
      </c>
    </row>
    <row r="14" ht="15.75" customHeight="1" spans="1:40">
      <c r="A14" s="142">
        <v>11</v>
      </c>
      <c r="B14" s="185" t="s">
        <v>88</v>
      </c>
      <c r="C14" s="180">
        <f>'2024年'!D17</f>
        <v>7198</v>
      </c>
      <c r="D14" s="180">
        <f>'2025年'!D17</f>
        <v>29230</v>
      </c>
      <c r="E14" s="181">
        <f>'2026年'!D17</f>
        <v>29230</v>
      </c>
      <c r="F14" s="180">
        <f>'2027年'!D17</f>
        <v>29230</v>
      </c>
      <c r="G14" s="180">
        <f>'2028年'!D17</f>
        <v>41470</v>
      </c>
      <c r="H14" s="180">
        <f>'2029年'!D17</f>
        <v>41470</v>
      </c>
      <c r="I14" s="180">
        <f>'2030年'!D17</f>
        <v>41470</v>
      </c>
      <c r="J14" s="180">
        <f>'2031年'!D17</f>
        <v>41470</v>
      </c>
      <c r="K14" s="180">
        <f t="shared" si="2"/>
        <v>260768</v>
      </c>
      <c r="L14" s="155"/>
      <c r="AM14" s="185" t="s">
        <v>89</v>
      </c>
      <c r="AN14" s="185" t="s">
        <v>88</v>
      </c>
    </row>
    <row r="15" ht="15.75" customHeight="1" spans="1:40">
      <c r="A15" s="142"/>
      <c r="B15" s="185"/>
      <c r="C15" s="180"/>
      <c r="D15" s="180"/>
      <c r="E15" s="180"/>
      <c r="F15" s="180"/>
      <c r="G15" s="180"/>
      <c r="H15" s="180"/>
      <c r="I15" s="180"/>
      <c r="J15" s="180"/>
      <c r="K15" s="180">
        <f t="shared" si="2"/>
        <v>0</v>
      </c>
      <c r="L15" s="155"/>
      <c r="AM15" s="185"/>
      <c r="AN15" s="185"/>
    </row>
    <row r="16" ht="15.75" customHeight="1" spans="1:41">
      <c r="A16" s="142">
        <v>12</v>
      </c>
      <c r="B16" s="185" t="s">
        <v>90</v>
      </c>
      <c r="C16" s="187">
        <f>'2024年'!D19</f>
        <v>571.2</v>
      </c>
      <c r="D16" s="187">
        <f>'2025年'!D19</f>
        <v>5712</v>
      </c>
      <c r="E16" s="187">
        <f>'2026年'!D19</f>
        <v>5712</v>
      </c>
      <c r="F16" s="180">
        <f>'2027年'!D19</f>
        <v>5712</v>
      </c>
      <c r="G16" s="180">
        <f>'2028年'!D19</f>
        <v>8568</v>
      </c>
      <c r="H16" s="180">
        <f>'2029年'!D19</f>
        <v>8568</v>
      </c>
      <c r="I16" s="180">
        <f>'2030年'!D19</f>
        <v>8568</v>
      </c>
      <c r="J16" s="180">
        <f>'2031年'!D19</f>
        <v>8568</v>
      </c>
      <c r="K16" s="180">
        <f t="shared" si="2"/>
        <v>51979.2</v>
      </c>
      <c r="L16" s="155"/>
      <c r="T16" s="155"/>
      <c r="AM16" s="185" t="s">
        <v>91</v>
      </c>
      <c r="AN16" s="185" t="s">
        <v>90</v>
      </c>
      <c r="AO16" s="174" t="s">
        <v>63</v>
      </c>
    </row>
    <row r="17" ht="15.75" customHeight="1" spans="1:40">
      <c r="A17" s="142">
        <v>13</v>
      </c>
      <c r="B17" s="185" t="s">
        <v>92</v>
      </c>
      <c r="C17" s="187">
        <f>'2024年'!D20</f>
        <v>816</v>
      </c>
      <c r="D17" s="187">
        <f>'2025年'!D20</f>
        <v>8160</v>
      </c>
      <c r="E17" s="187">
        <f>'2026年'!D20</f>
        <v>8160</v>
      </c>
      <c r="F17" s="180">
        <f>'2027年'!D20</f>
        <v>8160</v>
      </c>
      <c r="G17" s="180">
        <f>'2028年'!D20</f>
        <v>12240</v>
      </c>
      <c r="H17" s="180">
        <f>'2029年'!D20</f>
        <v>12240</v>
      </c>
      <c r="I17" s="180">
        <f>'2030年'!D20</f>
        <v>12240</v>
      </c>
      <c r="J17" s="180">
        <f>'2031年'!D20</f>
        <v>12240</v>
      </c>
      <c r="K17" s="180">
        <f t="shared" si="2"/>
        <v>74256</v>
      </c>
      <c r="L17" s="155"/>
      <c r="AM17" s="185" t="s">
        <v>93</v>
      </c>
      <c r="AN17" s="185" t="s">
        <v>92</v>
      </c>
    </row>
    <row r="18" s="140" customFormat="1" ht="15.75" customHeight="1" spans="1:40">
      <c r="A18" s="142">
        <v>14</v>
      </c>
      <c r="B18" s="163" t="s">
        <v>94</v>
      </c>
      <c r="C18" s="188">
        <f>'2024年'!D21</f>
        <v>21250</v>
      </c>
      <c r="D18" s="188">
        <f>'2025年'!D21</f>
        <v>21250</v>
      </c>
      <c r="E18" s="188">
        <f>'2026年'!D21</f>
        <v>21250</v>
      </c>
      <c r="F18" s="188">
        <f>'2027年'!D21</f>
        <v>21250</v>
      </c>
      <c r="G18" s="180">
        <f>'2028年'!D21</f>
        <v>21250</v>
      </c>
      <c r="H18" s="180">
        <f>'2029年'!D21</f>
        <v>21250</v>
      </c>
      <c r="I18" s="180">
        <f>'2030年'!D21</f>
        <v>21250</v>
      </c>
      <c r="J18" s="180">
        <f>'2031年'!D21</f>
        <v>21250</v>
      </c>
      <c r="K18" s="180">
        <f t="shared" si="2"/>
        <v>170000</v>
      </c>
      <c r="L18" s="155"/>
      <c r="AM18" s="163"/>
      <c r="AN18" s="163"/>
    </row>
    <row r="19" s="138" customFormat="1" ht="15.75" customHeight="1" spans="1:40">
      <c r="A19" s="142">
        <v>15</v>
      </c>
      <c r="B19" s="151" t="s">
        <v>95</v>
      </c>
      <c r="C19" s="187">
        <f>'2024年'!D22</f>
        <v>1632</v>
      </c>
      <c r="D19" s="187">
        <f>'2025年'!D22</f>
        <v>16320</v>
      </c>
      <c r="E19" s="187">
        <f>'2026年'!D22</f>
        <v>16320</v>
      </c>
      <c r="F19" s="180">
        <f>'2027年'!D22</f>
        <v>16320</v>
      </c>
      <c r="G19" s="180">
        <f>'2028年'!D22</f>
        <v>24480</v>
      </c>
      <c r="H19" s="180">
        <f>'2029年'!D22</f>
        <v>24480</v>
      </c>
      <c r="I19" s="180">
        <f>'2030年'!D22</f>
        <v>24480</v>
      </c>
      <c r="J19" s="180">
        <f>'2031年'!D22</f>
        <v>24480</v>
      </c>
      <c r="K19" s="180">
        <f t="shared" si="2"/>
        <v>148512</v>
      </c>
      <c r="L19" s="155"/>
      <c r="AM19" s="151" t="s">
        <v>96</v>
      </c>
      <c r="AN19" s="151" t="s">
        <v>95</v>
      </c>
    </row>
    <row r="20" s="172" customFormat="1" ht="15.75" customHeight="1" spans="1:40">
      <c r="A20" s="142">
        <v>16</v>
      </c>
      <c r="B20" s="189" t="s">
        <v>97</v>
      </c>
      <c r="C20" s="183">
        <f t="shared" ref="C20:K20" si="4">+C19+C18+C17+C16+C14</f>
        <v>31467.2</v>
      </c>
      <c r="D20" s="183">
        <f t="shared" si="4"/>
        <v>80672</v>
      </c>
      <c r="E20" s="183">
        <f t="shared" si="4"/>
        <v>80672</v>
      </c>
      <c r="F20" s="183">
        <f t="shared" si="4"/>
        <v>80672</v>
      </c>
      <c r="G20" s="183">
        <f t="shared" si="4"/>
        <v>108008</v>
      </c>
      <c r="H20" s="183">
        <f t="shared" si="4"/>
        <v>108008</v>
      </c>
      <c r="I20" s="183">
        <f t="shared" si="4"/>
        <v>108008</v>
      </c>
      <c r="J20" s="183">
        <f t="shared" si="4"/>
        <v>108008</v>
      </c>
      <c r="K20" s="183">
        <f t="shared" si="4"/>
        <v>705515.2</v>
      </c>
      <c r="L20" s="155"/>
      <c r="AM20" s="202" t="s">
        <v>98</v>
      </c>
      <c r="AN20" s="203" t="s">
        <v>97</v>
      </c>
    </row>
    <row r="21" ht="15.75" customHeight="1" spans="1:40">
      <c r="A21" s="142">
        <v>17</v>
      </c>
      <c r="B21" s="185" t="s">
        <v>99</v>
      </c>
      <c r="C21" s="188">
        <f>'2024年'!D24</f>
        <v>-18540.802599608</v>
      </c>
      <c r="D21" s="190">
        <f>'2025年'!D24</f>
        <v>41108.7753037239</v>
      </c>
      <c r="E21" s="190">
        <f>'2026年'!D24</f>
        <v>33999.7365385377</v>
      </c>
      <c r="F21" s="180">
        <f>'2027年'!D24</f>
        <v>27246.1497116109</v>
      </c>
      <c r="G21" s="180">
        <f>'2028年'!D24</f>
        <v>44245.3633390455</v>
      </c>
      <c r="H21" s="180">
        <f>'2029年'!D24</f>
        <v>35102.6951720932</v>
      </c>
      <c r="I21" s="180">
        <f>'2030年'!D24</f>
        <v>26417.1604134886</v>
      </c>
      <c r="J21" s="180">
        <f>'2031年'!D24</f>
        <v>18165.9023928141</v>
      </c>
      <c r="K21" s="180">
        <f t="shared" ref="K21:K23" si="5">SUM(C21:J21)</f>
        <v>207744.980271706</v>
      </c>
      <c r="L21" s="200" t="s">
        <v>52</v>
      </c>
      <c r="AM21" s="185" t="s">
        <v>100</v>
      </c>
      <c r="AN21" s="185" t="s">
        <v>99</v>
      </c>
    </row>
    <row r="22" ht="15.75" customHeight="1" spans="1:40">
      <c r="A22" s="142">
        <v>18</v>
      </c>
      <c r="B22" s="185" t="s">
        <v>38</v>
      </c>
      <c r="C22" s="188">
        <f>'2024年'!D25</f>
        <v>0</v>
      </c>
      <c r="D22" s="190">
        <f>'2025年'!D25</f>
        <v>10277.193825931</v>
      </c>
      <c r="E22" s="190">
        <f>'2026年'!D25</f>
        <v>8499.93413463444</v>
      </c>
      <c r="F22" s="180">
        <f>'2027年'!D25</f>
        <v>6811.53742790272</v>
      </c>
      <c r="G22" s="180">
        <f>'2028年'!D25</f>
        <v>11061.3408347614</v>
      </c>
      <c r="H22" s="180">
        <f>'2029年'!D25</f>
        <v>8775.67379302331</v>
      </c>
      <c r="I22" s="180">
        <f>'2030年'!D25</f>
        <v>6604.29010337214</v>
      </c>
      <c r="J22" s="180">
        <f>'2031年'!D25</f>
        <v>4541.47559820353</v>
      </c>
      <c r="K22" s="180">
        <f t="shared" si="5"/>
        <v>56571.4457178285</v>
      </c>
      <c r="L22" s="155"/>
      <c r="AM22" s="185" t="s">
        <v>101</v>
      </c>
      <c r="AN22" s="185" t="s">
        <v>38</v>
      </c>
    </row>
    <row r="23" ht="15.75" customHeight="1" spans="1:40">
      <c r="A23" s="142">
        <v>19</v>
      </c>
      <c r="B23" s="185" t="s">
        <v>102</v>
      </c>
      <c r="C23" s="188">
        <f>'2024年'!D26</f>
        <v>-18540.802599608</v>
      </c>
      <c r="D23" s="190">
        <f>'2025年'!D26</f>
        <v>30831.5814777929</v>
      </c>
      <c r="E23" s="190">
        <f>'2026年'!D26</f>
        <v>25499.8024039033</v>
      </c>
      <c r="F23" s="180">
        <f>'2027年'!D26</f>
        <v>20434.6122837081</v>
      </c>
      <c r="G23" s="180">
        <f>'2028年'!D26</f>
        <v>33184.0225042841</v>
      </c>
      <c r="H23" s="180">
        <f>'2029年'!D26</f>
        <v>26327.0213790699</v>
      </c>
      <c r="I23" s="180">
        <f>'2030年'!D26</f>
        <v>19812.8703101164</v>
      </c>
      <c r="J23" s="180">
        <f>'2031年'!D26</f>
        <v>13624.4267946106</v>
      </c>
      <c r="K23" s="180">
        <f t="shared" si="5"/>
        <v>151173.534553877</v>
      </c>
      <c r="L23" s="200" t="s">
        <v>52</v>
      </c>
      <c r="AM23" s="185" t="s">
        <v>103</v>
      </c>
      <c r="AN23" s="185" t="s">
        <v>102</v>
      </c>
    </row>
    <row r="24" ht="15.75" customHeight="1" spans="1:40">
      <c r="A24" s="142">
        <v>20</v>
      </c>
      <c r="B24" s="185" t="s">
        <v>104</v>
      </c>
      <c r="C24" s="191">
        <f>C23/C4</f>
        <v>-0.454431436264902</v>
      </c>
      <c r="D24" s="191">
        <f t="shared" ref="D24:K24" si="6">D23/D4</f>
        <v>0.0755676016612572</v>
      </c>
      <c r="E24" s="191">
        <f t="shared" si="6"/>
        <v>0.0624995156958415</v>
      </c>
      <c r="F24" s="191">
        <f t="shared" si="6"/>
        <v>0.0500848340286964</v>
      </c>
      <c r="G24" s="191">
        <f t="shared" si="6"/>
        <v>0.0542222589939283</v>
      </c>
      <c r="H24" s="191">
        <f t="shared" si="6"/>
        <v>0.0430180087893299</v>
      </c>
      <c r="I24" s="191">
        <f t="shared" si="6"/>
        <v>0.0323739710949615</v>
      </c>
      <c r="J24" s="191">
        <f t="shared" si="6"/>
        <v>0.0222621352853114</v>
      </c>
      <c r="K24" s="191">
        <f t="shared" si="6"/>
        <v>0.0407168537367694</v>
      </c>
      <c r="L24" s="200" t="s">
        <v>52</v>
      </c>
      <c r="AM24" s="204" t="s">
        <v>105</v>
      </c>
      <c r="AN24" s="204" t="s">
        <v>106</v>
      </c>
    </row>
    <row r="25" s="173" customFormat="1" ht="15.75" customHeight="1" spans="4:12">
      <c r="D25" s="192"/>
      <c r="E25" s="192"/>
      <c r="F25" s="192"/>
      <c r="G25" s="192"/>
      <c r="H25" s="192"/>
      <c r="I25" s="192"/>
      <c r="J25" s="192"/>
      <c r="K25" s="192"/>
      <c r="L25" s="201"/>
    </row>
    <row r="26" s="173" customFormat="1" ht="15.75" customHeight="1" spans="1:39">
      <c r="A26" s="173" t="s">
        <v>107</v>
      </c>
      <c r="D26" s="193"/>
      <c r="E26" s="193"/>
      <c r="F26" s="193"/>
      <c r="G26" s="193"/>
      <c r="H26" s="193"/>
      <c r="I26" s="193"/>
      <c r="J26" s="193"/>
      <c r="K26" s="193"/>
      <c r="L26" s="201"/>
      <c r="AM26" s="173" t="s">
        <v>107</v>
      </c>
    </row>
    <row r="27" ht="15.75" customHeight="1" spans="1:41">
      <c r="A27" s="185" t="s">
        <v>21</v>
      </c>
      <c r="B27" s="194" t="s">
        <v>1</v>
      </c>
      <c r="C27" s="178" t="s">
        <v>53</v>
      </c>
      <c r="D27" s="178" t="s">
        <v>54</v>
      </c>
      <c r="E27" s="178" t="s">
        <v>55</v>
      </c>
      <c r="F27" s="178" t="s">
        <v>56</v>
      </c>
      <c r="G27" s="178" t="s">
        <v>57</v>
      </c>
      <c r="H27" s="178" t="s">
        <v>58</v>
      </c>
      <c r="I27" s="178" t="s">
        <v>59</v>
      </c>
      <c r="J27" s="178" t="s">
        <v>60</v>
      </c>
      <c r="K27" s="199" t="s">
        <v>61</v>
      </c>
      <c r="AO27" s="174" t="s">
        <v>62</v>
      </c>
    </row>
    <row r="28" s="138" customFormat="1" ht="15.75" customHeight="1" spans="1:40">
      <c r="A28" s="151" t="s">
        <v>108</v>
      </c>
      <c r="B28" s="156" t="s">
        <v>109</v>
      </c>
      <c r="C28" s="156"/>
      <c r="D28" s="162"/>
      <c r="E28" s="162"/>
      <c r="F28" s="162"/>
      <c r="G28" s="162"/>
      <c r="H28" s="162"/>
      <c r="I28" s="162"/>
      <c r="J28" s="162"/>
      <c r="K28" s="162"/>
      <c r="L28" s="155"/>
      <c r="AM28" s="151" t="s">
        <v>110</v>
      </c>
      <c r="AN28" s="156" t="s">
        <v>109</v>
      </c>
    </row>
    <row r="29" s="138" customFormat="1" ht="15.75" customHeight="1" spans="1:40">
      <c r="A29" s="151" t="s">
        <v>65</v>
      </c>
      <c r="B29" s="151" t="s">
        <v>111</v>
      </c>
      <c r="C29" s="154">
        <f>+C6/C3</f>
        <v>2040</v>
      </c>
      <c r="D29" s="154">
        <f t="shared" ref="D29:K29" si="7">+D6/D3</f>
        <v>1938</v>
      </c>
      <c r="E29" s="154">
        <f t="shared" si="7"/>
        <v>1841.1</v>
      </c>
      <c r="F29" s="154">
        <f t="shared" si="7"/>
        <v>1749.045</v>
      </c>
      <c r="G29" s="154">
        <f t="shared" si="7"/>
        <v>1661.59275</v>
      </c>
      <c r="H29" s="154">
        <f t="shared" si="7"/>
        <v>1578.5131125</v>
      </c>
      <c r="I29" s="154">
        <f t="shared" si="7"/>
        <v>1499.587456875</v>
      </c>
      <c r="J29" s="154">
        <f t="shared" si="7"/>
        <v>1424.60808403125</v>
      </c>
      <c r="K29" s="154">
        <f t="shared" si="7"/>
        <v>1645.99968188015</v>
      </c>
      <c r="L29" s="155"/>
      <c r="AM29" s="151" t="s">
        <v>65</v>
      </c>
      <c r="AN29" s="151" t="s">
        <v>111</v>
      </c>
    </row>
    <row r="30" s="138" customFormat="1" ht="15.75" customHeight="1" spans="1:40">
      <c r="A30" s="151" t="s">
        <v>67</v>
      </c>
      <c r="B30" s="151" t="s">
        <v>112</v>
      </c>
      <c r="C30" s="154">
        <f>+C7/C3</f>
        <v>1291.6801299804</v>
      </c>
      <c r="D30" s="154">
        <f t="shared" ref="D30:K30" si="8">+D7/D3</f>
        <v>1227.09612348138</v>
      </c>
      <c r="E30" s="154">
        <f t="shared" si="8"/>
        <v>1165.74131730731</v>
      </c>
      <c r="F30" s="154">
        <f t="shared" si="8"/>
        <v>1107.45425144195</v>
      </c>
      <c r="G30" s="154">
        <f t="shared" si="8"/>
        <v>1052.08153886985</v>
      </c>
      <c r="H30" s="154">
        <f t="shared" si="8"/>
        <v>999.477461926356</v>
      </c>
      <c r="I30" s="154">
        <f t="shared" si="8"/>
        <v>949.503588830038</v>
      </c>
      <c r="J30" s="154">
        <f t="shared" si="8"/>
        <v>902.028409388536</v>
      </c>
      <c r="K30" s="154">
        <f t="shared" si="8"/>
        <v>1042.20837403855</v>
      </c>
      <c r="L30" s="155"/>
      <c r="AM30" s="151" t="s">
        <v>67</v>
      </c>
      <c r="AN30" s="151" t="s">
        <v>112</v>
      </c>
    </row>
    <row r="31" s="138" customFormat="1" ht="15.75" customHeight="1" spans="1:40">
      <c r="A31" s="151" t="s">
        <v>113</v>
      </c>
      <c r="B31" s="151" t="s">
        <v>114</v>
      </c>
      <c r="C31" s="162">
        <f>C29-C30</f>
        <v>748.3198700196</v>
      </c>
      <c r="D31" s="162">
        <f t="shared" ref="D31:K31" si="9">D29-D30</f>
        <v>710.90387651862</v>
      </c>
      <c r="E31" s="162">
        <f t="shared" si="9"/>
        <v>675.358682692689</v>
      </c>
      <c r="F31" s="162">
        <f t="shared" si="9"/>
        <v>641.590748558054</v>
      </c>
      <c r="G31" s="162">
        <f t="shared" si="9"/>
        <v>609.511211130152</v>
      </c>
      <c r="H31" s="162">
        <f t="shared" si="9"/>
        <v>579.035650573644</v>
      </c>
      <c r="I31" s="162">
        <f t="shared" si="9"/>
        <v>550.083868044962</v>
      </c>
      <c r="J31" s="162">
        <f t="shared" si="9"/>
        <v>522.579674642714</v>
      </c>
      <c r="K31" s="162">
        <f t="shared" si="9"/>
        <v>603.791307841597</v>
      </c>
      <c r="L31" s="155"/>
      <c r="AM31" s="151" t="s">
        <v>113</v>
      </c>
      <c r="AN31" s="151" t="s">
        <v>114</v>
      </c>
    </row>
    <row r="32" s="138" customFormat="1" ht="15.75" customHeight="1" spans="1:40">
      <c r="A32" s="151">
        <v>3.1</v>
      </c>
      <c r="B32" s="151" t="s">
        <v>115</v>
      </c>
      <c r="C32" s="157">
        <f>C31/C29</f>
        <v>0.366823465695882</v>
      </c>
      <c r="D32" s="157">
        <f t="shared" ref="D32:K32" si="10">D31/D29</f>
        <v>0.366823465695882</v>
      </c>
      <c r="E32" s="157">
        <f t="shared" si="10"/>
        <v>0.366823465695882</v>
      </c>
      <c r="F32" s="157">
        <f t="shared" si="10"/>
        <v>0.366823465695882</v>
      </c>
      <c r="G32" s="157">
        <f t="shared" si="10"/>
        <v>0.366823465695882</v>
      </c>
      <c r="H32" s="157">
        <f t="shared" si="10"/>
        <v>0.366823465695882</v>
      </c>
      <c r="I32" s="157">
        <f t="shared" si="10"/>
        <v>0.366823465695882</v>
      </c>
      <c r="J32" s="157">
        <f t="shared" si="10"/>
        <v>0.366823465695882</v>
      </c>
      <c r="K32" s="157">
        <f t="shared" si="10"/>
        <v>0.366823465695882</v>
      </c>
      <c r="L32" s="155"/>
      <c r="AM32" s="151"/>
      <c r="AN32" s="151"/>
    </row>
    <row r="33" s="138" customFormat="1" ht="15.75" customHeight="1" spans="1:40">
      <c r="A33" s="151" t="s">
        <v>110</v>
      </c>
      <c r="B33" s="156" t="s">
        <v>10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55"/>
      <c r="AM33" s="151" t="s">
        <v>116</v>
      </c>
      <c r="AN33" s="156" t="s">
        <v>10</v>
      </c>
    </row>
    <row r="34" s="138" customFormat="1" ht="15.75" customHeight="1" spans="1:40">
      <c r="A34" s="151" t="s">
        <v>65</v>
      </c>
      <c r="B34" s="163" t="s">
        <v>117</v>
      </c>
      <c r="C34" s="154">
        <f>+C8/C3</f>
        <v>61.2</v>
      </c>
      <c r="D34" s="154">
        <f>+D8/D3</f>
        <v>61.2</v>
      </c>
      <c r="E34" s="154">
        <f t="shared" ref="D34:K34" si="11">+E8/E3</f>
        <v>61.2</v>
      </c>
      <c r="F34" s="154">
        <f t="shared" si="11"/>
        <v>61.2</v>
      </c>
      <c r="G34" s="154">
        <f t="shared" si="11"/>
        <v>61.2</v>
      </c>
      <c r="H34" s="154">
        <f t="shared" si="11"/>
        <v>61.2</v>
      </c>
      <c r="I34" s="154">
        <f t="shared" si="11"/>
        <v>61.2</v>
      </c>
      <c r="J34" s="154">
        <f t="shared" si="11"/>
        <v>61.2</v>
      </c>
      <c r="K34" s="154">
        <f t="shared" si="11"/>
        <v>61.2</v>
      </c>
      <c r="L34" s="155"/>
      <c r="AM34" s="151" t="s">
        <v>113</v>
      </c>
      <c r="AN34" s="151" t="s">
        <v>117</v>
      </c>
    </row>
    <row r="35" s="138" customFormat="1" ht="15.75" customHeight="1" spans="1:40">
      <c r="A35" s="151" t="s">
        <v>67</v>
      </c>
      <c r="B35" s="163" t="s">
        <v>118</v>
      </c>
      <c r="C35" s="154">
        <f>+C9/C3</f>
        <v>20.4</v>
      </c>
      <c r="D35" s="154">
        <f t="shared" ref="D35:K35" si="12">+D9/D3</f>
        <v>20.4</v>
      </c>
      <c r="E35" s="154">
        <f t="shared" si="12"/>
        <v>20.4</v>
      </c>
      <c r="F35" s="154">
        <f t="shared" si="12"/>
        <v>20.4</v>
      </c>
      <c r="G35" s="154">
        <f t="shared" si="12"/>
        <v>20.4</v>
      </c>
      <c r="H35" s="154">
        <f t="shared" si="12"/>
        <v>20.4</v>
      </c>
      <c r="I35" s="154">
        <f t="shared" si="12"/>
        <v>20.4</v>
      </c>
      <c r="J35" s="154">
        <f t="shared" si="12"/>
        <v>20.4</v>
      </c>
      <c r="K35" s="154">
        <f t="shared" si="12"/>
        <v>20.4</v>
      </c>
      <c r="L35" s="155"/>
      <c r="AM35" s="151" t="s">
        <v>70</v>
      </c>
      <c r="AN35" s="151" t="s">
        <v>118</v>
      </c>
    </row>
    <row r="36" s="138" customFormat="1" ht="15.75" customHeight="1" spans="1:40">
      <c r="A36" s="151" t="s">
        <v>113</v>
      </c>
      <c r="B36" s="163" t="s">
        <v>119</v>
      </c>
      <c r="C36" s="154">
        <f>+C10/C3</f>
        <v>20.4</v>
      </c>
      <c r="D36" s="154">
        <f t="shared" ref="D36:K36" si="13">+D10/D3</f>
        <v>20.4</v>
      </c>
      <c r="E36" s="154">
        <f t="shared" si="13"/>
        <v>20.4</v>
      </c>
      <c r="F36" s="154">
        <f t="shared" si="13"/>
        <v>20.4</v>
      </c>
      <c r="G36" s="154">
        <f t="shared" si="13"/>
        <v>20.4</v>
      </c>
      <c r="H36" s="154">
        <f t="shared" si="13"/>
        <v>20.4</v>
      </c>
      <c r="I36" s="154">
        <f t="shared" si="13"/>
        <v>20.4</v>
      </c>
      <c r="J36" s="154">
        <f t="shared" si="13"/>
        <v>20.4</v>
      </c>
      <c r="K36" s="154">
        <f t="shared" si="13"/>
        <v>20.4</v>
      </c>
      <c r="L36" s="155"/>
      <c r="AM36" s="151" t="s">
        <v>77</v>
      </c>
      <c r="AN36" s="151" t="s">
        <v>119</v>
      </c>
    </row>
    <row r="37" s="138" customFormat="1" ht="15.75" customHeight="1" spans="1:40">
      <c r="A37" s="151" t="s">
        <v>120</v>
      </c>
      <c r="B37" s="184" t="s">
        <v>121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5"/>
      <c r="AM37" s="151" t="s">
        <v>120</v>
      </c>
      <c r="AN37" s="156" t="s">
        <v>121</v>
      </c>
    </row>
    <row r="38" s="138" customFormat="1" spans="1:40">
      <c r="A38" s="151" t="s">
        <v>65</v>
      </c>
      <c r="B38" s="163" t="s">
        <v>122</v>
      </c>
      <c r="C38" s="154">
        <f>+C12/C3</f>
        <v>646.3198700196</v>
      </c>
      <c r="D38" s="154">
        <f t="shared" ref="D38:K38" si="14">+D12/D3</f>
        <v>608.90387651862</v>
      </c>
      <c r="E38" s="154">
        <f t="shared" si="14"/>
        <v>573.358682692689</v>
      </c>
      <c r="F38" s="154">
        <f t="shared" si="14"/>
        <v>539.590748558054</v>
      </c>
      <c r="G38" s="154">
        <f t="shared" si="14"/>
        <v>507.511211130152</v>
      </c>
      <c r="H38" s="154">
        <f t="shared" si="14"/>
        <v>477.035650573644</v>
      </c>
      <c r="I38" s="154">
        <f t="shared" si="14"/>
        <v>448.083868044962</v>
      </c>
      <c r="J38" s="154">
        <f t="shared" si="14"/>
        <v>420.579674642714</v>
      </c>
      <c r="K38" s="154">
        <f t="shared" si="14"/>
        <v>501.791307841597</v>
      </c>
      <c r="L38" s="155"/>
      <c r="AM38" s="151" t="s">
        <v>65</v>
      </c>
      <c r="AN38" s="151" t="s">
        <v>123</v>
      </c>
    </row>
    <row r="39" s="138" customFormat="1" ht="15.75" customHeight="1" spans="1:40">
      <c r="A39" s="151" t="s">
        <v>67</v>
      </c>
      <c r="B39" s="163" t="s">
        <v>124</v>
      </c>
      <c r="C39" s="180">
        <f>+C20/C38</f>
        <v>48.6867284446102</v>
      </c>
      <c r="D39" s="180">
        <f t="shared" ref="D39:K39" si="15">+D20/D38</f>
        <v>132.4872498123</v>
      </c>
      <c r="E39" s="180">
        <f t="shared" si="15"/>
        <v>140.700755801127</v>
      </c>
      <c r="F39" s="180">
        <f t="shared" si="15"/>
        <v>149.505899082924</v>
      </c>
      <c r="G39" s="180">
        <f t="shared" si="15"/>
        <v>212.818943958858</v>
      </c>
      <c r="H39" s="180">
        <f t="shared" si="15"/>
        <v>226.414943768078</v>
      </c>
      <c r="I39" s="180">
        <f t="shared" si="15"/>
        <v>241.04416093186</v>
      </c>
      <c r="J39" s="180">
        <f t="shared" si="15"/>
        <v>256.807464820438</v>
      </c>
      <c r="K39" s="180">
        <f t="shared" si="15"/>
        <v>1405.99326647307</v>
      </c>
      <c r="L39" s="155"/>
      <c r="AM39" s="151" t="s">
        <v>67</v>
      </c>
      <c r="AN39" s="151" t="s">
        <v>124</v>
      </c>
    </row>
    <row r="40" s="138" customFormat="1" ht="15.75" customHeight="1" spans="1:40">
      <c r="A40" s="151" t="s">
        <v>125</v>
      </c>
      <c r="B40" s="156" t="s">
        <v>126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55"/>
      <c r="AM40" s="151" t="s">
        <v>125</v>
      </c>
      <c r="AN40" s="156" t="s">
        <v>126</v>
      </c>
    </row>
    <row r="41" s="138" customFormat="1" ht="15.75" customHeight="1" spans="1:40">
      <c r="A41" s="151" t="s">
        <v>65</v>
      </c>
      <c r="B41" s="151" t="s">
        <v>127</v>
      </c>
      <c r="C41" s="162">
        <f>+C14/C3</f>
        <v>359.9</v>
      </c>
      <c r="D41" s="162">
        <f t="shared" ref="D41:K41" si="16">+D14/D3</f>
        <v>146.15</v>
      </c>
      <c r="E41" s="162">
        <f t="shared" si="16"/>
        <v>146.15</v>
      </c>
      <c r="F41" s="162">
        <f t="shared" si="16"/>
        <v>146.15</v>
      </c>
      <c r="G41" s="162">
        <f t="shared" si="16"/>
        <v>138.233333333333</v>
      </c>
      <c r="H41" s="162">
        <f t="shared" si="16"/>
        <v>138.233333333333</v>
      </c>
      <c r="I41" s="162">
        <f t="shared" si="16"/>
        <v>138.233333333333</v>
      </c>
      <c r="J41" s="162">
        <f t="shared" si="16"/>
        <v>138.233333333333</v>
      </c>
      <c r="K41" s="162">
        <f t="shared" si="16"/>
        <v>143.279120879121</v>
      </c>
      <c r="L41" s="155"/>
      <c r="AM41" s="151" t="s">
        <v>65</v>
      </c>
      <c r="AN41" s="151" t="s">
        <v>127</v>
      </c>
    </row>
    <row r="42" s="138" customFormat="1" ht="15.75" customHeight="1" spans="1:40">
      <c r="A42" s="151" t="s">
        <v>67</v>
      </c>
      <c r="B42" s="151" t="s">
        <v>128</v>
      </c>
      <c r="C42" s="162">
        <f>+C16/C3</f>
        <v>28.56</v>
      </c>
      <c r="D42" s="162">
        <f t="shared" ref="D42:K42" si="17">+D16/D3</f>
        <v>28.56</v>
      </c>
      <c r="E42" s="162">
        <f t="shared" si="17"/>
        <v>28.56</v>
      </c>
      <c r="F42" s="162">
        <f t="shared" si="17"/>
        <v>28.56</v>
      </c>
      <c r="G42" s="162">
        <f t="shared" si="17"/>
        <v>28.56</v>
      </c>
      <c r="H42" s="162">
        <f t="shared" si="17"/>
        <v>28.56</v>
      </c>
      <c r="I42" s="162">
        <f t="shared" si="17"/>
        <v>28.56</v>
      </c>
      <c r="J42" s="162">
        <f t="shared" si="17"/>
        <v>28.56</v>
      </c>
      <c r="K42" s="162">
        <f t="shared" si="17"/>
        <v>28.56</v>
      </c>
      <c r="L42" s="155"/>
      <c r="AM42" s="151" t="s">
        <v>67</v>
      </c>
      <c r="AN42" s="151" t="s">
        <v>128</v>
      </c>
    </row>
    <row r="43" s="138" customFormat="1" ht="15.75" customHeight="1" spans="1:40">
      <c r="A43" s="151" t="s">
        <v>113</v>
      </c>
      <c r="B43" s="151" t="s">
        <v>129</v>
      </c>
      <c r="C43" s="162">
        <f>+C17/C3</f>
        <v>40.8</v>
      </c>
      <c r="D43" s="162">
        <f t="shared" ref="D43:K43" si="18">+D17/D3</f>
        <v>40.8</v>
      </c>
      <c r="E43" s="162">
        <f t="shared" si="18"/>
        <v>40.8</v>
      </c>
      <c r="F43" s="162">
        <f t="shared" si="18"/>
        <v>40.8</v>
      </c>
      <c r="G43" s="162">
        <f t="shared" si="18"/>
        <v>40.8</v>
      </c>
      <c r="H43" s="162">
        <f t="shared" si="18"/>
        <v>40.8</v>
      </c>
      <c r="I43" s="162">
        <f t="shared" si="18"/>
        <v>40.8</v>
      </c>
      <c r="J43" s="162">
        <f t="shared" si="18"/>
        <v>40.8</v>
      </c>
      <c r="K43" s="162">
        <f t="shared" si="18"/>
        <v>40.8</v>
      </c>
      <c r="L43" s="155"/>
      <c r="AM43" s="151" t="s">
        <v>113</v>
      </c>
      <c r="AN43" s="151" t="s">
        <v>129</v>
      </c>
    </row>
    <row r="44" s="138" customFormat="1" ht="15.75" customHeight="1" spans="1:40">
      <c r="A44" s="151" t="s">
        <v>70</v>
      </c>
      <c r="B44" s="151" t="s">
        <v>130</v>
      </c>
      <c r="C44" s="162">
        <f>C18/C3</f>
        <v>1062.5</v>
      </c>
      <c r="D44" s="162">
        <f t="shared" ref="D44:K44" si="19">D18/D3</f>
        <v>106.25</v>
      </c>
      <c r="E44" s="162">
        <f t="shared" si="19"/>
        <v>106.25</v>
      </c>
      <c r="F44" s="162">
        <f t="shared" si="19"/>
        <v>106.25</v>
      </c>
      <c r="G44" s="162">
        <f t="shared" si="19"/>
        <v>70.8333333333333</v>
      </c>
      <c r="H44" s="162">
        <f t="shared" si="19"/>
        <v>70.8333333333333</v>
      </c>
      <c r="I44" s="162">
        <f t="shared" si="19"/>
        <v>70.8333333333333</v>
      </c>
      <c r="J44" s="162">
        <f t="shared" si="19"/>
        <v>70.8333333333333</v>
      </c>
      <c r="K44" s="162">
        <f t="shared" si="19"/>
        <v>93.4065934065934</v>
      </c>
      <c r="L44" s="155"/>
      <c r="AM44" s="151" t="s">
        <v>70</v>
      </c>
      <c r="AN44" s="151" t="s">
        <v>131</v>
      </c>
    </row>
    <row r="45" s="138" customFormat="1" ht="15.75" customHeight="1" spans="1:40">
      <c r="A45" s="151" t="s">
        <v>73</v>
      </c>
      <c r="B45" s="151" t="s">
        <v>132</v>
      </c>
      <c r="C45" s="162">
        <f>C19/C3</f>
        <v>81.6</v>
      </c>
      <c r="D45" s="162">
        <f t="shared" ref="D45:K45" si="20">D19/D3</f>
        <v>81.6</v>
      </c>
      <c r="E45" s="162">
        <f t="shared" si="20"/>
        <v>81.6</v>
      </c>
      <c r="F45" s="162">
        <f t="shared" si="20"/>
        <v>81.6</v>
      </c>
      <c r="G45" s="162">
        <f t="shared" si="20"/>
        <v>81.6</v>
      </c>
      <c r="H45" s="162">
        <f t="shared" si="20"/>
        <v>81.6</v>
      </c>
      <c r="I45" s="162">
        <f t="shared" si="20"/>
        <v>81.6</v>
      </c>
      <c r="J45" s="162">
        <f t="shared" si="20"/>
        <v>81.6</v>
      </c>
      <c r="K45" s="162">
        <f t="shared" si="20"/>
        <v>81.6</v>
      </c>
      <c r="L45" s="155"/>
      <c r="AM45" s="151" t="s">
        <v>73</v>
      </c>
      <c r="AN45" s="151" t="s">
        <v>132</v>
      </c>
    </row>
    <row r="46" s="138" customFormat="1" ht="15.75" customHeight="1" spans="1:40">
      <c r="A46" s="151" t="s">
        <v>133</v>
      </c>
      <c r="B46" s="156" t="s">
        <v>134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55"/>
      <c r="AM46" s="151" t="s">
        <v>133</v>
      </c>
      <c r="AN46" s="156" t="s">
        <v>134</v>
      </c>
    </row>
    <row r="47" s="138" customFormat="1" ht="15.75" customHeight="1" spans="1:40">
      <c r="A47" s="151" t="s">
        <v>65</v>
      </c>
      <c r="B47" s="151" t="s">
        <v>135</v>
      </c>
      <c r="C47" s="165">
        <f>+(C10+C16)/C6</f>
        <v>0.024</v>
      </c>
      <c r="D47" s="165">
        <f t="shared" ref="D47:K47" si="21">+(D10+D16)/D6</f>
        <v>0.0252631578947368</v>
      </c>
      <c r="E47" s="165">
        <f t="shared" si="21"/>
        <v>0.0265927977839335</v>
      </c>
      <c r="F47" s="165">
        <f t="shared" si="21"/>
        <v>0.02799241871993</v>
      </c>
      <c r="G47" s="165">
        <f t="shared" si="21"/>
        <v>0.0294657039157158</v>
      </c>
      <c r="H47" s="165">
        <f t="shared" si="21"/>
        <v>0.0310165304375956</v>
      </c>
      <c r="I47" s="165">
        <f t="shared" si="21"/>
        <v>0.0326489794079954</v>
      </c>
      <c r="J47" s="165">
        <f t="shared" si="21"/>
        <v>0.0343673467452583</v>
      </c>
      <c r="K47" s="165">
        <f t="shared" si="21"/>
        <v>0.0297448417147172</v>
      </c>
      <c r="L47" s="155"/>
      <c r="AM47" s="151" t="s">
        <v>65</v>
      </c>
      <c r="AN47" s="151" t="s">
        <v>135</v>
      </c>
    </row>
    <row r="48" s="138" customFormat="1" ht="15.75" customHeight="1" spans="1:40">
      <c r="A48" s="151" t="s">
        <v>67</v>
      </c>
      <c r="B48" s="151" t="s">
        <v>136</v>
      </c>
      <c r="C48" s="165">
        <f>+(C8+C9+C14)/C6</f>
        <v>0.216421568627451</v>
      </c>
      <c r="D48" s="165">
        <f t="shared" ref="D48:K48" si="22">+(D8+D9+D14)/D6</f>
        <v>0.117518059855521</v>
      </c>
      <c r="E48" s="165">
        <f t="shared" si="22"/>
        <v>0.123703220900549</v>
      </c>
      <c r="F48" s="165">
        <f t="shared" si="22"/>
        <v>0.13021391673742</v>
      </c>
      <c r="G48" s="165">
        <f t="shared" si="22"/>
        <v>0.132302775955982</v>
      </c>
      <c r="H48" s="165">
        <f t="shared" si="22"/>
        <v>0.139266079953665</v>
      </c>
      <c r="I48" s="165">
        <f t="shared" si="22"/>
        <v>0.146595873635437</v>
      </c>
      <c r="J48" s="165">
        <f t="shared" si="22"/>
        <v>0.154311445932039</v>
      </c>
      <c r="K48" s="165">
        <f t="shared" si="22"/>
        <v>0.136621606525617</v>
      </c>
      <c r="L48" s="155"/>
      <c r="AM48" s="151" t="s">
        <v>67</v>
      </c>
      <c r="AN48" s="151" t="s">
        <v>136</v>
      </c>
    </row>
    <row r="49" s="138" customFormat="1" ht="15.75" customHeight="1" spans="1:40">
      <c r="A49" s="151" t="s">
        <v>113</v>
      </c>
      <c r="B49" s="151" t="s">
        <v>137</v>
      </c>
      <c r="C49" s="165">
        <f>+C17/C6</f>
        <v>0.02</v>
      </c>
      <c r="D49" s="165">
        <f t="shared" ref="D49:K49" si="23">+D17/D6</f>
        <v>0.0210526315789474</v>
      </c>
      <c r="E49" s="165">
        <f t="shared" si="23"/>
        <v>0.0221606648199446</v>
      </c>
      <c r="F49" s="165">
        <f t="shared" si="23"/>
        <v>0.0233270155999417</v>
      </c>
      <c r="G49" s="165">
        <f t="shared" si="23"/>
        <v>0.0245547532630965</v>
      </c>
      <c r="H49" s="165">
        <f t="shared" si="23"/>
        <v>0.0258471086979963</v>
      </c>
      <c r="I49" s="165">
        <f t="shared" si="23"/>
        <v>0.0272074828399961</v>
      </c>
      <c r="J49" s="165">
        <f t="shared" si="23"/>
        <v>0.0286394556210486</v>
      </c>
      <c r="K49" s="165">
        <f t="shared" si="23"/>
        <v>0.0247873680955977</v>
      </c>
      <c r="L49" s="155"/>
      <c r="AM49" s="151" t="s">
        <v>113</v>
      </c>
      <c r="AN49" s="151" t="s">
        <v>137</v>
      </c>
    </row>
    <row r="50" s="138" customFormat="1" ht="15.75" customHeight="1" spans="1:40">
      <c r="A50" s="151" t="s">
        <v>70</v>
      </c>
      <c r="B50" s="151" t="s">
        <v>138</v>
      </c>
      <c r="C50" s="165">
        <f>+C18/C6</f>
        <v>0.520833333333333</v>
      </c>
      <c r="D50" s="165">
        <f t="shared" ref="D50:K50" si="24">+D18/D6</f>
        <v>0.0548245614035088</v>
      </c>
      <c r="E50" s="165">
        <f t="shared" si="24"/>
        <v>0.0577100646352724</v>
      </c>
      <c r="F50" s="165">
        <f t="shared" si="24"/>
        <v>0.0607474364581815</v>
      </c>
      <c r="G50" s="165">
        <f t="shared" si="24"/>
        <v>0.0426297799706537</v>
      </c>
      <c r="H50" s="165">
        <f t="shared" si="24"/>
        <v>0.0448734526006881</v>
      </c>
      <c r="I50" s="165">
        <f t="shared" si="24"/>
        <v>0.0472352132638822</v>
      </c>
      <c r="J50" s="165">
        <f t="shared" si="24"/>
        <v>0.049721277119876</v>
      </c>
      <c r="K50" s="165">
        <f t="shared" si="24"/>
        <v>0.0567476375814965</v>
      </c>
      <c r="L50" s="155"/>
      <c r="AM50" s="151" t="s">
        <v>70</v>
      </c>
      <c r="AN50" s="151" t="s">
        <v>138</v>
      </c>
    </row>
    <row r="51" s="138" customFormat="1" ht="15.75" customHeight="1" spans="1:40">
      <c r="A51" s="151" t="s">
        <v>73</v>
      </c>
      <c r="B51" s="151" t="s">
        <v>139</v>
      </c>
      <c r="C51" s="165">
        <f>+C19/C6</f>
        <v>0.04</v>
      </c>
      <c r="D51" s="165">
        <f t="shared" ref="D51:K51" si="25">+D19/D6</f>
        <v>0.0421052631578947</v>
      </c>
      <c r="E51" s="165">
        <f t="shared" si="25"/>
        <v>0.0443213296398892</v>
      </c>
      <c r="F51" s="165">
        <f t="shared" si="25"/>
        <v>0.0466540311998834</v>
      </c>
      <c r="G51" s="165">
        <f t="shared" si="25"/>
        <v>0.049109506526193</v>
      </c>
      <c r="H51" s="165">
        <f t="shared" si="25"/>
        <v>0.0516942173959927</v>
      </c>
      <c r="I51" s="165">
        <f t="shared" si="25"/>
        <v>0.0544149656799923</v>
      </c>
      <c r="J51" s="165">
        <f t="shared" si="25"/>
        <v>0.0572789112420971</v>
      </c>
      <c r="K51" s="165">
        <f t="shared" si="25"/>
        <v>0.0495747361911954</v>
      </c>
      <c r="L51" s="155"/>
      <c r="AM51" s="151" t="s">
        <v>73</v>
      </c>
      <c r="AN51" s="151" t="s">
        <v>139</v>
      </c>
    </row>
    <row r="52" s="138" customFormat="1" ht="15.75" customHeight="1" spans="1:40">
      <c r="A52" s="151" t="s">
        <v>77</v>
      </c>
      <c r="B52" s="151" t="s">
        <v>140</v>
      </c>
      <c r="C52" s="165">
        <f>+C23/C6</f>
        <v>-0.454431436264902</v>
      </c>
      <c r="D52" s="165">
        <f t="shared" ref="D52:K52" si="26">+D23/D6</f>
        <v>0.079544843853955</v>
      </c>
      <c r="E52" s="165">
        <f t="shared" si="26"/>
        <v>0.0692515409372204</v>
      </c>
      <c r="F52" s="165">
        <f t="shared" si="26"/>
        <v>0.0584164852353946</v>
      </c>
      <c r="G52" s="165">
        <f t="shared" si="26"/>
        <v>0.0665707095481812</v>
      </c>
      <c r="H52" s="165">
        <f t="shared" si="26"/>
        <v>0.0555945574574586</v>
      </c>
      <c r="I52" s="165">
        <f t="shared" si="26"/>
        <v>0.0440407131514348</v>
      </c>
      <c r="J52" s="165">
        <f t="shared" si="26"/>
        <v>0.0318787717766728</v>
      </c>
      <c r="K52" s="165">
        <f t="shared" si="26"/>
        <v>0.0504631820633958</v>
      </c>
      <c r="L52" s="155"/>
      <c r="AM52" s="151" t="s">
        <v>77</v>
      </c>
      <c r="AN52" s="151" t="s">
        <v>141</v>
      </c>
    </row>
    <row r="53" s="138" customFormat="1" ht="15.75" customHeight="1" spans="1:40">
      <c r="A53" s="151" t="s">
        <v>142</v>
      </c>
      <c r="B53" s="156" t="s">
        <v>143</v>
      </c>
      <c r="C53" s="162">
        <f>+C21/C3</f>
        <v>-927.0401299804</v>
      </c>
      <c r="D53" s="162">
        <f t="shared" ref="D53:K53" si="27">+D21/D3</f>
        <v>205.54387651862</v>
      </c>
      <c r="E53" s="162">
        <f t="shared" si="27"/>
        <v>169.998682692689</v>
      </c>
      <c r="F53" s="162">
        <f t="shared" si="27"/>
        <v>136.230748558054</v>
      </c>
      <c r="G53" s="162">
        <f t="shared" si="27"/>
        <v>147.484544463485</v>
      </c>
      <c r="H53" s="162">
        <f t="shared" si="27"/>
        <v>117.008983906977</v>
      </c>
      <c r="I53" s="162">
        <f t="shared" si="27"/>
        <v>88.0572013782952</v>
      </c>
      <c r="J53" s="162">
        <f t="shared" si="27"/>
        <v>60.553007976047</v>
      </c>
      <c r="K53" s="162">
        <f t="shared" si="27"/>
        <v>114.145593555882</v>
      </c>
      <c r="L53" s="155"/>
      <c r="AM53" s="151" t="s">
        <v>142</v>
      </c>
      <c r="AN53" s="156" t="s">
        <v>143</v>
      </c>
    </row>
    <row r="54" s="138" customFormat="1" ht="15.75" customHeight="1" spans="1:40">
      <c r="A54" s="151" t="s">
        <v>144</v>
      </c>
      <c r="B54" s="195" t="s">
        <v>145</v>
      </c>
      <c r="C54" s="195"/>
      <c r="D54" s="162"/>
      <c r="E54" s="162"/>
      <c r="F54" s="162"/>
      <c r="G54" s="162"/>
      <c r="H54" s="162"/>
      <c r="I54" s="162"/>
      <c r="J54" s="162"/>
      <c r="K54" s="162"/>
      <c r="L54" s="155"/>
      <c r="AM54" s="151"/>
      <c r="AN54" s="156"/>
    </row>
    <row r="55" s="138" customFormat="1" ht="15.75" customHeight="1" spans="1:12">
      <c r="A55" s="151" t="s">
        <v>65</v>
      </c>
      <c r="B55" s="151" t="s">
        <v>146</v>
      </c>
      <c r="C55" s="162">
        <f>C56+C57</f>
        <v>210000</v>
      </c>
      <c r="D55" s="162">
        <f>D56+D57</f>
        <v>0</v>
      </c>
      <c r="E55" s="162"/>
      <c r="F55" s="162"/>
      <c r="G55" s="162"/>
      <c r="H55" s="162"/>
      <c r="I55" s="162"/>
      <c r="J55" s="162"/>
      <c r="K55" s="162"/>
      <c r="L55" s="155"/>
    </row>
    <row r="56" s="138" customFormat="1" ht="15.75" customHeight="1" spans="1:12">
      <c r="A56" s="151">
        <v>1.1</v>
      </c>
      <c r="B56" s="196" t="s">
        <v>147</v>
      </c>
      <c r="C56" s="196">
        <f>项目投资!B27</f>
        <v>170000</v>
      </c>
      <c r="D56" s="162"/>
      <c r="E56" s="162"/>
      <c r="F56" s="162"/>
      <c r="G56" s="162"/>
      <c r="H56" s="162"/>
      <c r="I56" s="162"/>
      <c r="J56" s="162"/>
      <c r="K56" s="162"/>
      <c r="L56" s="155"/>
    </row>
    <row r="57" s="138" customFormat="1" ht="15.75" customHeight="1" spans="1:12">
      <c r="A57" s="151">
        <v>1.2</v>
      </c>
      <c r="B57" s="151" t="s">
        <v>148</v>
      </c>
      <c r="C57" s="151">
        <f>项目投资!B26</f>
        <v>40000</v>
      </c>
      <c r="D57" s="162"/>
      <c r="E57" s="162"/>
      <c r="F57" s="162"/>
      <c r="G57" s="162"/>
      <c r="H57" s="162"/>
      <c r="I57" s="162"/>
      <c r="J57" s="162"/>
      <c r="K57" s="162"/>
      <c r="L57" s="155"/>
    </row>
    <row r="58" ht="15.75" customHeight="1" spans="1:12">
      <c r="A58" s="185" t="s">
        <v>67</v>
      </c>
      <c r="B58" s="185" t="s">
        <v>149</v>
      </c>
      <c r="C58" s="197">
        <f>C59+C60</f>
        <v>-18540.802599608</v>
      </c>
      <c r="D58" s="197">
        <f>D59+D60</f>
        <v>30831.5814777929</v>
      </c>
      <c r="E58" s="197">
        <f t="shared" ref="D58:K58" si="28">E59+E60</f>
        <v>25499.8024039033</v>
      </c>
      <c r="F58" s="197">
        <f t="shared" si="28"/>
        <v>20434.6122837081</v>
      </c>
      <c r="G58" s="197">
        <f t="shared" si="28"/>
        <v>33184.0225042841</v>
      </c>
      <c r="H58" s="197">
        <f t="shared" si="28"/>
        <v>26327.0213790699</v>
      </c>
      <c r="I58" s="197">
        <f t="shared" si="28"/>
        <v>19812.8703101164</v>
      </c>
      <c r="J58" s="197">
        <f t="shared" si="28"/>
        <v>13624.4267946106</v>
      </c>
      <c r="K58" s="197">
        <f t="shared" si="28"/>
        <v>151173.534553877</v>
      </c>
      <c r="L58" s="155"/>
    </row>
    <row r="59" ht="15.75" customHeight="1" spans="1:12">
      <c r="A59" s="185" t="s">
        <v>113</v>
      </c>
      <c r="B59" s="185" t="s">
        <v>150</v>
      </c>
      <c r="C59" s="197">
        <f>C23</f>
        <v>-18540.802599608</v>
      </c>
      <c r="D59" s="197">
        <f t="shared" ref="D59:K59" si="29">D23</f>
        <v>30831.5814777929</v>
      </c>
      <c r="E59" s="197">
        <f t="shared" si="29"/>
        <v>25499.8024039033</v>
      </c>
      <c r="F59" s="197">
        <f t="shared" si="29"/>
        <v>20434.6122837081</v>
      </c>
      <c r="G59" s="197">
        <f t="shared" si="29"/>
        <v>33184.0225042841</v>
      </c>
      <c r="H59" s="197">
        <f t="shared" si="29"/>
        <v>26327.0213790699</v>
      </c>
      <c r="I59" s="197">
        <f t="shared" si="29"/>
        <v>19812.8703101164</v>
      </c>
      <c r="J59" s="197">
        <f t="shared" si="29"/>
        <v>13624.4267946106</v>
      </c>
      <c r="K59" s="197">
        <f t="shared" si="29"/>
        <v>151173.534553877</v>
      </c>
      <c r="L59" s="155"/>
    </row>
    <row r="60" ht="15.75" customHeight="1" spans="1:12">
      <c r="A60" s="185" t="s">
        <v>70</v>
      </c>
      <c r="B60" s="185" t="s">
        <v>151</v>
      </c>
      <c r="C60" s="185"/>
      <c r="D60" s="197">
        <f>'[2]2023年'!I18</f>
        <v>0</v>
      </c>
      <c r="E60" s="197"/>
      <c r="F60" s="197"/>
      <c r="G60" s="197"/>
      <c r="H60" s="197"/>
      <c r="I60" s="197"/>
      <c r="J60" s="197"/>
      <c r="K60" s="197">
        <f>[2]项目投资!G26</f>
        <v>0</v>
      </c>
      <c r="L60" s="155"/>
    </row>
    <row r="61" ht="15.75" customHeight="1" spans="1:12">
      <c r="A61" s="185" t="s">
        <v>73</v>
      </c>
      <c r="B61" s="185" t="s">
        <v>152</v>
      </c>
      <c r="C61" s="185"/>
      <c r="D61" s="198"/>
      <c r="E61" s="198"/>
      <c r="F61" s="198"/>
      <c r="G61" s="198"/>
      <c r="H61" s="198"/>
      <c r="I61" s="198"/>
      <c r="J61" s="198"/>
      <c r="K61" s="197"/>
      <c r="L61" s="155"/>
    </row>
    <row r="63" spans="2:3">
      <c r="B63"/>
      <c r="C63"/>
    </row>
  </sheetData>
  <mergeCells count="2">
    <mergeCell ref="A1:K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workbookViewId="0">
      <selection activeCell="D38" sqref="D38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="138" customFormat="1" spans="1:4">
      <c r="A1" s="142" t="s">
        <v>153</v>
      </c>
      <c r="B1" s="142"/>
      <c r="C1" s="143" t="s">
        <v>154</v>
      </c>
      <c r="D1" s="144"/>
    </row>
    <row r="2" s="138" customFormat="1" spans="1:4">
      <c r="A2" s="142" t="s">
        <v>155</v>
      </c>
      <c r="B2" s="142"/>
      <c r="C2" s="145" t="s">
        <v>156</v>
      </c>
      <c r="D2" s="145"/>
    </row>
    <row r="3" s="138" customFormat="1" spans="1:4">
      <c r="A3" s="142" t="s">
        <v>157</v>
      </c>
      <c r="B3" s="142"/>
      <c r="C3" s="146" t="s">
        <v>158</v>
      </c>
      <c r="D3" s="147" t="s">
        <v>61</v>
      </c>
    </row>
    <row r="4" s="138" customFormat="1" spans="1:4">
      <c r="A4" s="142" t="s">
        <v>159</v>
      </c>
      <c r="B4" s="142"/>
      <c r="C4" s="146" t="s">
        <v>160</v>
      </c>
      <c r="D4" s="148"/>
    </row>
    <row r="5" s="138" customFormat="1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="138" customFormat="1" ht="16.5" spans="1:33">
      <c r="A6" s="151" t="s">
        <v>21</v>
      </c>
      <c r="B6" s="152" t="s">
        <v>163</v>
      </c>
      <c r="C6" s="171">
        <f>销量!C9</f>
        <v>20</v>
      </c>
      <c r="D6" s="154">
        <f t="shared" ref="D6:D15" si="0">+SUM(C6:C6)</f>
        <v>20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="138" customFormat="1" spans="1:33">
      <c r="A7" s="142">
        <v>1</v>
      </c>
      <c r="B7" s="152" t="s">
        <v>64</v>
      </c>
      <c r="C7" s="154">
        <f>C6*销量!C8</f>
        <v>40800</v>
      </c>
      <c r="D7" s="154">
        <f t="shared" si="0"/>
        <v>40800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="138" customFormat="1" spans="1:33">
      <c r="A8" s="142">
        <v>2</v>
      </c>
      <c r="B8" s="142" t="s">
        <v>66</v>
      </c>
      <c r="C8" s="154"/>
      <c r="D8" s="154">
        <f t="shared" si="0"/>
        <v>0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="138" customFormat="1" spans="1:33">
      <c r="A9" s="142">
        <v>3</v>
      </c>
      <c r="B9" s="152" t="s">
        <v>69</v>
      </c>
      <c r="C9" s="154">
        <f>+C7-C8</f>
        <v>40800</v>
      </c>
      <c r="D9" s="154">
        <f t="shared" si="0"/>
        <v>40800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="138" customFormat="1" spans="1:33">
      <c r="A10" s="142">
        <v>4</v>
      </c>
      <c r="B10" s="151" t="s">
        <v>74</v>
      </c>
      <c r="C10" s="154">
        <f>C6*C33</f>
        <v>25833.602599608</v>
      </c>
      <c r="D10" s="154">
        <f t="shared" si="0"/>
        <v>25833.602599608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="138" customFormat="1" spans="1:32">
      <c r="A11" s="142">
        <v>5</v>
      </c>
      <c r="B11" s="151" t="s">
        <v>76</v>
      </c>
      <c r="C11" s="154">
        <f>+C6*C36</f>
        <v>1224</v>
      </c>
      <c r="D11" s="154">
        <f t="shared" si="0"/>
        <v>1224</v>
      </c>
      <c r="O11" s="151" t="s">
        <v>76</v>
      </c>
      <c r="AE11" s="151" t="s">
        <v>77</v>
      </c>
      <c r="AF11" s="151" t="s">
        <v>76</v>
      </c>
    </row>
    <row r="12" s="138" customFormat="1" spans="1:32">
      <c r="A12" s="142">
        <v>6</v>
      </c>
      <c r="B12" s="151" t="s">
        <v>78</v>
      </c>
      <c r="C12" s="154">
        <f>+C6*C37</f>
        <v>408</v>
      </c>
      <c r="D12" s="154">
        <f t="shared" si="0"/>
        <v>408</v>
      </c>
      <c r="O12" s="151" t="s">
        <v>78</v>
      </c>
      <c r="AE12" s="151" t="s">
        <v>79</v>
      </c>
      <c r="AF12" s="151" t="s">
        <v>78</v>
      </c>
    </row>
    <row r="13" s="138" customFormat="1" spans="1:33">
      <c r="A13" s="142">
        <v>7</v>
      </c>
      <c r="B13" s="151" t="s">
        <v>80</v>
      </c>
      <c r="C13" s="154">
        <f>+C6*C38</f>
        <v>408</v>
      </c>
      <c r="D13" s="154">
        <f t="shared" si="0"/>
        <v>408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="138" customFormat="1" spans="1:32">
      <c r="A14" s="142">
        <v>8</v>
      </c>
      <c r="B14" s="156" t="s">
        <v>82</v>
      </c>
      <c r="C14" s="154">
        <f>SUM(C11:C13)</f>
        <v>2040</v>
      </c>
      <c r="D14" s="154">
        <f t="shared" si="0"/>
        <v>2040</v>
      </c>
      <c r="O14" s="156" t="s">
        <v>82</v>
      </c>
      <c r="AE14" s="151" t="s">
        <v>83</v>
      </c>
      <c r="AF14" s="156" t="s">
        <v>82</v>
      </c>
    </row>
    <row r="15" s="138" customFormat="1" spans="1:32">
      <c r="A15" s="142">
        <v>9</v>
      </c>
      <c r="B15" s="156" t="s">
        <v>84</v>
      </c>
      <c r="C15" s="154">
        <f>+C9-C10-C14</f>
        <v>12926.397400392</v>
      </c>
      <c r="D15" s="154">
        <f t="shared" si="0"/>
        <v>12926.397400392</v>
      </c>
      <c r="O15" s="156" t="s">
        <v>84</v>
      </c>
      <c r="AE15" s="151" t="s">
        <v>85</v>
      </c>
      <c r="AF15" s="156" t="s">
        <v>84</v>
      </c>
    </row>
    <row r="16" s="138" customFormat="1" spans="1:32">
      <c r="A16" s="142">
        <v>10</v>
      </c>
      <c r="B16" s="151" t="s">
        <v>86</v>
      </c>
      <c r="C16" s="157">
        <f>+C15/C9</f>
        <v>0.316823465695882</v>
      </c>
      <c r="D16" s="157">
        <f>+D15/D9</f>
        <v>0.316823465695882</v>
      </c>
      <c r="O16" s="151" t="s">
        <v>86</v>
      </c>
      <c r="AE16" s="151" t="s">
        <v>87</v>
      </c>
      <c r="AF16" s="151" t="s">
        <v>86</v>
      </c>
    </row>
    <row r="17" s="138" customFormat="1" spans="1:32">
      <c r="A17" s="142">
        <v>11</v>
      </c>
      <c r="B17" s="151" t="s">
        <v>88</v>
      </c>
      <c r="C17" s="154">
        <f>C6*C43+C18</f>
        <v>7198</v>
      </c>
      <c r="D17" s="154">
        <f>+SUM(C17:C17)</f>
        <v>7198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项目投资!D26</f>
        <v>4750</v>
      </c>
      <c r="E18" s="161" t="s">
        <v>165</v>
      </c>
      <c r="F18" s="161"/>
      <c r="G18" s="161"/>
    </row>
    <row r="19" s="138" customFormat="1" spans="1:33">
      <c r="A19" s="142">
        <v>13</v>
      </c>
      <c r="B19" s="151" t="s">
        <v>90</v>
      </c>
      <c r="C19" s="154">
        <f>C6*C44</f>
        <v>571.2</v>
      </c>
      <c r="D19" s="154">
        <f>+SUM(C19:C19)</f>
        <v>571.2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="138" customFormat="1" spans="1:32">
      <c r="A20" s="142">
        <v>14</v>
      </c>
      <c r="B20" s="151" t="s">
        <v>92</v>
      </c>
      <c r="C20" s="154">
        <f>C6*C45</f>
        <v>816</v>
      </c>
      <c r="D20" s="154">
        <f>+SUM(C20:C20)</f>
        <v>816</v>
      </c>
      <c r="O20" s="151" t="s">
        <v>92</v>
      </c>
      <c r="AE20" s="151" t="s">
        <v>93</v>
      </c>
      <c r="AF20" s="151" t="s">
        <v>92</v>
      </c>
    </row>
    <row r="21" s="138" customFormat="1" spans="1:32">
      <c r="A21" s="142">
        <v>15</v>
      </c>
      <c r="B21" s="151" t="s">
        <v>94</v>
      </c>
      <c r="C21" s="162">
        <f>$D$21/$D$6*C6</f>
        <v>21250</v>
      </c>
      <c r="D21" s="154">
        <f>项目投资!D27</f>
        <v>21250</v>
      </c>
      <c r="O21" s="151" t="s">
        <v>94</v>
      </c>
      <c r="AE21" s="151"/>
      <c r="AF21" s="151"/>
    </row>
    <row r="22" s="138" customFormat="1" spans="1:32">
      <c r="A22" s="142">
        <v>16</v>
      </c>
      <c r="B22" s="151" t="s">
        <v>95</v>
      </c>
      <c r="C22" s="154">
        <f>C6*C47</f>
        <v>1632</v>
      </c>
      <c r="D22" s="154">
        <f>+SUM(C22:C22)</f>
        <v>1632</v>
      </c>
      <c r="O22" s="151" t="s">
        <v>95</v>
      </c>
      <c r="AE22" s="151" t="s">
        <v>96</v>
      </c>
      <c r="AF22" s="151" t="s">
        <v>95</v>
      </c>
    </row>
    <row r="23" s="138" customFormat="1" spans="1:32">
      <c r="A23" s="142">
        <v>17</v>
      </c>
      <c r="B23" s="156" t="s">
        <v>97</v>
      </c>
      <c r="C23" s="162">
        <f>+C22+C21+C20+C19+C17</f>
        <v>31467.2</v>
      </c>
      <c r="D23" s="162">
        <f>+D22+D21+D20+D19+D17</f>
        <v>31467.2</v>
      </c>
      <c r="O23" s="156" t="s">
        <v>97</v>
      </c>
      <c r="AE23" s="151" t="s">
        <v>98</v>
      </c>
      <c r="AF23" s="156" t="s">
        <v>97</v>
      </c>
    </row>
    <row r="24" s="138" customFormat="1" spans="1:32">
      <c r="A24" s="142">
        <v>18</v>
      </c>
      <c r="B24" s="163" t="s">
        <v>99</v>
      </c>
      <c r="C24" s="162">
        <f>+C15-C23</f>
        <v>-18540.802599608</v>
      </c>
      <c r="D24" s="162">
        <f>+D15-D23</f>
        <v>-18540.802599608</v>
      </c>
      <c r="F24" s="164"/>
      <c r="O24" s="151" t="s">
        <v>99</v>
      </c>
      <c r="AE24" s="151" t="s">
        <v>100</v>
      </c>
      <c r="AF24" s="151" t="s">
        <v>99</v>
      </c>
    </row>
    <row r="25" s="138" customFormat="1" spans="1:32">
      <c r="A25" s="142">
        <v>19</v>
      </c>
      <c r="B25" s="151" t="s">
        <v>166</v>
      </c>
      <c r="C25" s="162">
        <f>IF(C24&lt;0,0,C24*0.25)</f>
        <v>0</v>
      </c>
      <c r="D25" s="162">
        <f>IF(D24&lt;0,0,D24*0.25)</f>
        <v>0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="138" customFormat="1" spans="1:32">
      <c r="A26" s="142">
        <v>20</v>
      </c>
      <c r="B26" s="151" t="s">
        <v>102</v>
      </c>
      <c r="C26" s="162">
        <f>C24-C25</f>
        <v>-18540.802599608</v>
      </c>
      <c r="D26" s="154">
        <f>+SUM(C26:C26)</f>
        <v>-18540.802599608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="138" customFormat="1" spans="1:32">
      <c r="A27" s="142">
        <v>21</v>
      </c>
      <c r="B27" s="151" t="s">
        <v>106</v>
      </c>
      <c r="C27" s="165">
        <f>C26/C7</f>
        <v>-0.454431436264902</v>
      </c>
      <c r="D27" s="165">
        <f>D26/D7</f>
        <v>-0.454431436264902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="138" customFormat="1" spans="3:15">
      <c r="C28" s="141"/>
      <c r="D28" s="141"/>
      <c r="E28" s="2"/>
      <c r="F28" s="2"/>
      <c r="G28" s="2"/>
      <c r="O28" s="151"/>
    </row>
    <row r="29" s="138" customFormat="1" spans="1:31">
      <c r="A29" s="138" t="s">
        <v>107</v>
      </c>
      <c r="C29" s="141"/>
      <c r="D29" s="141" t="s">
        <v>167</v>
      </c>
      <c r="E29" s="2"/>
      <c r="F29" s="2"/>
      <c r="G29" s="2"/>
      <c r="O29" s="151"/>
      <c r="AE29" s="138" t="s">
        <v>107</v>
      </c>
    </row>
    <row r="30" s="138" customFormat="1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="138" customFormat="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="138" customFormat="1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="138" customFormat="1" spans="1:32">
      <c r="A33" s="142">
        <v>3</v>
      </c>
      <c r="B33" s="159" t="s">
        <v>112</v>
      </c>
      <c r="C33" s="154">
        <f>材料成本!D24</f>
        <v>1291.6801299804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s="138" customFormat="1" ht="17.25" customHeight="1" spans="1:32">
      <c r="A34" s="142">
        <v>4</v>
      </c>
      <c r="B34" s="151" t="s">
        <v>114</v>
      </c>
      <c r="C34" s="167">
        <f>C32-C33</f>
        <v>748.3198700196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="138" customFormat="1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="138" customFormat="1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="138" customFormat="1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="138" customFormat="1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="138" customFormat="1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="138" customFormat="1" spans="1:32">
      <c r="A40" s="142">
        <v>1</v>
      </c>
      <c r="B40" s="151" t="s">
        <v>123</v>
      </c>
      <c r="C40" s="162">
        <f>C34-C36-C37-C38</f>
        <v>646.3198700196</v>
      </c>
      <c r="D40" s="162"/>
      <c r="O40" s="151" t="s">
        <v>123</v>
      </c>
      <c r="AE40" s="151" t="s">
        <v>65</v>
      </c>
      <c r="AF40" s="151" t="s">
        <v>123</v>
      </c>
    </row>
    <row r="41" s="138" customFormat="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="138" customFormat="1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="138" customFormat="1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="138" customFormat="1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="138" customFormat="1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1062.5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="138" customFormat="1" spans="1:32">
      <c r="A48" s="151" t="s">
        <v>125</v>
      </c>
      <c r="B48" s="156" t="s">
        <v>143</v>
      </c>
      <c r="C48" s="162">
        <f>C40-C43-C44-C45-C47-C46</f>
        <v>-689.5401299804</v>
      </c>
      <c r="D48" s="162"/>
      <c r="O48" s="156" t="s">
        <v>143</v>
      </c>
      <c r="AE48" s="151" t="s">
        <v>142</v>
      </c>
      <c r="AF48" s="156" t="s">
        <v>143</v>
      </c>
    </row>
    <row r="51" s="138" customFormat="1" spans="3:4">
      <c r="C51" s="169"/>
      <c r="D51" s="141"/>
    </row>
    <row r="54" s="138" customFormat="1" spans="2:9">
      <c r="B54" s="2"/>
      <c r="C54" s="170"/>
      <c r="D54" s="170"/>
      <c r="E54" s="2"/>
      <c r="F54" s="2"/>
      <c r="G54" s="2"/>
      <c r="H54" s="2"/>
      <c r="I54" s="2"/>
    </row>
    <row r="55" s="138" customFormat="1" spans="2:9">
      <c r="B55" s="2"/>
      <c r="C55" s="170"/>
      <c r="D55" s="170"/>
      <c r="E55" s="2"/>
      <c r="F55" s="2"/>
      <c r="G55" s="2"/>
      <c r="H55" s="2"/>
      <c r="I55" s="2"/>
    </row>
    <row r="56" s="138" customFormat="1" spans="2:9">
      <c r="B56" s="2"/>
      <c r="C56" s="170"/>
      <c r="D56" s="170"/>
      <c r="E56" s="2"/>
      <c r="F56" s="2"/>
      <c r="G56" s="2"/>
      <c r="H56" s="2"/>
      <c r="I56" s="2"/>
    </row>
    <row r="57" s="138" customFormat="1" spans="2:9">
      <c r="B57" s="2"/>
      <c r="C57" s="170"/>
      <c r="D57" s="170"/>
      <c r="E57" s="2"/>
      <c r="F57" s="2"/>
      <c r="G57" s="2"/>
      <c r="H57" s="2"/>
      <c r="I57" s="2"/>
    </row>
    <row r="58" s="138" customFormat="1" spans="2:9">
      <c r="B58" s="2"/>
      <c r="C58" s="170"/>
      <c r="D58" s="170"/>
      <c r="E58" s="2"/>
      <c r="F58" s="2"/>
      <c r="G58" s="2"/>
      <c r="H58" s="2"/>
      <c r="I58" s="2"/>
    </row>
    <row r="59" s="138" customFormat="1" spans="2:9">
      <c r="B59" s="2"/>
      <c r="C59" s="170"/>
      <c r="D59" s="170"/>
      <c r="E59" s="2"/>
      <c r="F59" s="2"/>
      <c r="G59" s="2"/>
      <c r="H59" s="2"/>
      <c r="I59" s="2"/>
    </row>
    <row r="60" s="138" customFormat="1" spans="2:9">
      <c r="B60" s="2"/>
      <c r="C60" s="170"/>
      <c r="D60" s="170"/>
      <c r="E60" s="2"/>
      <c r="F60" s="2"/>
      <c r="G60" s="2"/>
      <c r="H60" s="2"/>
      <c r="I60" s="2"/>
    </row>
    <row r="61" s="138" customFormat="1" spans="2:9">
      <c r="B61" s="2"/>
      <c r="C61" s="170"/>
      <c r="D61" s="170"/>
      <c r="E61" s="2"/>
      <c r="F61" s="2"/>
      <c r="G61" s="2"/>
      <c r="H61" s="2"/>
      <c r="I61" s="2"/>
    </row>
    <row r="62" s="138" customFormat="1" spans="2:9">
      <c r="B62" s="2"/>
      <c r="C62" s="170"/>
      <c r="D62" s="170"/>
      <c r="E62" s="2"/>
      <c r="F62" s="2"/>
      <c r="G62" s="2"/>
      <c r="H62" s="2"/>
      <c r="I62" s="2"/>
    </row>
    <row r="63" s="138" customFormat="1" spans="2:9">
      <c r="B63" s="2"/>
      <c r="C63" s="170"/>
      <c r="D63" s="170"/>
      <c r="E63" s="2"/>
      <c r="F63" s="2"/>
      <c r="G63" s="2"/>
      <c r="H63" s="2"/>
      <c r="I63" s="2"/>
    </row>
    <row r="64" s="138" customFormat="1" spans="2:9">
      <c r="B64" s="2"/>
      <c r="C64" s="170"/>
      <c r="D64" s="170"/>
      <c r="E64" s="2"/>
      <c r="F64" s="2"/>
      <c r="G64" s="2"/>
      <c r="H64" s="2"/>
      <c r="I64" s="2"/>
    </row>
    <row r="65" s="138" customFormat="1" spans="2:9">
      <c r="B65" s="2"/>
      <c r="C65" s="170"/>
      <c r="D65" s="170"/>
      <c r="E65" s="2"/>
      <c r="F65" s="2"/>
      <c r="G65" s="2"/>
      <c r="H65" s="2"/>
      <c r="I65" s="2"/>
    </row>
    <row r="66" s="138" customFormat="1" spans="2:9">
      <c r="B66" s="2"/>
      <c r="C66" s="170"/>
      <c r="D66" s="170"/>
      <c r="E66" s="2"/>
      <c r="F66" s="2"/>
      <c r="G66" s="2"/>
      <c r="H66" s="2"/>
      <c r="I66" s="2"/>
    </row>
    <row r="67" s="138" customFormat="1" spans="2:5">
      <c r="B67" s="2"/>
      <c r="C67" s="170"/>
      <c r="D67" s="170"/>
      <c r="E67" s="2"/>
    </row>
    <row r="68" s="138" customFormat="1" spans="2:5">
      <c r="B68" s="2"/>
      <c r="C68" s="170"/>
      <c r="D68" s="170"/>
      <c r="E68" s="2"/>
    </row>
    <row r="69" s="138" customFormat="1" spans="2:5">
      <c r="B69" s="2"/>
      <c r="C69" s="170"/>
      <c r="D69" s="170"/>
      <c r="E69" s="2"/>
    </row>
    <row r="70" s="138" customFormat="1" spans="2:5">
      <c r="B70" s="2"/>
      <c r="C70" s="170"/>
      <c r="D70" s="170"/>
      <c r="E70" s="2"/>
    </row>
    <row r="71" s="138" customFormat="1" spans="2:5">
      <c r="B71" s="2"/>
      <c r="C71" s="170"/>
      <c r="D71" s="170"/>
      <c r="E71" s="2"/>
    </row>
    <row r="72" s="138" customFormat="1" spans="2:5">
      <c r="B72" s="2"/>
      <c r="C72" s="170"/>
      <c r="D72" s="170"/>
      <c r="E72" s="2"/>
    </row>
    <row r="73" s="138" customFormat="1" spans="2:5">
      <c r="B73" s="2"/>
      <c r="C73" s="170"/>
      <c r="D73" s="170"/>
      <c r="E73" s="2"/>
    </row>
    <row r="74" s="138" customFormat="1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2" t="s">
        <v>153</v>
      </c>
      <c r="B1" s="142"/>
      <c r="C1" s="143" t="s">
        <v>169</v>
      </c>
      <c r="D1" s="144"/>
    </row>
    <row r="2" spans="1:4">
      <c r="A2" s="142" t="s">
        <v>155</v>
      </c>
      <c r="B2" s="142"/>
      <c r="C2" s="145" t="s">
        <v>156</v>
      </c>
      <c r="D2" s="145"/>
    </row>
    <row r="3" spans="1:4">
      <c r="A3" s="142" t="s">
        <v>157</v>
      </c>
      <c r="B3" s="142"/>
      <c r="C3" s="146" t="s">
        <v>158</v>
      </c>
      <c r="D3" s="147" t="s">
        <v>61</v>
      </c>
    </row>
    <row r="4" spans="1:4">
      <c r="A4" s="142" t="s">
        <v>159</v>
      </c>
      <c r="B4" s="142"/>
      <c r="C4" s="146" t="s">
        <v>160</v>
      </c>
      <c r="D4" s="148"/>
    </row>
    <row r="5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ht="16.5" spans="1:33">
      <c r="A6" s="151" t="s">
        <v>21</v>
      </c>
      <c r="B6" s="152" t="s">
        <v>163</v>
      </c>
      <c r="C6" s="171">
        <f>销量!C10</f>
        <v>200</v>
      </c>
      <c r="D6" s="154">
        <f>+SUM(C6:C6)</f>
        <v>200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pans="1:33">
      <c r="A7" s="142">
        <v>1</v>
      </c>
      <c r="B7" s="152" t="s">
        <v>64</v>
      </c>
      <c r="C7" s="154">
        <f>C6*销量!C8</f>
        <v>408000</v>
      </c>
      <c r="D7" s="154">
        <f t="shared" ref="D7:D15" si="0">+SUM(C7:C7)</f>
        <v>408000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pans="1:33">
      <c r="A8" s="142">
        <v>2</v>
      </c>
      <c r="B8" s="142" t="s">
        <v>66</v>
      </c>
      <c r="C8" s="154">
        <f>C7*(1-销量!$K$7)</f>
        <v>20400</v>
      </c>
      <c r="D8" s="154">
        <f t="shared" si="0"/>
        <v>20400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pans="1:33">
      <c r="A9" s="142">
        <v>3</v>
      </c>
      <c r="B9" s="152" t="s">
        <v>69</v>
      </c>
      <c r="C9" s="154">
        <f>+C7-C8</f>
        <v>387600</v>
      </c>
      <c r="D9" s="154">
        <f t="shared" si="0"/>
        <v>387600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pans="1:33">
      <c r="A10" s="142">
        <v>4</v>
      </c>
      <c r="B10" s="151" t="s">
        <v>74</v>
      </c>
      <c r="C10" s="154">
        <f>C6*C33</f>
        <v>245419.224696276</v>
      </c>
      <c r="D10" s="154">
        <f t="shared" si="0"/>
        <v>245419.224696276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pans="1:32">
      <c r="A11" s="142">
        <v>5</v>
      </c>
      <c r="B11" s="151" t="s">
        <v>76</v>
      </c>
      <c r="C11" s="154">
        <f>+C6*C36</f>
        <v>12240</v>
      </c>
      <c r="D11" s="154">
        <f t="shared" si="0"/>
        <v>12240</v>
      </c>
      <c r="O11" s="151" t="s">
        <v>76</v>
      </c>
      <c r="AE11" s="151" t="s">
        <v>77</v>
      </c>
      <c r="AF11" s="151" t="s">
        <v>76</v>
      </c>
    </row>
    <row r="12" spans="1:32">
      <c r="A12" s="142">
        <v>6</v>
      </c>
      <c r="B12" s="151" t="s">
        <v>78</v>
      </c>
      <c r="C12" s="154">
        <f>+C6*C37</f>
        <v>4080</v>
      </c>
      <c r="D12" s="154">
        <f t="shared" si="0"/>
        <v>4080</v>
      </c>
      <c r="O12" s="151" t="s">
        <v>78</v>
      </c>
      <c r="AE12" s="151" t="s">
        <v>79</v>
      </c>
      <c r="AF12" s="151" t="s">
        <v>78</v>
      </c>
    </row>
    <row r="13" spans="1:33">
      <c r="A13" s="142">
        <v>7</v>
      </c>
      <c r="B13" s="151" t="s">
        <v>80</v>
      </c>
      <c r="C13" s="154">
        <f>+C6*C38</f>
        <v>4080</v>
      </c>
      <c r="D13" s="154">
        <f t="shared" si="0"/>
        <v>4080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pans="1:32">
      <c r="A14" s="142">
        <v>8</v>
      </c>
      <c r="B14" s="156" t="s">
        <v>82</v>
      </c>
      <c r="C14" s="154">
        <f>SUM(C11:C13)</f>
        <v>20400</v>
      </c>
      <c r="D14" s="154">
        <f t="shared" si="0"/>
        <v>20400</v>
      </c>
      <c r="O14" s="156" t="s">
        <v>82</v>
      </c>
      <c r="AE14" s="151" t="s">
        <v>83</v>
      </c>
      <c r="AF14" s="156" t="s">
        <v>82</v>
      </c>
    </row>
    <row r="15" spans="1:32">
      <c r="A15" s="142">
        <v>9</v>
      </c>
      <c r="B15" s="156" t="s">
        <v>84</v>
      </c>
      <c r="C15" s="154">
        <f>+C9-C10-C14</f>
        <v>121780.775303724</v>
      </c>
      <c r="D15" s="154">
        <f t="shared" si="0"/>
        <v>121780.775303724</v>
      </c>
      <c r="O15" s="156" t="s">
        <v>84</v>
      </c>
      <c r="AE15" s="151" t="s">
        <v>85</v>
      </c>
      <c r="AF15" s="156" t="s">
        <v>84</v>
      </c>
    </row>
    <row r="16" spans="1:32">
      <c r="A16" s="142">
        <v>10</v>
      </c>
      <c r="B16" s="151" t="s">
        <v>86</v>
      </c>
      <c r="C16" s="157">
        <f>+C15/C9</f>
        <v>0.314191886748514</v>
      </c>
      <c r="D16" s="157">
        <f>+D15/D9</f>
        <v>0.314191886748514</v>
      </c>
      <c r="O16" s="151" t="s">
        <v>86</v>
      </c>
      <c r="AE16" s="151" t="s">
        <v>87</v>
      </c>
      <c r="AF16" s="151" t="s">
        <v>86</v>
      </c>
    </row>
    <row r="17" spans="1:32">
      <c r="A17" s="142">
        <v>11</v>
      </c>
      <c r="B17" s="151" t="s">
        <v>88</v>
      </c>
      <c r="C17" s="154">
        <f>C6*C43+C18</f>
        <v>29230</v>
      </c>
      <c r="D17" s="154">
        <f>+SUM(C17:C17)</f>
        <v>29230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项目投资!D26</f>
        <v>4750</v>
      </c>
      <c r="E18" s="161" t="s">
        <v>165</v>
      </c>
      <c r="F18" s="161"/>
      <c r="G18" s="161"/>
    </row>
    <row r="19" spans="1:33">
      <c r="A19" s="142">
        <v>13</v>
      </c>
      <c r="B19" s="151" t="s">
        <v>90</v>
      </c>
      <c r="C19" s="154">
        <f>C6*C44</f>
        <v>5712</v>
      </c>
      <c r="D19" s="154">
        <f>+SUM(C19:C19)</f>
        <v>5712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pans="1:32">
      <c r="A20" s="142">
        <v>14</v>
      </c>
      <c r="B20" s="151" t="s">
        <v>92</v>
      </c>
      <c r="C20" s="154">
        <f>C6*C45</f>
        <v>8160</v>
      </c>
      <c r="D20" s="154">
        <f>+SUM(C20:C20)</f>
        <v>8160</v>
      </c>
      <c r="O20" s="151" t="s">
        <v>92</v>
      </c>
      <c r="AE20" s="151" t="s">
        <v>93</v>
      </c>
      <c r="AF20" s="151" t="s">
        <v>92</v>
      </c>
    </row>
    <row r="21" spans="1:32">
      <c r="A21" s="142">
        <v>15</v>
      </c>
      <c r="B21" s="151" t="s">
        <v>94</v>
      </c>
      <c r="C21" s="162">
        <f>$D$21/$D$6*C6</f>
        <v>21250</v>
      </c>
      <c r="D21" s="154">
        <f>项目投资!D27</f>
        <v>21250</v>
      </c>
      <c r="O21" s="151" t="s">
        <v>94</v>
      </c>
      <c r="AE21" s="151"/>
      <c r="AF21" s="151"/>
    </row>
    <row r="22" spans="1:32">
      <c r="A22" s="142">
        <v>16</v>
      </c>
      <c r="B22" s="151" t="s">
        <v>95</v>
      </c>
      <c r="C22" s="154">
        <f>C6*C47</f>
        <v>16320</v>
      </c>
      <c r="D22" s="154">
        <f>+SUM(C22:C22)</f>
        <v>16320</v>
      </c>
      <c r="O22" s="151" t="s">
        <v>95</v>
      </c>
      <c r="AE22" s="151" t="s">
        <v>96</v>
      </c>
      <c r="AF22" s="151" t="s">
        <v>95</v>
      </c>
    </row>
    <row r="23" spans="1:32">
      <c r="A23" s="142">
        <v>17</v>
      </c>
      <c r="B23" s="156" t="s">
        <v>97</v>
      </c>
      <c r="C23" s="162">
        <f>+C22+C21+C20+C19+C17</f>
        <v>80672</v>
      </c>
      <c r="D23" s="162">
        <f>+D22+D21+D20+D19+D17</f>
        <v>80672</v>
      </c>
      <c r="O23" s="156" t="s">
        <v>97</v>
      </c>
      <c r="AE23" s="151" t="s">
        <v>98</v>
      </c>
      <c r="AF23" s="156" t="s">
        <v>97</v>
      </c>
    </row>
    <row r="24" spans="1:32">
      <c r="A24" s="142">
        <v>18</v>
      </c>
      <c r="B24" s="163" t="s">
        <v>99</v>
      </c>
      <c r="C24" s="162">
        <f>+C15-C23</f>
        <v>41108.7753037239</v>
      </c>
      <c r="D24" s="162">
        <f>+D15-D23</f>
        <v>41108.7753037239</v>
      </c>
      <c r="F24" s="164"/>
      <c r="O24" s="151" t="s">
        <v>99</v>
      </c>
      <c r="AE24" s="151" t="s">
        <v>100</v>
      </c>
      <c r="AF24" s="151" t="s">
        <v>99</v>
      </c>
    </row>
    <row r="25" spans="1:32">
      <c r="A25" s="142">
        <v>19</v>
      </c>
      <c r="B25" s="151" t="s">
        <v>166</v>
      </c>
      <c r="C25" s="162">
        <f>IF(C24&lt;0,0,C24*0.25)</f>
        <v>10277.193825931</v>
      </c>
      <c r="D25" s="162">
        <f>IF(D24&lt;0,0,D24*0.25)</f>
        <v>10277.193825931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pans="1:32">
      <c r="A26" s="142">
        <v>20</v>
      </c>
      <c r="B26" s="151" t="s">
        <v>102</v>
      </c>
      <c r="C26" s="162">
        <f>C24-C25</f>
        <v>30831.5814777929</v>
      </c>
      <c r="D26" s="154">
        <f>+SUM(C26:C26)</f>
        <v>30831.5814777929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pans="1:32">
      <c r="A27" s="142">
        <v>21</v>
      </c>
      <c r="B27" s="151" t="s">
        <v>106</v>
      </c>
      <c r="C27" s="165">
        <f>C26/C7</f>
        <v>0.0755676016612572</v>
      </c>
      <c r="D27" s="165">
        <f>D26/D7</f>
        <v>0.0755676016612572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pans="5:15">
      <c r="E28" s="2"/>
      <c r="F28" s="2"/>
      <c r="G28" s="2"/>
      <c r="O28" s="151"/>
    </row>
    <row r="29" spans="1:31">
      <c r="A29" s="138" t="s">
        <v>107</v>
      </c>
      <c r="D29" s="141" t="s">
        <v>167</v>
      </c>
      <c r="E29" s="2"/>
      <c r="F29" s="2"/>
      <c r="G29" s="2"/>
      <c r="O29" s="151"/>
      <c r="AE29" s="138" t="s">
        <v>107</v>
      </c>
    </row>
    <row r="30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pans="1:32">
      <c r="A33" s="142">
        <v>3</v>
      </c>
      <c r="B33" s="159" t="s">
        <v>112</v>
      </c>
      <c r="C33" s="154">
        <f>材料成本!D26</f>
        <v>1227.09612348138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ht="17.25" customHeight="1" spans="1:32">
      <c r="A34" s="142">
        <v>4</v>
      </c>
      <c r="B34" s="151" t="s">
        <v>114</v>
      </c>
      <c r="C34" s="167">
        <f>C32-C33</f>
        <v>812.90387651862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pans="1:32">
      <c r="A40" s="142">
        <v>1</v>
      </c>
      <c r="B40" s="151" t="s">
        <v>123</v>
      </c>
      <c r="C40" s="162">
        <f>C34-C36-C37-C38</f>
        <v>710.90387651862</v>
      </c>
      <c r="D40" s="162"/>
      <c r="O40" s="151" t="s">
        <v>123</v>
      </c>
      <c r="AE40" s="151" t="s">
        <v>65</v>
      </c>
      <c r="AF40" s="151" t="s">
        <v>123</v>
      </c>
    </row>
    <row r="4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106.25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pans="1:32">
      <c r="A48" s="151" t="s">
        <v>125</v>
      </c>
      <c r="B48" s="156" t="s">
        <v>143</v>
      </c>
      <c r="C48" s="162">
        <f>C40-C43-C44-C45-C47-C46</f>
        <v>331.29387651862</v>
      </c>
      <c r="D48" s="162"/>
      <c r="O48" s="156" t="s">
        <v>143</v>
      </c>
      <c r="AE48" s="151" t="s">
        <v>142</v>
      </c>
      <c r="AF48" s="156" t="s">
        <v>143</v>
      </c>
    </row>
    <row r="51" spans="3:3">
      <c r="C51" s="169"/>
    </row>
    <row r="54" spans="2:9">
      <c r="B54" s="2"/>
      <c r="C54" s="170"/>
      <c r="D54" s="170"/>
      <c r="E54" s="2"/>
      <c r="F54" s="2"/>
      <c r="G54" s="2"/>
      <c r="H54" s="2"/>
      <c r="I54" s="2"/>
    </row>
    <row r="55" spans="2:9">
      <c r="B55" s="2"/>
      <c r="C55" s="170"/>
      <c r="D55" s="170"/>
      <c r="E55" s="2"/>
      <c r="F55" s="2"/>
      <c r="G55" s="2"/>
      <c r="H55" s="2"/>
      <c r="I55" s="2"/>
    </row>
    <row r="56" spans="2:9">
      <c r="B56" s="2"/>
      <c r="C56" s="170"/>
      <c r="D56" s="170"/>
      <c r="E56" s="2"/>
      <c r="F56" s="2"/>
      <c r="G56" s="2"/>
      <c r="H56" s="2"/>
      <c r="I56" s="2"/>
    </row>
    <row r="57" spans="2:9">
      <c r="B57" s="2"/>
      <c r="C57" s="170"/>
      <c r="D57" s="170"/>
      <c r="E57" s="2"/>
      <c r="F57" s="2"/>
      <c r="G57" s="2"/>
      <c r="H57" s="2"/>
      <c r="I57" s="2"/>
    </row>
    <row r="58" spans="2:9">
      <c r="B58" s="2"/>
      <c r="C58" s="170"/>
      <c r="D58" s="170"/>
      <c r="E58" s="2"/>
      <c r="F58" s="2"/>
      <c r="G58" s="2"/>
      <c r="H58" s="2"/>
      <c r="I58" s="2"/>
    </row>
    <row r="59" spans="2:9">
      <c r="B59" s="2"/>
      <c r="C59" s="170"/>
      <c r="D59" s="170"/>
      <c r="E59" s="2"/>
      <c r="F59" s="2"/>
      <c r="G59" s="2"/>
      <c r="H59" s="2"/>
      <c r="I59" s="2"/>
    </row>
    <row r="60" spans="2:9">
      <c r="B60" s="2"/>
      <c r="C60" s="170"/>
      <c r="D60" s="170"/>
      <c r="E60" s="2"/>
      <c r="F60" s="2"/>
      <c r="G60" s="2"/>
      <c r="H60" s="2"/>
      <c r="I60" s="2"/>
    </row>
    <row r="61" spans="2:9">
      <c r="B61" s="2"/>
      <c r="C61" s="170"/>
      <c r="D61" s="170"/>
      <c r="E61" s="2"/>
      <c r="F61" s="2"/>
      <c r="G61" s="2"/>
      <c r="H61" s="2"/>
      <c r="I61" s="2"/>
    </row>
    <row r="62" spans="2:9">
      <c r="B62" s="2"/>
      <c r="C62" s="170"/>
      <c r="D62" s="170"/>
      <c r="E62" s="2"/>
      <c r="F62" s="2"/>
      <c r="G62" s="2"/>
      <c r="H62" s="2"/>
      <c r="I62" s="2"/>
    </row>
    <row r="63" spans="2:9">
      <c r="B63" s="2"/>
      <c r="C63" s="170"/>
      <c r="D63" s="170"/>
      <c r="E63" s="2"/>
      <c r="F63" s="2"/>
      <c r="G63" s="2"/>
      <c r="H63" s="2"/>
      <c r="I63" s="2"/>
    </row>
    <row r="64" spans="2:9">
      <c r="B64" s="2"/>
      <c r="C64" s="170"/>
      <c r="D64" s="170"/>
      <c r="E64" s="2"/>
      <c r="F64" s="2"/>
      <c r="G64" s="2"/>
      <c r="H64" s="2"/>
      <c r="I64" s="2"/>
    </row>
    <row r="65" spans="2:9">
      <c r="B65" s="2"/>
      <c r="C65" s="170"/>
      <c r="D65" s="170"/>
      <c r="E65" s="2"/>
      <c r="F65" s="2"/>
      <c r="G65" s="2"/>
      <c r="H65" s="2"/>
      <c r="I65" s="2"/>
    </row>
    <row r="66" spans="2:9">
      <c r="B66" s="2"/>
      <c r="C66" s="170"/>
      <c r="D66" s="170"/>
      <c r="E66" s="2"/>
      <c r="F66" s="2"/>
      <c r="G66" s="2"/>
      <c r="H66" s="2"/>
      <c r="I66" s="2"/>
    </row>
    <row r="67" spans="2:5">
      <c r="B67" s="2"/>
      <c r="C67" s="170"/>
      <c r="D67" s="170"/>
      <c r="E67" s="2"/>
    </row>
    <row r="68" spans="2:5">
      <c r="B68" s="2"/>
      <c r="C68" s="170"/>
      <c r="D68" s="170"/>
      <c r="E68" s="2"/>
    </row>
    <row r="69" spans="2:5">
      <c r="B69" s="2"/>
      <c r="C69" s="170"/>
      <c r="D69" s="170"/>
      <c r="E69" s="2"/>
    </row>
    <row r="70" spans="2:5">
      <c r="B70" s="2"/>
      <c r="C70" s="170"/>
      <c r="D70" s="170"/>
      <c r="E70" s="2"/>
    </row>
    <row r="71" spans="2:5">
      <c r="B71" s="2"/>
      <c r="C71" s="170"/>
      <c r="D71" s="170"/>
      <c r="E71" s="2"/>
    </row>
    <row r="72" spans="2:5">
      <c r="B72" s="2"/>
      <c r="C72" s="170"/>
      <c r="D72" s="170"/>
      <c r="E72" s="2"/>
    </row>
    <row r="73" spans="2:5">
      <c r="B73" s="2"/>
      <c r="C73" s="170"/>
      <c r="D73" s="170"/>
      <c r="E73" s="2"/>
    </row>
    <row r="74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  <ignoredErrors>
    <ignoredError sqref="D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2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5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2" t="s">
        <v>153</v>
      </c>
      <c r="B1" s="142"/>
      <c r="C1" s="143" t="s">
        <v>170</v>
      </c>
      <c r="D1" s="144"/>
    </row>
    <row r="2" spans="1:4">
      <c r="A2" s="142" t="s">
        <v>155</v>
      </c>
      <c r="B2" s="142"/>
      <c r="C2" s="145" t="s">
        <v>156</v>
      </c>
      <c r="D2" s="145"/>
    </row>
    <row r="3" spans="1:4">
      <c r="A3" s="142" t="s">
        <v>157</v>
      </c>
      <c r="B3" s="142"/>
      <c r="C3" s="146" t="s">
        <v>158</v>
      </c>
      <c r="D3" s="147" t="s">
        <v>61</v>
      </c>
    </row>
    <row r="4" spans="1:4">
      <c r="A4" s="142" t="s">
        <v>159</v>
      </c>
      <c r="B4" s="142"/>
      <c r="C4" s="146" t="s">
        <v>160</v>
      </c>
      <c r="D4" s="148"/>
    </row>
    <row r="5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pans="1:33">
      <c r="A6" s="151" t="s">
        <v>21</v>
      </c>
      <c r="B6" s="152" t="s">
        <v>163</v>
      </c>
      <c r="C6" s="153">
        <f>销量!C11</f>
        <v>200</v>
      </c>
      <c r="D6" s="154">
        <f t="shared" ref="D6:D15" si="0">+SUM(C6:C6)</f>
        <v>200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pans="1:33">
      <c r="A7" s="142">
        <v>1</v>
      </c>
      <c r="B7" s="152" t="s">
        <v>64</v>
      </c>
      <c r="C7" s="154">
        <f>C6*销量!C8</f>
        <v>408000</v>
      </c>
      <c r="D7" s="154">
        <f t="shared" si="0"/>
        <v>408000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pans="1:33">
      <c r="A8" s="142">
        <v>2</v>
      </c>
      <c r="B8" s="142" t="s">
        <v>66</v>
      </c>
      <c r="C8" s="154">
        <f>C7*(1-销量!$K$8)</f>
        <v>39780</v>
      </c>
      <c r="D8" s="154">
        <f t="shared" si="0"/>
        <v>39780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pans="1:33">
      <c r="A9" s="142">
        <v>3</v>
      </c>
      <c r="B9" s="152" t="s">
        <v>69</v>
      </c>
      <c r="C9" s="154">
        <f>+C7-C8</f>
        <v>368220</v>
      </c>
      <c r="D9" s="154">
        <f t="shared" si="0"/>
        <v>368220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pans="1:33">
      <c r="A10" s="142">
        <v>4</v>
      </c>
      <c r="B10" s="151" t="s">
        <v>74</v>
      </c>
      <c r="C10" s="154">
        <f>C6*C33</f>
        <v>233148.263461462</v>
      </c>
      <c r="D10" s="154">
        <f t="shared" si="0"/>
        <v>233148.263461462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pans="1:32">
      <c r="A11" s="142">
        <v>5</v>
      </c>
      <c r="B11" s="151" t="s">
        <v>76</v>
      </c>
      <c r="C11" s="154">
        <f>+C6*C36</f>
        <v>12240</v>
      </c>
      <c r="D11" s="154">
        <f t="shared" si="0"/>
        <v>12240</v>
      </c>
      <c r="O11" s="151" t="s">
        <v>76</v>
      </c>
      <c r="AE11" s="151" t="s">
        <v>77</v>
      </c>
      <c r="AF11" s="151" t="s">
        <v>76</v>
      </c>
    </row>
    <row r="12" spans="1:32">
      <c r="A12" s="142">
        <v>6</v>
      </c>
      <c r="B12" s="151" t="s">
        <v>78</v>
      </c>
      <c r="C12" s="154">
        <f>+C6*C37</f>
        <v>4080</v>
      </c>
      <c r="D12" s="154">
        <f t="shared" si="0"/>
        <v>4080</v>
      </c>
      <c r="O12" s="151" t="s">
        <v>78</v>
      </c>
      <c r="AE12" s="151" t="s">
        <v>79</v>
      </c>
      <c r="AF12" s="151" t="s">
        <v>78</v>
      </c>
    </row>
    <row r="13" spans="1:33">
      <c r="A13" s="142">
        <v>7</v>
      </c>
      <c r="B13" s="151" t="s">
        <v>80</v>
      </c>
      <c r="C13" s="154">
        <f>+C6*C38</f>
        <v>4080</v>
      </c>
      <c r="D13" s="154">
        <f t="shared" si="0"/>
        <v>4080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pans="1:32">
      <c r="A14" s="142">
        <v>8</v>
      </c>
      <c r="B14" s="156" t="s">
        <v>82</v>
      </c>
      <c r="C14" s="154">
        <f>SUM(C11:C13)</f>
        <v>20400</v>
      </c>
      <c r="D14" s="154">
        <f t="shared" si="0"/>
        <v>20400</v>
      </c>
      <c r="O14" s="156" t="s">
        <v>82</v>
      </c>
      <c r="AE14" s="151" t="s">
        <v>83</v>
      </c>
      <c r="AF14" s="156" t="s">
        <v>82</v>
      </c>
    </row>
    <row r="15" spans="1:32">
      <c r="A15" s="142">
        <v>9</v>
      </c>
      <c r="B15" s="156" t="s">
        <v>84</v>
      </c>
      <c r="C15" s="154">
        <f>+C9-C10-C14</f>
        <v>114671.736538538</v>
      </c>
      <c r="D15" s="154">
        <f t="shared" si="0"/>
        <v>114671.736538538</v>
      </c>
      <c r="O15" s="156" t="s">
        <v>84</v>
      </c>
      <c r="AE15" s="151" t="s">
        <v>85</v>
      </c>
      <c r="AF15" s="156" t="s">
        <v>84</v>
      </c>
    </row>
    <row r="16" spans="1:32">
      <c r="A16" s="142">
        <v>10</v>
      </c>
      <c r="B16" s="151" t="s">
        <v>86</v>
      </c>
      <c r="C16" s="157">
        <f>+C15/C9</f>
        <v>0.311421803646021</v>
      </c>
      <c r="D16" s="157">
        <f>+D15/D9</f>
        <v>0.311421803646021</v>
      </c>
      <c r="O16" s="151" t="s">
        <v>86</v>
      </c>
      <c r="AE16" s="151" t="s">
        <v>87</v>
      </c>
      <c r="AF16" s="151" t="s">
        <v>86</v>
      </c>
    </row>
    <row r="17" spans="1:32">
      <c r="A17" s="142">
        <v>11</v>
      </c>
      <c r="B17" s="151" t="s">
        <v>88</v>
      </c>
      <c r="C17" s="154">
        <f>C6*C43+C18</f>
        <v>29230</v>
      </c>
      <c r="D17" s="154">
        <f>+SUM(C17:C17)</f>
        <v>29230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项目投资!E26</f>
        <v>4750</v>
      </c>
      <c r="E18" s="161" t="s">
        <v>165</v>
      </c>
      <c r="F18" s="161"/>
      <c r="G18" s="161"/>
    </row>
    <row r="19" spans="1:33">
      <c r="A19" s="142">
        <v>13</v>
      </c>
      <c r="B19" s="151" t="s">
        <v>90</v>
      </c>
      <c r="C19" s="154">
        <f>C6*C44</f>
        <v>5712</v>
      </c>
      <c r="D19" s="154">
        <f>+SUM(C19:C19)</f>
        <v>5712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pans="1:32">
      <c r="A20" s="142">
        <v>14</v>
      </c>
      <c r="B20" s="151" t="s">
        <v>92</v>
      </c>
      <c r="C20" s="154">
        <f>C6*C45</f>
        <v>8160</v>
      </c>
      <c r="D20" s="154">
        <f>+SUM(C20:C20)</f>
        <v>8160</v>
      </c>
      <c r="O20" s="151" t="s">
        <v>92</v>
      </c>
      <c r="AE20" s="151" t="s">
        <v>93</v>
      </c>
      <c r="AF20" s="151" t="s">
        <v>92</v>
      </c>
    </row>
    <row r="21" spans="1:32">
      <c r="A21" s="142">
        <v>15</v>
      </c>
      <c r="B21" s="151" t="s">
        <v>94</v>
      </c>
      <c r="C21" s="162">
        <f>$D$21/$D$6*C6</f>
        <v>21250</v>
      </c>
      <c r="D21" s="154">
        <f>项目投资!E27</f>
        <v>21250</v>
      </c>
      <c r="O21" s="151" t="s">
        <v>94</v>
      </c>
      <c r="AE21" s="151"/>
      <c r="AF21" s="151"/>
    </row>
    <row r="22" spans="1:32">
      <c r="A22" s="142">
        <v>16</v>
      </c>
      <c r="B22" s="151" t="s">
        <v>95</v>
      </c>
      <c r="C22" s="154">
        <f>C6*C47</f>
        <v>16320</v>
      </c>
      <c r="D22" s="154">
        <f>+SUM(C22:C22)</f>
        <v>16320</v>
      </c>
      <c r="O22" s="151" t="s">
        <v>95</v>
      </c>
      <c r="AE22" s="151" t="s">
        <v>96</v>
      </c>
      <c r="AF22" s="151" t="s">
        <v>95</v>
      </c>
    </row>
    <row r="23" spans="1:32">
      <c r="A23" s="142">
        <v>17</v>
      </c>
      <c r="B23" s="156" t="s">
        <v>97</v>
      </c>
      <c r="C23" s="162">
        <f>+C22+C21+C20+C19+C17</f>
        <v>80672</v>
      </c>
      <c r="D23" s="162">
        <f>+D22+D21+D20+D19+D17</f>
        <v>80672</v>
      </c>
      <c r="O23" s="156" t="s">
        <v>97</v>
      </c>
      <c r="AE23" s="151" t="s">
        <v>98</v>
      </c>
      <c r="AF23" s="156" t="s">
        <v>97</v>
      </c>
    </row>
    <row r="24" spans="1:32">
      <c r="A24" s="142">
        <v>18</v>
      </c>
      <c r="B24" s="163" t="s">
        <v>99</v>
      </c>
      <c r="C24" s="162">
        <f>+C15-C23</f>
        <v>33999.7365385377</v>
      </c>
      <c r="D24" s="162">
        <f>+D15-D23</f>
        <v>33999.7365385377</v>
      </c>
      <c r="F24" s="164"/>
      <c r="O24" s="151" t="s">
        <v>99</v>
      </c>
      <c r="AE24" s="151" t="s">
        <v>100</v>
      </c>
      <c r="AF24" s="151" t="s">
        <v>99</v>
      </c>
    </row>
    <row r="25" spans="1:32">
      <c r="A25" s="142">
        <v>19</v>
      </c>
      <c r="B25" s="151" t="s">
        <v>166</v>
      </c>
      <c r="C25" s="162">
        <f>IF(C24&lt;0,0,C24*0.25)</f>
        <v>8499.93413463444</v>
      </c>
      <c r="D25" s="162">
        <f>IF(D24&lt;0,0,D24*0.25)</f>
        <v>8499.93413463444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pans="1:32">
      <c r="A26" s="142">
        <v>20</v>
      </c>
      <c r="B26" s="151" t="s">
        <v>102</v>
      </c>
      <c r="C26" s="162">
        <f>C24-C25</f>
        <v>25499.8024039033</v>
      </c>
      <c r="D26" s="154">
        <f>+SUM(C26:C26)</f>
        <v>25499.8024039033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pans="1:32">
      <c r="A27" s="142">
        <v>21</v>
      </c>
      <c r="B27" s="151" t="s">
        <v>106</v>
      </c>
      <c r="C27" s="165">
        <f>C26/C7</f>
        <v>0.0624995156958415</v>
      </c>
      <c r="D27" s="165">
        <f>D26/D7</f>
        <v>0.0624995156958415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pans="5:15">
      <c r="E28" s="2"/>
      <c r="F28" s="2"/>
      <c r="G28" s="2"/>
      <c r="O28" s="151"/>
    </row>
    <row r="29" spans="1:31">
      <c r="A29" s="138" t="s">
        <v>107</v>
      </c>
      <c r="D29" s="141" t="s">
        <v>167</v>
      </c>
      <c r="E29" s="2"/>
      <c r="F29" s="2"/>
      <c r="G29" s="2"/>
      <c r="O29" s="151"/>
      <c r="AE29" s="138" t="s">
        <v>107</v>
      </c>
    </row>
    <row r="30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pans="1:32">
      <c r="A33" s="142">
        <v>3</v>
      </c>
      <c r="B33" s="159" t="s">
        <v>112</v>
      </c>
      <c r="C33" s="154">
        <f>材料成本!D27</f>
        <v>1165.74131730731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ht="17.25" customHeight="1" spans="1:32">
      <c r="A34" s="142">
        <v>4</v>
      </c>
      <c r="B34" s="151" t="s">
        <v>114</v>
      </c>
      <c r="C34" s="167">
        <f>C32-C33</f>
        <v>874.258682692689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pans="1:32">
      <c r="A40" s="142">
        <v>1</v>
      </c>
      <c r="B40" s="151" t="s">
        <v>123</v>
      </c>
      <c r="C40" s="162">
        <f>C34-C36-C37-C38</f>
        <v>772.258682692689</v>
      </c>
      <c r="D40" s="162"/>
      <c r="O40" s="151" t="s">
        <v>123</v>
      </c>
      <c r="AE40" s="151" t="s">
        <v>65</v>
      </c>
      <c r="AF40" s="151" t="s">
        <v>123</v>
      </c>
    </row>
    <row r="4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106.25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pans="1:32">
      <c r="A48" s="151" t="s">
        <v>125</v>
      </c>
      <c r="B48" s="156" t="s">
        <v>143</v>
      </c>
      <c r="C48" s="162">
        <f>C40-C43-C44-C45-C47-C46</f>
        <v>392.648682692689</v>
      </c>
      <c r="D48" s="162"/>
      <c r="O48" s="156" t="s">
        <v>143</v>
      </c>
      <c r="AE48" s="151" t="s">
        <v>142</v>
      </c>
      <c r="AF48" s="156" t="s">
        <v>143</v>
      </c>
    </row>
    <row r="51" spans="3:3">
      <c r="C51" s="169"/>
    </row>
    <row r="54" spans="2:9">
      <c r="B54" s="2"/>
      <c r="C54" s="170"/>
      <c r="D54" s="170"/>
      <c r="E54" s="2"/>
      <c r="F54" s="2"/>
      <c r="G54" s="2"/>
      <c r="H54" s="2"/>
      <c r="I54" s="2"/>
    </row>
    <row r="55" spans="2:9">
      <c r="B55" s="2"/>
      <c r="C55" s="170"/>
      <c r="D55" s="170"/>
      <c r="E55" s="2"/>
      <c r="F55" s="2"/>
      <c r="G55" s="2"/>
      <c r="H55" s="2"/>
      <c r="I55" s="2"/>
    </row>
    <row r="56" spans="2:9">
      <c r="B56" s="2"/>
      <c r="C56" s="170"/>
      <c r="D56" s="170"/>
      <c r="E56" s="2"/>
      <c r="F56" s="2"/>
      <c r="G56" s="2"/>
      <c r="H56" s="2"/>
      <c r="I56" s="2"/>
    </row>
    <row r="57" spans="2:9">
      <c r="B57" s="2"/>
      <c r="C57" s="170"/>
      <c r="D57" s="170"/>
      <c r="E57" s="2"/>
      <c r="F57" s="2"/>
      <c r="G57" s="2"/>
      <c r="H57" s="2"/>
      <c r="I57" s="2"/>
    </row>
    <row r="58" spans="2:9">
      <c r="B58" s="2"/>
      <c r="C58" s="170"/>
      <c r="D58" s="170"/>
      <c r="E58" s="2"/>
      <c r="F58" s="2"/>
      <c r="G58" s="2"/>
      <c r="H58" s="2"/>
      <c r="I58" s="2"/>
    </row>
    <row r="59" spans="2:9">
      <c r="B59" s="2"/>
      <c r="C59" s="170"/>
      <c r="D59" s="170"/>
      <c r="E59" s="2"/>
      <c r="F59" s="2"/>
      <c r="G59" s="2"/>
      <c r="H59" s="2"/>
      <c r="I59" s="2"/>
    </row>
    <row r="60" spans="2:9">
      <c r="B60" s="2"/>
      <c r="C60" s="170"/>
      <c r="D60" s="170"/>
      <c r="E60" s="2"/>
      <c r="F60" s="2"/>
      <c r="G60" s="2"/>
      <c r="H60" s="2"/>
      <c r="I60" s="2"/>
    </row>
    <row r="61" spans="2:9">
      <c r="B61" s="2"/>
      <c r="C61" s="170"/>
      <c r="D61" s="170"/>
      <c r="E61" s="2"/>
      <c r="F61" s="2"/>
      <c r="G61" s="2"/>
      <c r="H61" s="2"/>
      <c r="I61" s="2"/>
    </row>
    <row r="62" spans="2:9">
      <c r="B62" s="2"/>
      <c r="C62" s="170"/>
      <c r="D62" s="170"/>
      <c r="E62" s="2"/>
      <c r="F62" s="2"/>
      <c r="G62" s="2"/>
      <c r="H62" s="2"/>
      <c r="I62" s="2"/>
    </row>
    <row r="63" spans="2:9">
      <c r="B63" s="2"/>
      <c r="C63" s="170"/>
      <c r="D63" s="170"/>
      <c r="E63" s="2"/>
      <c r="F63" s="2"/>
      <c r="G63" s="2"/>
      <c r="H63" s="2"/>
      <c r="I63" s="2"/>
    </row>
    <row r="64" spans="2:9">
      <c r="B64" s="2"/>
      <c r="C64" s="170"/>
      <c r="D64" s="170"/>
      <c r="E64" s="2"/>
      <c r="F64" s="2"/>
      <c r="G64" s="2"/>
      <c r="H64" s="2"/>
      <c r="I64" s="2"/>
    </row>
    <row r="65" spans="2:9">
      <c r="B65" s="2"/>
      <c r="C65" s="170"/>
      <c r="D65" s="170"/>
      <c r="E65" s="2"/>
      <c r="F65" s="2"/>
      <c r="G65" s="2"/>
      <c r="H65" s="2"/>
      <c r="I65" s="2"/>
    </row>
    <row r="66" spans="2:9">
      <c r="B66" s="2"/>
      <c r="C66" s="170"/>
      <c r="D66" s="170"/>
      <c r="E66" s="2"/>
      <c r="F66" s="2"/>
      <c r="G66" s="2"/>
      <c r="H66" s="2"/>
      <c r="I66" s="2"/>
    </row>
    <row r="67" spans="2:5">
      <c r="B67" s="2"/>
      <c r="C67" s="170"/>
      <c r="D67" s="170"/>
      <c r="E67" s="2"/>
    </row>
    <row r="68" spans="2:5">
      <c r="B68" s="2"/>
      <c r="C68" s="170"/>
      <c r="D68" s="170"/>
      <c r="E68" s="2"/>
    </row>
    <row r="69" spans="2:5">
      <c r="B69" s="2"/>
      <c r="C69" s="170"/>
      <c r="D69" s="170"/>
      <c r="E69" s="2"/>
    </row>
    <row r="70" spans="2:5">
      <c r="B70" s="2"/>
      <c r="C70" s="170"/>
      <c r="D70" s="170"/>
      <c r="E70" s="2"/>
    </row>
    <row r="71" spans="2:5">
      <c r="B71" s="2"/>
      <c r="C71" s="170"/>
      <c r="D71" s="170"/>
      <c r="E71" s="2"/>
    </row>
    <row r="72" spans="2:5">
      <c r="B72" s="2"/>
      <c r="C72" s="170"/>
      <c r="D72" s="170"/>
      <c r="E72" s="2"/>
    </row>
    <row r="73" spans="2:5">
      <c r="B73" s="2"/>
      <c r="C73" s="170"/>
      <c r="D73" s="170"/>
      <c r="E73" s="2"/>
    </row>
    <row r="74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20" activePane="bottomRight" state="frozen"/>
      <selection/>
      <selection pane="topRight"/>
      <selection pane="bottomLeft"/>
      <selection pane="bottomRight" activeCell="C36" sqref="C36:C38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2" t="s">
        <v>153</v>
      </c>
      <c r="B1" s="142"/>
      <c r="C1" s="143" t="s">
        <v>171</v>
      </c>
      <c r="D1" s="144"/>
    </row>
    <row r="2" spans="1:4">
      <c r="A2" s="142" t="s">
        <v>155</v>
      </c>
      <c r="B2" s="142"/>
      <c r="C2" s="145" t="s">
        <v>156</v>
      </c>
      <c r="D2" s="145"/>
    </row>
    <row r="3" spans="1:4">
      <c r="A3" s="142" t="s">
        <v>157</v>
      </c>
      <c r="B3" s="142"/>
      <c r="C3" s="146" t="s">
        <v>158</v>
      </c>
      <c r="D3" s="147" t="s">
        <v>61</v>
      </c>
    </row>
    <row r="4" spans="1:4">
      <c r="A4" s="142" t="s">
        <v>159</v>
      </c>
      <c r="B4" s="142"/>
      <c r="C4" s="146" t="s">
        <v>160</v>
      </c>
      <c r="D4" s="148"/>
    </row>
    <row r="5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ht="16.5" spans="1:33">
      <c r="A6" s="151" t="s">
        <v>21</v>
      </c>
      <c r="B6" s="152" t="s">
        <v>163</v>
      </c>
      <c r="C6" s="171">
        <f>销量!C12</f>
        <v>200</v>
      </c>
      <c r="D6" s="154">
        <f t="shared" ref="D6:D15" si="0">+SUM(C6:C6)</f>
        <v>200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pans="1:33">
      <c r="A7" s="142">
        <v>1</v>
      </c>
      <c r="B7" s="152" t="s">
        <v>64</v>
      </c>
      <c r="C7" s="154">
        <f>C6*销量!C8</f>
        <v>408000</v>
      </c>
      <c r="D7" s="154">
        <f t="shared" si="0"/>
        <v>408000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pans="1:33">
      <c r="A8" s="142">
        <v>2</v>
      </c>
      <c r="B8" s="142" t="s">
        <v>66</v>
      </c>
      <c r="C8" s="154">
        <f>C7*(1-销量!$K$9)</f>
        <v>58191</v>
      </c>
      <c r="D8" s="154">
        <f t="shared" si="0"/>
        <v>58191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pans="1:33">
      <c r="A9" s="142">
        <v>3</v>
      </c>
      <c r="B9" s="152" t="s">
        <v>69</v>
      </c>
      <c r="C9" s="154">
        <f>+C7-C8</f>
        <v>349809</v>
      </c>
      <c r="D9" s="154">
        <f t="shared" si="0"/>
        <v>349809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pans="1:33">
      <c r="A10" s="142">
        <v>4</v>
      </c>
      <c r="B10" s="151" t="s">
        <v>74</v>
      </c>
      <c r="C10" s="154">
        <f>C6*C33</f>
        <v>221490.850288389</v>
      </c>
      <c r="D10" s="154">
        <f t="shared" si="0"/>
        <v>221490.850288389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pans="1:32">
      <c r="A11" s="142">
        <v>5</v>
      </c>
      <c r="B11" s="151" t="s">
        <v>76</v>
      </c>
      <c r="C11" s="154">
        <f>+C6*C36</f>
        <v>12240</v>
      </c>
      <c r="D11" s="154">
        <f t="shared" si="0"/>
        <v>12240</v>
      </c>
      <c r="O11" s="151" t="s">
        <v>76</v>
      </c>
      <c r="AE11" s="151" t="s">
        <v>77</v>
      </c>
      <c r="AF11" s="151" t="s">
        <v>76</v>
      </c>
    </row>
    <row r="12" spans="1:32">
      <c r="A12" s="142">
        <v>6</v>
      </c>
      <c r="B12" s="151" t="s">
        <v>78</v>
      </c>
      <c r="C12" s="154">
        <f>+C6*C37</f>
        <v>4080</v>
      </c>
      <c r="D12" s="154">
        <f t="shared" si="0"/>
        <v>4080</v>
      </c>
      <c r="O12" s="151" t="s">
        <v>78</v>
      </c>
      <c r="AE12" s="151" t="s">
        <v>79</v>
      </c>
      <c r="AF12" s="151" t="s">
        <v>78</v>
      </c>
    </row>
    <row r="13" spans="1:33">
      <c r="A13" s="142">
        <v>7</v>
      </c>
      <c r="B13" s="151" t="s">
        <v>80</v>
      </c>
      <c r="C13" s="154">
        <f>+C6*C38</f>
        <v>4080</v>
      </c>
      <c r="D13" s="154">
        <f t="shared" si="0"/>
        <v>4080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pans="1:32">
      <c r="A14" s="142">
        <v>8</v>
      </c>
      <c r="B14" s="156" t="s">
        <v>82</v>
      </c>
      <c r="C14" s="154">
        <f>SUM(C11:C13)</f>
        <v>20400</v>
      </c>
      <c r="D14" s="154">
        <f t="shared" si="0"/>
        <v>20400</v>
      </c>
      <c r="O14" s="156" t="s">
        <v>82</v>
      </c>
      <c r="AE14" s="151" t="s">
        <v>83</v>
      </c>
      <c r="AF14" s="156" t="s">
        <v>82</v>
      </c>
    </row>
    <row r="15" spans="1:32">
      <c r="A15" s="142">
        <v>9</v>
      </c>
      <c r="B15" s="156" t="s">
        <v>84</v>
      </c>
      <c r="C15" s="154">
        <f>+C9-C10-C14</f>
        <v>107918.149711611</v>
      </c>
      <c r="D15" s="154">
        <f t="shared" si="0"/>
        <v>107918.149711611</v>
      </c>
      <c r="O15" s="156" t="s">
        <v>84</v>
      </c>
      <c r="AE15" s="151" t="s">
        <v>85</v>
      </c>
      <c r="AF15" s="156" t="s">
        <v>84</v>
      </c>
    </row>
    <row r="16" spans="1:32">
      <c r="A16" s="142">
        <v>10</v>
      </c>
      <c r="B16" s="151" t="s">
        <v>86</v>
      </c>
      <c r="C16" s="157">
        <f>+C15/C9</f>
        <v>0.308505926696028</v>
      </c>
      <c r="D16" s="157">
        <f>+D15/D9</f>
        <v>0.308505926696028</v>
      </c>
      <c r="E16" s="158"/>
      <c r="F16" s="158"/>
      <c r="G16" s="158"/>
      <c r="O16" s="151" t="s">
        <v>86</v>
      </c>
      <c r="AE16" s="151" t="s">
        <v>87</v>
      </c>
      <c r="AF16" s="151" t="s">
        <v>86</v>
      </c>
    </row>
    <row r="17" spans="1:32">
      <c r="A17" s="142">
        <v>11</v>
      </c>
      <c r="B17" s="151" t="s">
        <v>88</v>
      </c>
      <c r="C17" s="154">
        <f>C6*C43+C18</f>
        <v>29230</v>
      </c>
      <c r="D17" s="154">
        <f>+SUM(C17:C17)</f>
        <v>29230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项目投资!F26</f>
        <v>4750</v>
      </c>
      <c r="E18" s="161" t="s">
        <v>165</v>
      </c>
      <c r="F18" s="161"/>
      <c r="G18" s="161"/>
    </row>
    <row r="19" spans="1:33">
      <c r="A19" s="142">
        <v>13</v>
      </c>
      <c r="B19" s="151" t="s">
        <v>90</v>
      </c>
      <c r="C19" s="154">
        <f>C6*C44</f>
        <v>5712</v>
      </c>
      <c r="D19" s="154">
        <f>+SUM(C19:C19)</f>
        <v>5712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pans="1:32">
      <c r="A20" s="142">
        <v>14</v>
      </c>
      <c r="B20" s="151" t="s">
        <v>92</v>
      </c>
      <c r="C20" s="154">
        <f>C6*C45</f>
        <v>8160</v>
      </c>
      <c r="D20" s="154">
        <f>+SUM(C20:C20)</f>
        <v>8160</v>
      </c>
      <c r="O20" s="151" t="s">
        <v>92</v>
      </c>
      <c r="AE20" s="151" t="s">
        <v>93</v>
      </c>
      <c r="AF20" s="151" t="s">
        <v>92</v>
      </c>
    </row>
    <row r="21" spans="1:32">
      <c r="A21" s="142">
        <v>15</v>
      </c>
      <c r="B21" s="151" t="s">
        <v>94</v>
      </c>
      <c r="C21" s="162">
        <f>$D$21/$D$6*C6</f>
        <v>21250</v>
      </c>
      <c r="D21" s="154">
        <f>项目投资!F27</f>
        <v>21250</v>
      </c>
      <c r="O21" s="151" t="s">
        <v>94</v>
      </c>
      <c r="AE21" s="151"/>
      <c r="AF21" s="151"/>
    </row>
    <row r="22" spans="1:32">
      <c r="A22" s="142">
        <v>16</v>
      </c>
      <c r="B22" s="151" t="s">
        <v>95</v>
      </c>
      <c r="C22" s="154">
        <f>C6*C47</f>
        <v>16320</v>
      </c>
      <c r="D22" s="154">
        <f>+SUM(C22:C22)</f>
        <v>16320</v>
      </c>
      <c r="O22" s="151" t="s">
        <v>95</v>
      </c>
      <c r="AE22" s="151" t="s">
        <v>96</v>
      </c>
      <c r="AF22" s="151" t="s">
        <v>95</v>
      </c>
    </row>
    <row r="23" spans="1:32">
      <c r="A23" s="142">
        <v>17</v>
      </c>
      <c r="B23" s="156" t="s">
        <v>97</v>
      </c>
      <c r="C23" s="162">
        <f>+C22+C21+C20+C19+C17</f>
        <v>80672</v>
      </c>
      <c r="D23" s="162">
        <f>+D22+D21+D20+D19+D17</f>
        <v>80672</v>
      </c>
      <c r="O23" s="156" t="s">
        <v>97</v>
      </c>
      <c r="AE23" s="151" t="s">
        <v>98</v>
      </c>
      <c r="AF23" s="156" t="s">
        <v>97</v>
      </c>
    </row>
    <row r="24" spans="1:32">
      <c r="A24" s="142">
        <v>18</v>
      </c>
      <c r="B24" s="163" t="s">
        <v>99</v>
      </c>
      <c r="C24" s="162">
        <f>+C15-C23</f>
        <v>27246.1497116109</v>
      </c>
      <c r="D24" s="162">
        <f>+D15-D23</f>
        <v>27246.1497116109</v>
      </c>
      <c r="F24" s="164"/>
      <c r="O24" s="151" t="s">
        <v>99</v>
      </c>
      <c r="AE24" s="151" t="s">
        <v>100</v>
      </c>
      <c r="AF24" s="151" t="s">
        <v>99</v>
      </c>
    </row>
    <row r="25" spans="1:32">
      <c r="A25" s="142">
        <v>19</v>
      </c>
      <c r="B25" s="151" t="s">
        <v>166</v>
      </c>
      <c r="C25" s="162">
        <f>IF(C24&lt;0,0,C24*0.25)</f>
        <v>6811.53742790272</v>
      </c>
      <c r="D25" s="162">
        <f>IF(D24&lt;0,0,D24*0.25)</f>
        <v>6811.53742790272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pans="1:32">
      <c r="A26" s="142">
        <v>20</v>
      </c>
      <c r="B26" s="151" t="s">
        <v>102</v>
      </c>
      <c r="C26" s="162">
        <f>C24-C25</f>
        <v>20434.6122837081</v>
      </c>
      <c r="D26" s="154">
        <f>+SUM(C26:C26)</f>
        <v>20434.6122837081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pans="1:32">
      <c r="A27" s="142">
        <v>21</v>
      </c>
      <c r="B27" s="151" t="s">
        <v>106</v>
      </c>
      <c r="C27" s="165">
        <f>C26/C7</f>
        <v>0.0500848340286964</v>
      </c>
      <c r="D27" s="165">
        <f>D26/D7</f>
        <v>0.0500848340286964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pans="5:15">
      <c r="E28" s="2"/>
      <c r="F28" s="2"/>
      <c r="G28" s="2"/>
      <c r="O28" s="151"/>
    </row>
    <row r="29" spans="1:31">
      <c r="A29" s="138" t="s">
        <v>107</v>
      </c>
      <c r="D29" s="141" t="s">
        <v>167</v>
      </c>
      <c r="E29" s="2"/>
      <c r="F29" s="2"/>
      <c r="G29" s="2"/>
      <c r="O29" s="151"/>
      <c r="AE29" s="138" t="s">
        <v>107</v>
      </c>
    </row>
    <row r="30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pans="1:32">
      <c r="A33" s="142">
        <v>3</v>
      </c>
      <c r="B33" s="159" t="s">
        <v>112</v>
      </c>
      <c r="C33" s="154">
        <f>材料成本!D28</f>
        <v>1107.45425144195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ht="17.25" customHeight="1" spans="1:32">
      <c r="A34" s="142">
        <v>4</v>
      </c>
      <c r="B34" s="151" t="s">
        <v>114</v>
      </c>
      <c r="C34" s="167">
        <f>C32-C33</f>
        <v>932.545748558054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pans="1:32">
      <c r="A40" s="142">
        <v>1</v>
      </c>
      <c r="B40" s="151" t="s">
        <v>123</v>
      </c>
      <c r="C40" s="162">
        <f>C34-C36-C37-C38</f>
        <v>830.545748558054</v>
      </c>
      <c r="D40" s="162"/>
      <c r="O40" s="151" t="s">
        <v>123</v>
      </c>
      <c r="AE40" s="151" t="s">
        <v>65</v>
      </c>
      <c r="AF40" s="151" t="s">
        <v>123</v>
      </c>
    </row>
    <row r="4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106.25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pans="1:32">
      <c r="A48" s="151" t="s">
        <v>125</v>
      </c>
      <c r="B48" s="156" t="s">
        <v>143</v>
      </c>
      <c r="C48" s="162">
        <f>C40-C43-C44-C45-C47-C46</f>
        <v>450.935748558054</v>
      </c>
      <c r="D48" s="162"/>
      <c r="O48" s="156" t="s">
        <v>143</v>
      </c>
      <c r="AE48" s="151" t="s">
        <v>142</v>
      </c>
      <c r="AF48" s="156" t="s">
        <v>143</v>
      </c>
    </row>
    <row r="51" spans="3:3">
      <c r="C51" s="169"/>
    </row>
    <row r="54" spans="2:9">
      <c r="B54" s="2"/>
      <c r="C54" s="170"/>
      <c r="D54" s="170"/>
      <c r="E54" s="2"/>
      <c r="F54" s="2"/>
      <c r="G54" s="2"/>
      <c r="H54" s="2"/>
      <c r="I54" s="2"/>
    </row>
    <row r="55" spans="2:9">
      <c r="B55" s="2"/>
      <c r="C55" s="170"/>
      <c r="D55" s="170"/>
      <c r="E55" s="2"/>
      <c r="F55" s="2"/>
      <c r="G55" s="2"/>
      <c r="H55" s="2"/>
      <c r="I55" s="2"/>
    </row>
    <row r="56" spans="2:9">
      <c r="B56" s="2"/>
      <c r="C56" s="170"/>
      <c r="D56" s="170"/>
      <c r="E56" s="2"/>
      <c r="F56" s="2"/>
      <c r="G56" s="2"/>
      <c r="H56" s="2"/>
      <c r="I56" s="2"/>
    </row>
    <row r="57" spans="2:9">
      <c r="B57" s="2"/>
      <c r="C57" s="170"/>
      <c r="D57" s="170"/>
      <c r="E57" s="2"/>
      <c r="F57" s="2"/>
      <c r="G57" s="2"/>
      <c r="H57" s="2"/>
      <c r="I57" s="2"/>
    </row>
    <row r="58" spans="2:9">
      <c r="B58" s="2"/>
      <c r="C58" s="170"/>
      <c r="D58" s="170"/>
      <c r="E58" s="2"/>
      <c r="F58" s="2"/>
      <c r="G58" s="2"/>
      <c r="H58" s="2"/>
      <c r="I58" s="2"/>
    </row>
    <row r="59" spans="2:9">
      <c r="B59" s="2"/>
      <c r="C59" s="170"/>
      <c r="D59" s="170"/>
      <c r="E59" s="2"/>
      <c r="F59" s="2"/>
      <c r="G59" s="2"/>
      <c r="H59" s="2"/>
      <c r="I59" s="2"/>
    </row>
    <row r="60" spans="2:9">
      <c r="B60" s="2"/>
      <c r="C60" s="170"/>
      <c r="D60" s="170"/>
      <c r="E60" s="2"/>
      <c r="F60" s="2"/>
      <c r="G60" s="2"/>
      <c r="H60" s="2"/>
      <c r="I60" s="2"/>
    </row>
    <row r="61" spans="2:9">
      <c r="B61" s="2"/>
      <c r="C61" s="170"/>
      <c r="D61" s="170"/>
      <c r="E61" s="2"/>
      <c r="F61" s="2"/>
      <c r="G61" s="2"/>
      <c r="H61" s="2"/>
      <c r="I61" s="2"/>
    </row>
    <row r="62" spans="2:9">
      <c r="B62" s="2"/>
      <c r="C62" s="170"/>
      <c r="D62" s="170"/>
      <c r="E62" s="2"/>
      <c r="F62" s="2"/>
      <c r="G62" s="2"/>
      <c r="H62" s="2"/>
      <c r="I62" s="2"/>
    </row>
    <row r="63" spans="2:9">
      <c r="B63" s="2"/>
      <c r="C63" s="170"/>
      <c r="D63" s="170"/>
      <c r="E63" s="2"/>
      <c r="F63" s="2"/>
      <c r="G63" s="2"/>
      <c r="H63" s="2"/>
      <c r="I63" s="2"/>
    </row>
    <row r="64" spans="2:9">
      <c r="B64" s="2"/>
      <c r="C64" s="170"/>
      <c r="D64" s="170"/>
      <c r="E64" s="2"/>
      <c r="F64" s="2"/>
      <c r="G64" s="2"/>
      <c r="H64" s="2"/>
      <c r="I64" s="2"/>
    </row>
    <row r="65" spans="2:9">
      <c r="B65" s="2"/>
      <c r="C65" s="170"/>
      <c r="D65" s="170"/>
      <c r="E65" s="2"/>
      <c r="F65" s="2"/>
      <c r="G65" s="2"/>
      <c r="H65" s="2"/>
      <c r="I65" s="2"/>
    </row>
    <row r="66" spans="2:9">
      <c r="B66" s="2"/>
      <c r="C66" s="170"/>
      <c r="D66" s="170"/>
      <c r="E66" s="2"/>
      <c r="F66" s="2"/>
      <c r="G66" s="2"/>
      <c r="H66" s="2"/>
      <c r="I66" s="2"/>
    </row>
    <row r="67" spans="2:5">
      <c r="B67" s="2"/>
      <c r="C67" s="170"/>
      <c r="D67" s="170"/>
      <c r="E67" s="2"/>
    </row>
    <row r="68" spans="2:5">
      <c r="B68" s="2"/>
      <c r="C68" s="170"/>
      <c r="D68" s="170"/>
      <c r="E68" s="2"/>
    </row>
    <row r="69" spans="2:5">
      <c r="B69" s="2"/>
      <c r="C69" s="170"/>
      <c r="D69" s="170"/>
      <c r="E69" s="2"/>
    </row>
    <row r="70" spans="2:5">
      <c r="B70" s="2"/>
      <c r="C70" s="170"/>
      <c r="D70" s="170"/>
      <c r="E70" s="2"/>
    </row>
    <row r="71" spans="2:5">
      <c r="B71" s="2"/>
      <c r="C71" s="170"/>
      <c r="D71" s="170"/>
      <c r="E71" s="2"/>
    </row>
    <row r="72" spans="2:5">
      <c r="B72" s="2"/>
      <c r="C72" s="170"/>
      <c r="D72" s="170"/>
      <c r="E72" s="2"/>
    </row>
    <row r="73" spans="2:5">
      <c r="B73" s="2"/>
      <c r="C73" s="170"/>
      <c r="D73" s="170"/>
      <c r="E73" s="2"/>
    </row>
    <row r="74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90" zoomScaleNormal="90" topLeftCell="A15" workbookViewId="0">
      <selection activeCell="C34" sqref="C34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="138" customFormat="1" spans="1:4">
      <c r="A1" s="142" t="s">
        <v>153</v>
      </c>
      <c r="B1" s="142"/>
      <c r="C1" s="143" t="s">
        <v>172</v>
      </c>
      <c r="D1" s="144"/>
    </row>
    <row r="2" s="138" customFormat="1" spans="1:4">
      <c r="A2" s="142" t="s">
        <v>155</v>
      </c>
      <c r="B2" s="142"/>
      <c r="C2" s="145" t="s">
        <v>156</v>
      </c>
      <c r="D2" s="145"/>
    </row>
    <row r="3" s="138" customFormat="1" spans="1:4">
      <c r="A3" s="142" t="s">
        <v>157</v>
      </c>
      <c r="B3" s="142"/>
      <c r="C3" s="146" t="s">
        <v>158</v>
      </c>
      <c r="D3" s="147" t="s">
        <v>61</v>
      </c>
    </row>
    <row r="4" s="138" customFormat="1" spans="1:4">
      <c r="A4" s="142" t="s">
        <v>159</v>
      </c>
      <c r="B4" s="142"/>
      <c r="C4" s="146" t="s">
        <v>160</v>
      </c>
      <c r="D4" s="148"/>
    </row>
    <row r="5" s="138" customFormat="1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="138" customFormat="1" spans="1:33">
      <c r="A6" s="151" t="s">
        <v>21</v>
      </c>
      <c r="B6" s="152" t="s">
        <v>163</v>
      </c>
      <c r="C6" s="153">
        <f>销量!C13</f>
        <v>300</v>
      </c>
      <c r="D6" s="154">
        <f>+SUM(C6:C6)</f>
        <v>300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="138" customFormat="1" spans="1:33">
      <c r="A7" s="142">
        <v>1</v>
      </c>
      <c r="B7" s="152" t="s">
        <v>64</v>
      </c>
      <c r="C7" s="154">
        <f>C6*销量!C8</f>
        <v>612000</v>
      </c>
      <c r="D7" s="154">
        <f t="shared" ref="D6:D15" si="0">+SUM(C7:C7)</f>
        <v>612000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="138" customFormat="1" spans="1:33">
      <c r="A8" s="142">
        <v>2</v>
      </c>
      <c r="B8" s="142" t="s">
        <v>66</v>
      </c>
      <c r="C8" s="154">
        <f>C7*(1-销量!$K$10)</f>
        <v>113522.175</v>
      </c>
      <c r="D8" s="154">
        <f t="shared" si="0"/>
        <v>113522.175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="138" customFormat="1" spans="1:33">
      <c r="A9" s="142">
        <v>3</v>
      </c>
      <c r="B9" s="152" t="s">
        <v>69</v>
      </c>
      <c r="C9" s="154">
        <f>+C7-C8</f>
        <v>498477.825</v>
      </c>
      <c r="D9" s="154">
        <f t="shared" si="0"/>
        <v>498477.825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="138" customFormat="1" spans="1:33">
      <c r="A10" s="142">
        <v>4</v>
      </c>
      <c r="B10" s="151" t="s">
        <v>74</v>
      </c>
      <c r="C10" s="154">
        <f>C6*C33</f>
        <v>315624.461660955</v>
      </c>
      <c r="D10" s="154">
        <f t="shared" si="0"/>
        <v>315624.461660955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="138" customFormat="1" spans="1:32">
      <c r="A11" s="142">
        <v>5</v>
      </c>
      <c r="B11" s="151" t="s">
        <v>76</v>
      </c>
      <c r="C11" s="154">
        <f>+C6*C36</f>
        <v>18360</v>
      </c>
      <c r="D11" s="154">
        <f t="shared" si="0"/>
        <v>18360</v>
      </c>
      <c r="O11" s="151" t="s">
        <v>76</v>
      </c>
      <c r="AE11" s="151" t="s">
        <v>77</v>
      </c>
      <c r="AF11" s="151" t="s">
        <v>76</v>
      </c>
    </row>
    <row r="12" s="138" customFormat="1" spans="1:32">
      <c r="A12" s="142">
        <v>6</v>
      </c>
      <c r="B12" s="151" t="s">
        <v>78</v>
      </c>
      <c r="C12" s="154">
        <f>+C6*C37</f>
        <v>6120</v>
      </c>
      <c r="D12" s="154">
        <f t="shared" si="0"/>
        <v>6120</v>
      </c>
      <c r="O12" s="151" t="s">
        <v>78</v>
      </c>
      <c r="AE12" s="151" t="s">
        <v>79</v>
      </c>
      <c r="AF12" s="151" t="s">
        <v>78</v>
      </c>
    </row>
    <row r="13" s="138" customFormat="1" spans="1:33">
      <c r="A13" s="142">
        <v>7</v>
      </c>
      <c r="B13" s="151" t="s">
        <v>80</v>
      </c>
      <c r="C13" s="154">
        <f>+C6*C38</f>
        <v>6120</v>
      </c>
      <c r="D13" s="154">
        <f t="shared" si="0"/>
        <v>6120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="138" customFormat="1" spans="1:32">
      <c r="A14" s="142">
        <v>8</v>
      </c>
      <c r="B14" s="156" t="s">
        <v>82</v>
      </c>
      <c r="C14" s="154">
        <f>SUM(C11:C13)</f>
        <v>30600</v>
      </c>
      <c r="D14" s="154">
        <f t="shared" si="0"/>
        <v>30600</v>
      </c>
      <c r="O14" s="156" t="s">
        <v>82</v>
      </c>
      <c r="AE14" s="151" t="s">
        <v>83</v>
      </c>
      <c r="AF14" s="156" t="s">
        <v>82</v>
      </c>
    </row>
    <row r="15" s="138" customFormat="1" spans="1:32">
      <c r="A15" s="142">
        <v>9</v>
      </c>
      <c r="B15" s="156" t="s">
        <v>84</v>
      </c>
      <c r="C15" s="154">
        <f>+C9-C10-C14</f>
        <v>152253.363339045</v>
      </c>
      <c r="D15" s="154">
        <f t="shared" si="0"/>
        <v>152253.363339045</v>
      </c>
      <c r="O15" s="156" t="s">
        <v>84</v>
      </c>
      <c r="AE15" s="151" t="s">
        <v>85</v>
      </c>
      <c r="AF15" s="156" t="s">
        <v>84</v>
      </c>
    </row>
    <row r="16" s="138" customFormat="1" spans="1:32">
      <c r="A16" s="142">
        <v>10</v>
      </c>
      <c r="B16" s="151" t="s">
        <v>86</v>
      </c>
      <c r="C16" s="157">
        <f>+C15/C9</f>
        <v>0.305436582538141</v>
      </c>
      <c r="D16" s="157">
        <f>+D15/D9</f>
        <v>0.305436582538141</v>
      </c>
      <c r="E16" s="158"/>
      <c r="F16" s="158"/>
      <c r="G16" s="158"/>
      <c r="O16" s="151" t="s">
        <v>86</v>
      </c>
      <c r="AE16" s="151" t="s">
        <v>87</v>
      </c>
      <c r="AF16" s="151" t="s">
        <v>86</v>
      </c>
    </row>
    <row r="17" s="138" customFormat="1" spans="1:32">
      <c r="A17" s="142">
        <v>11</v>
      </c>
      <c r="B17" s="151" t="s">
        <v>88</v>
      </c>
      <c r="C17" s="154">
        <f>C6*C43+C18</f>
        <v>41470</v>
      </c>
      <c r="D17" s="154">
        <f>+SUM(C17:C17)</f>
        <v>41470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项目投资!F26</f>
        <v>4750</v>
      </c>
      <c r="E18" s="161" t="s">
        <v>165</v>
      </c>
      <c r="F18" s="161"/>
      <c r="G18" s="161"/>
    </row>
    <row r="19" s="138" customFormat="1" spans="1:33">
      <c r="A19" s="142">
        <v>13</v>
      </c>
      <c r="B19" s="151" t="s">
        <v>90</v>
      </c>
      <c r="C19" s="154">
        <f>C6*C44</f>
        <v>8568</v>
      </c>
      <c r="D19" s="154">
        <f>+SUM(C19:C19)</f>
        <v>8568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="138" customFormat="1" spans="1:32">
      <c r="A20" s="142">
        <v>14</v>
      </c>
      <c r="B20" s="151" t="s">
        <v>92</v>
      </c>
      <c r="C20" s="154">
        <f>C6*C45</f>
        <v>12240</v>
      </c>
      <c r="D20" s="154">
        <f>+SUM(C20:C20)</f>
        <v>12240</v>
      </c>
      <c r="O20" s="151" t="s">
        <v>92</v>
      </c>
      <c r="AE20" s="151" t="s">
        <v>93</v>
      </c>
      <c r="AF20" s="151" t="s">
        <v>92</v>
      </c>
    </row>
    <row r="21" s="138" customFormat="1" spans="1:32">
      <c r="A21" s="142">
        <v>15</v>
      </c>
      <c r="B21" s="151" t="s">
        <v>94</v>
      </c>
      <c r="C21" s="162">
        <f>$D$21/$D$6*C6</f>
        <v>21250</v>
      </c>
      <c r="D21" s="154">
        <f>项目投资!F27</f>
        <v>21250</v>
      </c>
      <c r="O21" s="151" t="s">
        <v>94</v>
      </c>
      <c r="AE21" s="151"/>
      <c r="AF21" s="151"/>
    </row>
    <row r="22" s="138" customFormat="1" spans="1:32">
      <c r="A22" s="142">
        <v>16</v>
      </c>
      <c r="B22" s="151" t="s">
        <v>95</v>
      </c>
      <c r="C22" s="154">
        <f>C6*C47</f>
        <v>24480</v>
      </c>
      <c r="D22" s="154">
        <f>+SUM(C22:C22)</f>
        <v>24480</v>
      </c>
      <c r="O22" s="151" t="s">
        <v>95</v>
      </c>
      <c r="AE22" s="151" t="s">
        <v>96</v>
      </c>
      <c r="AF22" s="151" t="s">
        <v>95</v>
      </c>
    </row>
    <row r="23" s="138" customFormat="1" spans="1:32">
      <c r="A23" s="142">
        <v>17</v>
      </c>
      <c r="B23" s="156" t="s">
        <v>97</v>
      </c>
      <c r="C23" s="162">
        <f>+C22+C21+C20+C19+C17</f>
        <v>108008</v>
      </c>
      <c r="D23" s="162">
        <f>+D22+D21+D20+D19+D17</f>
        <v>108008</v>
      </c>
      <c r="O23" s="156" t="s">
        <v>97</v>
      </c>
      <c r="AE23" s="151" t="s">
        <v>98</v>
      </c>
      <c r="AF23" s="156" t="s">
        <v>97</v>
      </c>
    </row>
    <row r="24" s="138" customFormat="1" spans="1:32">
      <c r="A24" s="142">
        <v>18</v>
      </c>
      <c r="B24" s="163" t="s">
        <v>99</v>
      </c>
      <c r="C24" s="162">
        <f>+C15-C23</f>
        <v>44245.3633390455</v>
      </c>
      <c r="D24" s="162">
        <f>+D15-D23</f>
        <v>44245.3633390455</v>
      </c>
      <c r="F24" s="164"/>
      <c r="O24" s="151" t="s">
        <v>99</v>
      </c>
      <c r="AE24" s="151" t="s">
        <v>100</v>
      </c>
      <c r="AF24" s="151" t="s">
        <v>99</v>
      </c>
    </row>
    <row r="25" s="138" customFormat="1" spans="1:32">
      <c r="A25" s="142">
        <v>19</v>
      </c>
      <c r="B25" s="151" t="s">
        <v>166</v>
      </c>
      <c r="C25" s="162">
        <f>IF(C24&lt;0,0,C24*0.25)</f>
        <v>11061.3408347614</v>
      </c>
      <c r="D25" s="162">
        <f>IF(D24&lt;0,0,D24*0.25)</f>
        <v>11061.3408347614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="138" customFormat="1" spans="1:32">
      <c r="A26" s="142">
        <v>20</v>
      </c>
      <c r="B26" s="151" t="s">
        <v>102</v>
      </c>
      <c r="C26" s="162">
        <f>C24-C25</f>
        <v>33184.0225042841</v>
      </c>
      <c r="D26" s="154">
        <f>+SUM(C26:C26)</f>
        <v>33184.0225042841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="138" customFormat="1" spans="1:32">
      <c r="A27" s="142">
        <v>21</v>
      </c>
      <c r="B27" s="151" t="s">
        <v>106</v>
      </c>
      <c r="C27" s="165">
        <f>C26/C7</f>
        <v>0.0542222589939283</v>
      </c>
      <c r="D27" s="165">
        <f>D26/D7</f>
        <v>0.0542222589939283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="138" customFormat="1" spans="3:15">
      <c r="C28" s="141"/>
      <c r="D28" s="141"/>
      <c r="E28" s="2"/>
      <c r="F28" s="2"/>
      <c r="G28" s="2"/>
      <c r="O28" s="151"/>
    </row>
    <row r="29" s="138" customFormat="1" spans="1:31">
      <c r="A29" s="138" t="s">
        <v>107</v>
      </c>
      <c r="C29" s="141"/>
      <c r="D29" s="141" t="s">
        <v>167</v>
      </c>
      <c r="E29" s="2"/>
      <c r="F29" s="2"/>
      <c r="G29" s="2"/>
      <c r="O29" s="151"/>
      <c r="AE29" s="138" t="s">
        <v>107</v>
      </c>
    </row>
    <row r="30" s="138" customFormat="1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="138" customFormat="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="138" customFormat="1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="138" customFormat="1" spans="1:32">
      <c r="A33" s="142">
        <v>3</v>
      </c>
      <c r="B33" s="159" t="s">
        <v>112</v>
      </c>
      <c r="C33" s="154">
        <f>材料成本!D29</f>
        <v>1052.08153886985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s="138" customFormat="1" ht="17.25" customHeight="1" spans="1:32">
      <c r="A34" s="142">
        <v>4</v>
      </c>
      <c r="B34" s="151" t="s">
        <v>114</v>
      </c>
      <c r="C34" s="167">
        <f>C32-C33</f>
        <v>987.918461130152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="138" customFormat="1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="138" customFormat="1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="138" customFormat="1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="138" customFormat="1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="138" customFormat="1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="138" customFormat="1" spans="1:32">
      <c r="A40" s="142">
        <v>1</v>
      </c>
      <c r="B40" s="151" t="s">
        <v>123</v>
      </c>
      <c r="C40" s="162">
        <f>C34-C36-C37-C38</f>
        <v>885.918461130152</v>
      </c>
      <c r="D40" s="162"/>
      <c r="O40" s="151" t="s">
        <v>123</v>
      </c>
      <c r="AE40" s="151" t="s">
        <v>65</v>
      </c>
      <c r="AF40" s="151" t="s">
        <v>123</v>
      </c>
    </row>
    <row r="41" s="138" customFormat="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="138" customFormat="1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="138" customFormat="1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="138" customFormat="1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="138" customFormat="1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70.8333333333333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="138" customFormat="1" spans="1:32">
      <c r="A48" s="151" t="s">
        <v>125</v>
      </c>
      <c r="B48" s="156" t="s">
        <v>143</v>
      </c>
      <c r="C48" s="162">
        <f>C40-C43-C44-C45-C47-C46</f>
        <v>541.725127796818</v>
      </c>
      <c r="D48" s="162"/>
      <c r="O48" s="156" t="s">
        <v>143</v>
      </c>
      <c r="AE48" s="151" t="s">
        <v>142</v>
      </c>
      <c r="AF48" s="156" t="s">
        <v>143</v>
      </c>
    </row>
    <row r="49" s="138" customFormat="1" spans="3:4">
      <c r="C49" s="141"/>
      <c r="D49" s="141"/>
    </row>
    <row r="50" s="138" customFormat="1" spans="3:4">
      <c r="C50" s="141"/>
      <c r="D50" s="141"/>
    </row>
    <row r="51" s="138" customFormat="1" spans="3:4">
      <c r="C51" s="169"/>
      <c r="D51" s="141"/>
    </row>
    <row r="52" s="138" customFormat="1" spans="3:4">
      <c r="C52" s="141"/>
      <c r="D52" s="141"/>
    </row>
    <row r="53" s="138" customFormat="1" spans="3:4">
      <c r="C53" s="141"/>
      <c r="D53" s="141"/>
    </row>
    <row r="54" s="138" customFormat="1" spans="2:9">
      <c r="B54" s="2"/>
      <c r="C54" s="170"/>
      <c r="D54" s="170"/>
      <c r="E54" s="2"/>
      <c r="F54" s="2"/>
      <c r="G54" s="2"/>
      <c r="H54" s="2"/>
      <c r="I54" s="2"/>
    </row>
    <row r="55" s="138" customFormat="1" spans="2:9">
      <c r="B55" s="2"/>
      <c r="C55" s="170"/>
      <c r="D55" s="170"/>
      <c r="E55" s="2"/>
      <c r="F55" s="2"/>
      <c r="G55" s="2"/>
      <c r="H55" s="2"/>
      <c r="I55" s="2"/>
    </row>
    <row r="56" s="138" customFormat="1" spans="2:9">
      <c r="B56" s="2"/>
      <c r="C56" s="170"/>
      <c r="D56" s="170"/>
      <c r="E56" s="2"/>
      <c r="F56" s="2"/>
      <c r="G56" s="2"/>
      <c r="H56" s="2"/>
      <c r="I56" s="2"/>
    </row>
    <row r="57" s="138" customFormat="1" spans="2:9">
      <c r="B57" s="2"/>
      <c r="C57" s="170"/>
      <c r="D57" s="170"/>
      <c r="E57" s="2"/>
      <c r="F57" s="2"/>
      <c r="G57" s="2"/>
      <c r="H57" s="2"/>
      <c r="I57" s="2"/>
    </row>
    <row r="58" s="138" customFormat="1" spans="2:9">
      <c r="B58" s="2"/>
      <c r="C58" s="170"/>
      <c r="D58" s="170"/>
      <c r="E58" s="2"/>
      <c r="F58" s="2"/>
      <c r="G58" s="2"/>
      <c r="H58" s="2"/>
      <c r="I58" s="2"/>
    </row>
    <row r="59" s="138" customFormat="1" spans="2:9">
      <c r="B59" s="2"/>
      <c r="C59" s="170"/>
      <c r="D59" s="170"/>
      <c r="E59" s="2"/>
      <c r="F59" s="2"/>
      <c r="G59" s="2"/>
      <c r="H59" s="2"/>
      <c r="I59" s="2"/>
    </row>
    <row r="60" s="138" customFormat="1" spans="2:9">
      <c r="B60" s="2"/>
      <c r="C60" s="170"/>
      <c r="D60" s="170"/>
      <c r="E60" s="2"/>
      <c r="F60" s="2"/>
      <c r="G60" s="2"/>
      <c r="H60" s="2"/>
      <c r="I60" s="2"/>
    </row>
    <row r="61" s="138" customFormat="1" spans="2:9">
      <c r="B61" s="2"/>
      <c r="C61" s="170"/>
      <c r="D61" s="170"/>
      <c r="E61" s="2"/>
      <c r="F61" s="2"/>
      <c r="G61" s="2"/>
      <c r="H61" s="2"/>
      <c r="I61" s="2"/>
    </row>
    <row r="62" s="138" customFormat="1" spans="2:9">
      <c r="B62" s="2"/>
      <c r="C62" s="170"/>
      <c r="D62" s="170"/>
      <c r="E62" s="2"/>
      <c r="F62" s="2"/>
      <c r="G62" s="2"/>
      <c r="H62" s="2"/>
      <c r="I62" s="2"/>
    </row>
    <row r="63" s="138" customFormat="1" spans="2:9">
      <c r="B63" s="2"/>
      <c r="C63" s="170"/>
      <c r="D63" s="170"/>
      <c r="E63" s="2"/>
      <c r="F63" s="2"/>
      <c r="G63" s="2"/>
      <c r="H63" s="2"/>
      <c r="I63" s="2"/>
    </row>
    <row r="64" s="138" customFormat="1" spans="2:9">
      <c r="B64" s="2"/>
      <c r="C64" s="170"/>
      <c r="D64" s="170"/>
      <c r="E64" s="2"/>
      <c r="F64" s="2"/>
      <c r="G64" s="2"/>
      <c r="H64" s="2"/>
      <c r="I64" s="2"/>
    </row>
    <row r="65" s="138" customFormat="1" spans="2:9">
      <c r="B65" s="2"/>
      <c r="C65" s="170"/>
      <c r="D65" s="170"/>
      <c r="E65" s="2"/>
      <c r="F65" s="2"/>
      <c r="G65" s="2"/>
      <c r="H65" s="2"/>
      <c r="I65" s="2"/>
    </row>
    <row r="66" s="138" customFormat="1" spans="2:9">
      <c r="B66" s="2"/>
      <c r="C66" s="170"/>
      <c r="D66" s="170"/>
      <c r="E66" s="2"/>
      <c r="F66" s="2"/>
      <c r="G66" s="2"/>
      <c r="H66" s="2"/>
      <c r="I66" s="2"/>
    </row>
    <row r="67" s="138" customFormat="1" spans="2:5">
      <c r="B67" s="2"/>
      <c r="C67" s="170"/>
      <c r="D67" s="170"/>
      <c r="E67" s="2"/>
    </row>
    <row r="68" s="138" customFormat="1" spans="2:5">
      <c r="B68" s="2"/>
      <c r="C68" s="170"/>
      <c r="D68" s="170"/>
      <c r="E68" s="2"/>
    </row>
    <row r="69" s="138" customFormat="1" spans="2:5">
      <c r="B69" s="2"/>
      <c r="C69" s="170"/>
      <c r="D69" s="170"/>
      <c r="E69" s="2"/>
    </row>
    <row r="70" s="138" customFormat="1" spans="2:5">
      <c r="B70" s="2"/>
      <c r="C70" s="170"/>
      <c r="D70" s="170"/>
      <c r="E70" s="2"/>
    </row>
    <row r="71" s="138" customFormat="1" spans="2:5">
      <c r="B71" s="2"/>
      <c r="C71" s="170"/>
      <c r="D71" s="170"/>
      <c r="E71" s="2"/>
    </row>
    <row r="72" s="138" customFormat="1" spans="2:5">
      <c r="B72" s="2"/>
      <c r="C72" s="170"/>
      <c r="D72" s="170"/>
      <c r="E72" s="2"/>
    </row>
    <row r="73" s="138" customFormat="1" spans="2:5">
      <c r="B73" s="2"/>
      <c r="C73" s="170"/>
      <c r="D73" s="170"/>
      <c r="E73" s="2"/>
    </row>
    <row r="74" s="138" customFormat="1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selection activeCell="C8" sqref="C8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41" customWidth="1"/>
    <col min="4" max="4" width="18.7545454545455" style="141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="138" customFormat="1" spans="1:4">
      <c r="A1" s="142" t="s">
        <v>153</v>
      </c>
      <c r="B1" s="142"/>
      <c r="C1" s="143" t="s">
        <v>173</v>
      </c>
      <c r="D1" s="144"/>
    </row>
    <row r="2" s="138" customFormat="1" spans="1:4">
      <c r="A2" s="142" t="s">
        <v>155</v>
      </c>
      <c r="B2" s="142"/>
      <c r="C2" s="145" t="s">
        <v>156</v>
      </c>
      <c r="D2" s="145"/>
    </row>
    <row r="3" s="138" customFormat="1" spans="1:4">
      <c r="A3" s="142" t="s">
        <v>157</v>
      </c>
      <c r="B3" s="142"/>
      <c r="C3" s="146" t="s">
        <v>158</v>
      </c>
      <c r="D3" s="147" t="s">
        <v>61</v>
      </c>
    </row>
    <row r="4" s="138" customFormat="1" spans="1:4">
      <c r="A4" s="142" t="s">
        <v>159</v>
      </c>
      <c r="B4" s="142"/>
      <c r="C4" s="146" t="s">
        <v>160</v>
      </c>
      <c r="D4" s="148"/>
    </row>
    <row r="5" s="138" customFormat="1" ht="26" spans="1:33">
      <c r="A5" s="142" t="s">
        <v>161</v>
      </c>
      <c r="B5" s="142"/>
      <c r="C5" s="149" t="s">
        <v>162</v>
      </c>
      <c r="D5" s="150"/>
      <c r="AG5" s="138" t="s">
        <v>62</v>
      </c>
    </row>
    <row r="6" s="138" customFormat="1" spans="1:33">
      <c r="A6" s="151" t="s">
        <v>21</v>
      </c>
      <c r="B6" s="152" t="s">
        <v>163</v>
      </c>
      <c r="C6" s="153">
        <f>销量!C14</f>
        <v>300</v>
      </c>
      <c r="D6" s="154">
        <f t="shared" ref="D6:D15" si="0">+SUM(C6:C6)</f>
        <v>300</v>
      </c>
      <c r="O6" s="152" t="s">
        <v>3</v>
      </c>
      <c r="AE6" s="151" t="s">
        <v>21</v>
      </c>
      <c r="AF6" s="152" t="s">
        <v>3</v>
      </c>
      <c r="AG6" s="138" t="s">
        <v>63</v>
      </c>
    </row>
    <row r="7" s="138" customFormat="1" spans="1:33">
      <c r="A7" s="142">
        <v>1</v>
      </c>
      <c r="B7" s="152" t="s">
        <v>64</v>
      </c>
      <c r="C7" s="154">
        <f>C6*销量!C8</f>
        <v>612000</v>
      </c>
      <c r="D7" s="154">
        <f t="shared" si="0"/>
        <v>612000</v>
      </c>
      <c r="E7" s="141"/>
      <c r="O7" s="152" t="s">
        <v>64</v>
      </c>
      <c r="AE7" s="151" t="s">
        <v>65</v>
      </c>
      <c r="AF7" s="152" t="s">
        <v>64</v>
      </c>
      <c r="AG7" s="138" t="s">
        <v>63</v>
      </c>
    </row>
    <row r="8" s="138" customFormat="1" spans="1:33">
      <c r="A8" s="142">
        <v>2</v>
      </c>
      <c r="B8" s="142" t="s">
        <v>66</v>
      </c>
      <c r="C8" s="154">
        <f>C7*(1-销量!$K$11)</f>
        <v>138446.06625</v>
      </c>
      <c r="D8" s="154">
        <f t="shared" si="0"/>
        <v>138446.06625</v>
      </c>
      <c r="E8" s="155"/>
      <c r="O8" s="142" t="s">
        <v>68</v>
      </c>
      <c r="AE8" s="151" t="s">
        <v>67</v>
      </c>
      <c r="AF8" s="142" t="s">
        <v>68</v>
      </c>
      <c r="AG8" s="138" t="s">
        <v>63</v>
      </c>
    </row>
    <row r="9" s="138" customFormat="1" spans="1:33">
      <c r="A9" s="142">
        <v>3</v>
      </c>
      <c r="B9" s="152" t="s">
        <v>69</v>
      </c>
      <c r="C9" s="154">
        <f>+C7-C8</f>
        <v>473553.93375</v>
      </c>
      <c r="D9" s="154">
        <f t="shared" si="0"/>
        <v>473553.93375</v>
      </c>
      <c r="O9" s="152" t="s">
        <v>69</v>
      </c>
      <c r="AE9" s="151" t="s">
        <v>70</v>
      </c>
      <c r="AF9" s="152" t="s">
        <v>69</v>
      </c>
      <c r="AG9" s="138" t="s">
        <v>71</v>
      </c>
    </row>
    <row r="10" s="138" customFormat="1" spans="1:33">
      <c r="A10" s="142">
        <v>4</v>
      </c>
      <c r="B10" s="151" t="s">
        <v>74</v>
      </c>
      <c r="C10" s="154">
        <f>C6*C33</f>
        <v>299843.238577907</v>
      </c>
      <c r="D10" s="154">
        <f t="shared" si="0"/>
        <v>299843.238577907</v>
      </c>
      <c r="O10" s="151" t="s">
        <v>74</v>
      </c>
      <c r="AE10" s="151" t="s">
        <v>73</v>
      </c>
      <c r="AF10" s="151" t="s">
        <v>74</v>
      </c>
      <c r="AG10" s="138" t="s">
        <v>75</v>
      </c>
    </row>
    <row r="11" s="138" customFormat="1" spans="1:32">
      <c r="A11" s="142">
        <v>5</v>
      </c>
      <c r="B11" s="151" t="s">
        <v>76</v>
      </c>
      <c r="C11" s="154">
        <f>+C6*C36</f>
        <v>18360</v>
      </c>
      <c r="D11" s="154">
        <f t="shared" si="0"/>
        <v>18360</v>
      </c>
      <c r="O11" s="151" t="s">
        <v>76</v>
      </c>
      <c r="AE11" s="151" t="s">
        <v>77</v>
      </c>
      <c r="AF11" s="151" t="s">
        <v>76</v>
      </c>
    </row>
    <row r="12" s="138" customFormat="1" spans="1:32">
      <c r="A12" s="142">
        <v>6</v>
      </c>
      <c r="B12" s="151" t="s">
        <v>78</v>
      </c>
      <c r="C12" s="154">
        <f>+C6*C37</f>
        <v>6120</v>
      </c>
      <c r="D12" s="154">
        <f t="shared" si="0"/>
        <v>6120</v>
      </c>
      <c r="O12" s="151" t="s">
        <v>78</v>
      </c>
      <c r="AE12" s="151" t="s">
        <v>79</v>
      </c>
      <c r="AF12" s="151" t="s">
        <v>78</v>
      </c>
    </row>
    <row r="13" s="138" customFormat="1" spans="1:33">
      <c r="A13" s="142">
        <v>7</v>
      </c>
      <c r="B13" s="151" t="s">
        <v>80</v>
      </c>
      <c r="C13" s="154">
        <f>+C6*C38</f>
        <v>6120</v>
      </c>
      <c r="D13" s="154">
        <f t="shared" si="0"/>
        <v>6120</v>
      </c>
      <c r="O13" s="151" t="s">
        <v>80</v>
      </c>
      <c r="AE13" s="151" t="s">
        <v>81</v>
      </c>
      <c r="AF13" s="151" t="s">
        <v>80</v>
      </c>
      <c r="AG13" s="138" t="s">
        <v>63</v>
      </c>
    </row>
    <row r="14" s="138" customFormat="1" spans="1:32">
      <c r="A14" s="142">
        <v>8</v>
      </c>
      <c r="B14" s="156" t="s">
        <v>82</v>
      </c>
      <c r="C14" s="154">
        <f>SUM(C11:C13)</f>
        <v>30600</v>
      </c>
      <c r="D14" s="154">
        <f t="shared" si="0"/>
        <v>30600</v>
      </c>
      <c r="O14" s="156" t="s">
        <v>82</v>
      </c>
      <c r="AE14" s="151" t="s">
        <v>83</v>
      </c>
      <c r="AF14" s="156" t="s">
        <v>82</v>
      </c>
    </row>
    <row r="15" s="138" customFormat="1" spans="1:32">
      <c r="A15" s="142">
        <v>9</v>
      </c>
      <c r="B15" s="156" t="s">
        <v>84</v>
      </c>
      <c r="C15" s="154">
        <f>+C9-C10-C14</f>
        <v>143110.695172093</v>
      </c>
      <c r="D15" s="154">
        <f t="shared" si="0"/>
        <v>143110.695172093</v>
      </c>
      <c r="O15" s="156" t="s">
        <v>84</v>
      </c>
      <c r="AE15" s="151" t="s">
        <v>85</v>
      </c>
      <c r="AF15" s="156" t="s">
        <v>84</v>
      </c>
    </row>
    <row r="16" s="138" customFormat="1" spans="1:32">
      <c r="A16" s="142">
        <v>10</v>
      </c>
      <c r="B16" s="151" t="s">
        <v>86</v>
      </c>
      <c r="C16" s="157">
        <f>+C15/C9</f>
        <v>0.302205693950891</v>
      </c>
      <c r="D16" s="157">
        <f>+D15/D9</f>
        <v>0.302205693950891</v>
      </c>
      <c r="E16" s="158"/>
      <c r="F16" s="158"/>
      <c r="G16" s="158"/>
      <c r="O16" s="151" t="s">
        <v>86</v>
      </c>
      <c r="AE16" s="151" t="s">
        <v>87</v>
      </c>
      <c r="AF16" s="151" t="s">
        <v>86</v>
      </c>
    </row>
    <row r="17" s="138" customFormat="1" spans="1:32">
      <c r="A17" s="142">
        <v>11</v>
      </c>
      <c r="B17" s="151" t="s">
        <v>88</v>
      </c>
      <c r="C17" s="154">
        <f>C6*C43+C18</f>
        <v>41470</v>
      </c>
      <c r="D17" s="154">
        <f>+SUM(C17:C17)</f>
        <v>41470</v>
      </c>
      <c r="E17" s="155"/>
      <c r="O17" s="151" t="s">
        <v>88</v>
      </c>
      <c r="AE17" s="151" t="s">
        <v>89</v>
      </c>
      <c r="AF17" s="151" t="s">
        <v>88</v>
      </c>
    </row>
    <row r="18" s="139" customFormat="1" spans="1:7">
      <c r="A18" s="142">
        <v>12</v>
      </c>
      <c r="B18" s="159" t="s">
        <v>164</v>
      </c>
      <c r="C18" s="160">
        <f>$D$18/$D$6*C6</f>
        <v>4750</v>
      </c>
      <c r="D18" s="154">
        <f>项目投资!F26</f>
        <v>4750</v>
      </c>
      <c r="E18" s="161" t="s">
        <v>165</v>
      </c>
      <c r="F18" s="161"/>
      <c r="G18" s="161"/>
    </row>
    <row r="19" s="138" customFormat="1" spans="1:33">
      <c r="A19" s="142">
        <v>13</v>
      </c>
      <c r="B19" s="151" t="s">
        <v>90</v>
      </c>
      <c r="C19" s="154">
        <f>C6*C44</f>
        <v>8568</v>
      </c>
      <c r="D19" s="154">
        <f>+SUM(C19:C19)</f>
        <v>8568</v>
      </c>
      <c r="E19" s="139"/>
      <c r="O19" s="151" t="s">
        <v>90</v>
      </c>
      <c r="AE19" s="151" t="s">
        <v>91</v>
      </c>
      <c r="AF19" s="151" t="s">
        <v>90</v>
      </c>
      <c r="AG19" s="138" t="s">
        <v>63</v>
      </c>
    </row>
    <row r="20" s="138" customFormat="1" spans="1:32">
      <c r="A20" s="142">
        <v>14</v>
      </c>
      <c r="B20" s="151" t="s">
        <v>92</v>
      </c>
      <c r="C20" s="154">
        <f>C6*C45</f>
        <v>12240</v>
      </c>
      <c r="D20" s="154">
        <f>+SUM(C20:C20)</f>
        <v>12240</v>
      </c>
      <c r="O20" s="151" t="s">
        <v>92</v>
      </c>
      <c r="AE20" s="151" t="s">
        <v>93</v>
      </c>
      <c r="AF20" s="151" t="s">
        <v>92</v>
      </c>
    </row>
    <row r="21" s="138" customFormat="1" spans="1:32">
      <c r="A21" s="142">
        <v>15</v>
      </c>
      <c r="B21" s="151" t="s">
        <v>94</v>
      </c>
      <c r="C21" s="162">
        <f>$D$21/$D$6*C6</f>
        <v>21250</v>
      </c>
      <c r="D21" s="154">
        <f>项目投资!F27</f>
        <v>21250</v>
      </c>
      <c r="O21" s="151" t="s">
        <v>94</v>
      </c>
      <c r="AE21" s="151"/>
      <c r="AF21" s="151"/>
    </row>
    <row r="22" s="138" customFormat="1" spans="1:32">
      <c r="A22" s="142">
        <v>16</v>
      </c>
      <c r="B22" s="151" t="s">
        <v>95</v>
      </c>
      <c r="C22" s="154">
        <f>C6*C47</f>
        <v>24480</v>
      </c>
      <c r="D22" s="154">
        <f>+SUM(C22:C22)</f>
        <v>24480</v>
      </c>
      <c r="O22" s="151" t="s">
        <v>95</v>
      </c>
      <c r="AE22" s="151" t="s">
        <v>96</v>
      </c>
      <c r="AF22" s="151" t="s">
        <v>95</v>
      </c>
    </row>
    <row r="23" s="138" customFormat="1" spans="1:32">
      <c r="A23" s="142">
        <v>17</v>
      </c>
      <c r="B23" s="156" t="s">
        <v>97</v>
      </c>
      <c r="C23" s="162">
        <f>+C22+C21+C20+C19+C17</f>
        <v>108008</v>
      </c>
      <c r="D23" s="162">
        <f>+D22+D21+D20+D19+D17</f>
        <v>108008</v>
      </c>
      <c r="O23" s="156" t="s">
        <v>97</v>
      </c>
      <c r="AE23" s="151" t="s">
        <v>98</v>
      </c>
      <c r="AF23" s="156" t="s">
        <v>97</v>
      </c>
    </row>
    <row r="24" s="138" customFormat="1" spans="1:32">
      <c r="A24" s="142">
        <v>18</v>
      </c>
      <c r="B24" s="163" t="s">
        <v>99</v>
      </c>
      <c r="C24" s="162">
        <f>+C15-C23</f>
        <v>35102.6951720932</v>
      </c>
      <c r="D24" s="162">
        <f>+D15-D23</f>
        <v>35102.6951720932</v>
      </c>
      <c r="F24" s="164"/>
      <c r="O24" s="151" t="s">
        <v>99</v>
      </c>
      <c r="AE24" s="151" t="s">
        <v>100</v>
      </c>
      <c r="AF24" s="151" t="s">
        <v>99</v>
      </c>
    </row>
    <row r="25" s="138" customFormat="1" spans="1:32">
      <c r="A25" s="142">
        <v>19</v>
      </c>
      <c r="B25" s="151" t="s">
        <v>166</v>
      </c>
      <c r="C25" s="162">
        <f>IF(C24&lt;0,0,C24*0.25)</f>
        <v>8775.67379302331</v>
      </c>
      <c r="D25" s="162">
        <f>IF(D24&lt;0,0,D24*0.25)</f>
        <v>8775.67379302331</v>
      </c>
      <c r="E25" s="2"/>
      <c r="F25" s="2"/>
      <c r="G25" s="2"/>
      <c r="O25" s="151" t="s">
        <v>38</v>
      </c>
      <c r="AE25" s="151" t="s">
        <v>101</v>
      </c>
      <c r="AF25" s="151" t="s">
        <v>38</v>
      </c>
    </row>
    <row r="26" s="138" customFormat="1" spans="1:32">
      <c r="A26" s="142">
        <v>20</v>
      </c>
      <c r="B26" s="151" t="s">
        <v>102</v>
      </c>
      <c r="C26" s="162">
        <f>C24-C25</f>
        <v>26327.0213790699</v>
      </c>
      <c r="D26" s="154">
        <f>+SUM(C26:C26)</f>
        <v>26327.0213790699</v>
      </c>
      <c r="E26" s="2"/>
      <c r="F26" s="2"/>
      <c r="G26" s="2"/>
      <c r="O26" s="151" t="s">
        <v>102</v>
      </c>
      <c r="AE26" s="151" t="s">
        <v>103</v>
      </c>
      <c r="AF26" s="151" t="s">
        <v>102</v>
      </c>
    </row>
    <row r="27" s="138" customFormat="1" spans="1:32">
      <c r="A27" s="142">
        <v>21</v>
      </c>
      <c r="B27" s="151" t="s">
        <v>106</v>
      </c>
      <c r="C27" s="165">
        <f>C26/C7</f>
        <v>0.0430180087893299</v>
      </c>
      <c r="D27" s="165">
        <f>D26/D7</f>
        <v>0.0430180087893299</v>
      </c>
      <c r="E27" s="2"/>
      <c r="F27" s="2"/>
      <c r="G27" s="2"/>
      <c r="O27" s="151" t="s">
        <v>106</v>
      </c>
      <c r="AE27" s="151" t="s">
        <v>105</v>
      </c>
      <c r="AF27" s="151" t="s">
        <v>106</v>
      </c>
    </row>
    <row r="28" s="138" customFormat="1" spans="3:15">
      <c r="C28" s="141"/>
      <c r="D28" s="141"/>
      <c r="E28" s="2"/>
      <c r="F28" s="2"/>
      <c r="G28" s="2"/>
      <c r="O28" s="151"/>
    </row>
    <row r="29" s="138" customFormat="1" spans="1:31">
      <c r="A29" s="138" t="s">
        <v>107</v>
      </c>
      <c r="C29" s="141"/>
      <c r="D29" s="141" t="s">
        <v>167</v>
      </c>
      <c r="E29" s="2"/>
      <c r="F29" s="2"/>
      <c r="G29" s="2"/>
      <c r="O29" s="151"/>
      <c r="AE29" s="138" t="s">
        <v>107</v>
      </c>
    </row>
    <row r="30" s="138" customFormat="1" spans="1:32">
      <c r="A30" s="151" t="s">
        <v>108</v>
      </c>
      <c r="B30" s="156" t="s">
        <v>109</v>
      </c>
      <c r="C30" s="162"/>
      <c r="D30" s="162"/>
      <c r="E30" s="2"/>
      <c r="F30" s="2"/>
      <c r="G30" s="2"/>
      <c r="I30" s="2"/>
      <c r="O30" s="156" t="s">
        <v>109</v>
      </c>
      <c r="AE30" s="151" t="s">
        <v>110</v>
      </c>
      <c r="AF30" s="156" t="s">
        <v>109</v>
      </c>
    </row>
    <row r="31" s="138" customFormat="1" spans="1:32">
      <c r="A31" s="142">
        <v>1</v>
      </c>
      <c r="B31" s="159" t="s">
        <v>111</v>
      </c>
      <c r="C31" s="166">
        <f>销量!C8</f>
        <v>2040</v>
      </c>
      <c r="D31" s="162"/>
      <c r="E31" s="2"/>
      <c r="F31" s="2"/>
      <c r="G31" s="2"/>
      <c r="I31" s="2"/>
      <c r="O31" s="151" t="s">
        <v>111</v>
      </c>
      <c r="AE31" s="151" t="s">
        <v>65</v>
      </c>
      <c r="AF31" s="151" t="s">
        <v>111</v>
      </c>
    </row>
    <row r="32" s="138" customFormat="1" spans="1:32">
      <c r="A32" s="142">
        <v>2</v>
      </c>
      <c r="B32" s="151" t="s">
        <v>168</v>
      </c>
      <c r="C32" s="154">
        <f>C31*1</f>
        <v>2040</v>
      </c>
      <c r="D32" s="162"/>
      <c r="E32" s="2"/>
      <c r="F32" s="2"/>
      <c r="G32" s="2"/>
      <c r="H32" s="2"/>
      <c r="I32" s="2"/>
      <c r="J32" s="2"/>
      <c r="K32" s="2"/>
      <c r="AE32" s="151"/>
      <c r="AF32" s="151"/>
    </row>
    <row r="33" s="138" customFormat="1" spans="1:32">
      <c r="A33" s="142">
        <v>3</v>
      </c>
      <c r="B33" s="159" t="s">
        <v>112</v>
      </c>
      <c r="C33" s="154">
        <f>材料成本!D30</f>
        <v>999.477461926356</v>
      </c>
      <c r="D33" s="162"/>
      <c r="F33" s="2"/>
      <c r="G33" s="2"/>
      <c r="H33" s="2"/>
      <c r="I33" s="2"/>
      <c r="J33" s="2"/>
      <c r="K33" s="2"/>
      <c r="O33" s="151" t="s">
        <v>112</v>
      </c>
      <c r="AE33" s="151" t="s">
        <v>67</v>
      </c>
      <c r="AF33" s="151" t="s">
        <v>112</v>
      </c>
    </row>
    <row r="34" s="138" customFormat="1" ht="17.25" customHeight="1" spans="1:32">
      <c r="A34" s="142">
        <v>4</v>
      </c>
      <c r="B34" s="151" t="s">
        <v>114</v>
      </c>
      <c r="C34" s="167">
        <f>C32-C33</f>
        <v>1040.52253807364</v>
      </c>
      <c r="D34" s="162"/>
      <c r="F34" s="2"/>
      <c r="G34" s="2"/>
      <c r="H34" s="2"/>
      <c r="I34" s="2"/>
      <c r="J34" s="2"/>
      <c r="K34" s="2"/>
      <c r="O34" s="151" t="s">
        <v>114</v>
      </c>
      <c r="AE34" s="151" t="s">
        <v>113</v>
      </c>
      <c r="AF34" s="151" t="s">
        <v>114</v>
      </c>
    </row>
    <row r="35" s="138" customFormat="1" spans="1:32">
      <c r="A35" s="151" t="s">
        <v>110</v>
      </c>
      <c r="B35" s="156" t="s">
        <v>10</v>
      </c>
      <c r="C35" s="162"/>
      <c r="D35" s="162"/>
      <c r="E35" s="2"/>
      <c r="F35" s="2"/>
      <c r="G35" s="2"/>
      <c r="H35" s="2"/>
      <c r="I35" s="2"/>
      <c r="J35" s="2"/>
      <c r="K35" s="2"/>
      <c r="L35" s="2"/>
      <c r="M35" s="2"/>
      <c r="N35" s="2"/>
      <c r="O35" s="156" t="s">
        <v>10</v>
      </c>
      <c r="AE35" s="151" t="s">
        <v>116</v>
      </c>
      <c r="AF35" s="156" t="s">
        <v>10</v>
      </c>
    </row>
    <row r="36" s="138" customFormat="1" spans="1:32">
      <c r="A36" s="142">
        <v>1</v>
      </c>
      <c r="B36" s="151" t="s">
        <v>117</v>
      </c>
      <c r="C36" s="160">
        <f>标准成本!E4</f>
        <v>61.2</v>
      </c>
      <c r="D36" s="166"/>
      <c r="E36" s="2"/>
      <c r="F36" s="2"/>
      <c r="G36" s="2"/>
      <c r="H36" s="2"/>
      <c r="I36" s="2"/>
      <c r="J36" s="2"/>
      <c r="K36" s="2"/>
      <c r="L36" s="2"/>
      <c r="M36" s="2"/>
      <c r="N36" s="2"/>
      <c r="O36" s="151" t="s">
        <v>117</v>
      </c>
      <c r="AE36" s="151" t="s">
        <v>113</v>
      </c>
      <c r="AF36" s="151" t="s">
        <v>117</v>
      </c>
    </row>
    <row r="37" s="138" customFormat="1" spans="1:32">
      <c r="A37" s="142">
        <v>2</v>
      </c>
      <c r="B37" s="151" t="s">
        <v>118</v>
      </c>
      <c r="C37" s="160">
        <f>标准成本!E6</f>
        <v>20.4</v>
      </c>
      <c r="D37" s="166"/>
      <c r="E37" s="2"/>
      <c r="F37" s="2"/>
      <c r="G37" s="2"/>
      <c r="H37" s="2"/>
      <c r="I37" s="2"/>
      <c r="J37" s="2"/>
      <c r="K37" s="2"/>
      <c r="L37" s="2"/>
      <c r="M37" s="2"/>
      <c r="N37" s="2"/>
      <c r="O37" s="151" t="s">
        <v>118</v>
      </c>
      <c r="AE37" s="151" t="s">
        <v>70</v>
      </c>
      <c r="AF37" s="151" t="s">
        <v>118</v>
      </c>
    </row>
    <row r="38" s="138" customFormat="1" spans="1:32">
      <c r="A38" s="142">
        <v>3</v>
      </c>
      <c r="B38" s="151" t="s">
        <v>119</v>
      </c>
      <c r="C38" s="160">
        <f>标准成本!E10</f>
        <v>20.4</v>
      </c>
      <c r="D38" s="166"/>
      <c r="E38" s="2"/>
      <c r="F38" s="2"/>
      <c r="G38" s="2"/>
      <c r="H38" s="2"/>
      <c r="I38" s="2"/>
      <c r="J38" s="2"/>
      <c r="K38" s="2"/>
      <c r="L38" s="2"/>
      <c r="M38" s="2"/>
      <c r="N38" s="2"/>
      <c r="O38" s="151" t="s">
        <v>119</v>
      </c>
      <c r="AE38" s="151" t="s">
        <v>77</v>
      </c>
      <c r="AF38" s="151" t="s">
        <v>119</v>
      </c>
    </row>
    <row r="39" s="138" customFormat="1" spans="1:32">
      <c r="A39" s="151" t="s">
        <v>116</v>
      </c>
      <c r="B39" s="156" t="s">
        <v>121</v>
      </c>
      <c r="C39" s="162"/>
      <c r="D39" s="162"/>
      <c r="O39" s="156" t="s">
        <v>121</v>
      </c>
      <c r="AE39" s="151" t="s">
        <v>120</v>
      </c>
      <c r="AF39" s="156" t="s">
        <v>121</v>
      </c>
    </row>
    <row r="40" s="138" customFormat="1" spans="1:32">
      <c r="A40" s="142">
        <v>1</v>
      </c>
      <c r="B40" s="151" t="s">
        <v>123</v>
      </c>
      <c r="C40" s="162">
        <f>C34-C36-C37-C38</f>
        <v>938.522538073644</v>
      </c>
      <c r="D40" s="162"/>
      <c r="O40" s="151" t="s">
        <v>123</v>
      </c>
      <c r="AE40" s="151" t="s">
        <v>65</v>
      </c>
      <c r="AF40" s="151" t="s">
        <v>123</v>
      </c>
    </row>
    <row r="41" s="138" customFormat="1" spans="1:32">
      <c r="A41" s="142">
        <v>2</v>
      </c>
      <c r="B41" s="151" t="s">
        <v>124</v>
      </c>
      <c r="C41" s="162"/>
      <c r="D41" s="162"/>
      <c r="O41" s="151" t="s">
        <v>124</v>
      </c>
      <c r="AE41" s="151" t="s">
        <v>67</v>
      </c>
      <c r="AF41" s="151" t="s">
        <v>124</v>
      </c>
    </row>
    <row r="42" s="138" customFormat="1" spans="1:32">
      <c r="A42" s="151" t="s">
        <v>120</v>
      </c>
      <c r="B42" s="156" t="s">
        <v>126</v>
      </c>
      <c r="C42" s="162"/>
      <c r="D42" s="162"/>
      <c r="O42" s="156" t="s">
        <v>126</v>
      </c>
      <c r="AE42" s="151" t="s">
        <v>125</v>
      </c>
      <c r="AF42" s="156" t="s">
        <v>126</v>
      </c>
    </row>
    <row r="43" s="138" customFormat="1" spans="1:32">
      <c r="A43" s="142">
        <v>1</v>
      </c>
      <c r="B43" s="163" t="s">
        <v>127</v>
      </c>
      <c r="C43" s="160">
        <f>标准成本!E5</f>
        <v>122.4</v>
      </c>
      <c r="D43" s="162"/>
      <c r="O43" s="151" t="s">
        <v>127</v>
      </c>
      <c r="AE43" s="151" t="s">
        <v>65</v>
      </c>
      <c r="AF43" s="151" t="s">
        <v>127</v>
      </c>
    </row>
    <row r="44" s="138" customFormat="1" spans="1:32">
      <c r="A44" s="142">
        <v>2</v>
      </c>
      <c r="B44" s="163" t="s">
        <v>128</v>
      </c>
      <c r="C44" s="160">
        <f>标准成本!E9</f>
        <v>28.56</v>
      </c>
      <c r="D44" s="162"/>
      <c r="O44" s="151" t="s">
        <v>128</v>
      </c>
      <c r="AE44" s="151" t="s">
        <v>67</v>
      </c>
      <c r="AF44" s="151" t="s">
        <v>128</v>
      </c>
    </row>
    <row r="45" s="138" customFormat="1" spans="1:32">
      <c r="A45" s="142">
        <v>3</v>
      </c>
      <c r="B45" s="163" t="s">
        <v>129</v>
      </c>
      <c r="C45" s="160">
        <f>标准成本!E8</f>
        <v>40.8</v>
      </c>
      <c r="D45" s="162"/>
      <c r="O45" s="151" t="s">
        <v>129</v>
      </c>
      <c r="AE45" s="151" t="s">
        <v>113</v>
      </c>
      <c r="AF45" s="151" t="s">
        <v>129</v>
      </c>
    </row>
    <row r="46" s="140" customFormat="1" spans="1:32">
      <c r="A46" s="142">
        <v>4</v>
      </c>
      <c r="B46" s="163" t="s">
        <v>130</v>
      </c>
      <c r="C46" s="168">
        <f>C21/C6</f>
        <v>70.8333333333333</v>
      </c>
      <c r="D46" s="168"/>
      <c r="O46" s="163" t="s">
        <v>132</v>
      </c>
      <c r="AE46" s="163" t="s">
        <v>73</v>
      </c>
      <c r="AF46" s="163" t="s">
        <v>132</v>
      </c>
    </row>
    <row r="47" s="140" customFormat="1" spans="1:32">
      <c r="A47" s="142">
        <v>5</v>
      </c>
      <c r="B47" s="163" t="s">
        <v>132</v>
      </c>
      <c r="C47" s="168">
        <f>标准成本!E11</f>
        <v>81.6</v>
      </c>
      <c r="D47" s="168"/>
      <c r="O47" s="163" t="s">
        <v>132</v>
      </c>
      <c r="AE47" s="163" t="s">
        <v>73</v>
      </c>
      <c r="AF47" s="163" t="s">
        <v>132</v>
      </c>
    </row>
    <row r="48" s="138" customFormat="1" spans="1:32">
      <c r="A48" s="151" t="s">
        <v>125</v>
      </c>
      <c r="B48" s="156" t="s">
        <v>143</v>
      </c>
      <c r="C48" s="162">
        <f>C40-C43-C44-C45-C47-C46</f>
        <v>594.329204740311</v>
      </c>
      <c r="D48" s="162"/>
      <c r="O48" s="156" t="s">
        <v>143</v>
      </c>
      <c r="AE48" s="151" t="s">
        <v>142</v>
      </c>
      <c r="AF48" s="156" t="s">
        <v>143</v>
      </c>
    </row>
    <row r="49" s="138" customFormat="1" spans="3:4">
      <c r="C49" s="141"/>
      <c r="D49" s="141"/>
    </row>
    <row r="50" s="138" customFormat="1" spans="3:4">
      <c r="C50" s="141"/>
      <c r="D50" s="141"/>
    </row>
    <row r="51" s="138" customFormat="1" spans="3:4">
      <c r="C51" s="169"/>
      <c r="D51" s="141"/>
    </row>
    <row r="52" s="138" customFormat="1" spans="3:4">
      <c r="C52" s="141"/>
      <c r="D52" s="141"/>
    </row>
    <row r="53" s="138" customFormat="1" spans="3:4">
      <c r="C53" s="141"/>
      <c r="D53" s="141"/>
    </row>
    <row r="54" s="138" customFormat="1" spans="2:9">
      <c r="B54" s="2"/>
      <c r="C54" s="170"/>
      <c r="D54" s="170"/>
      <c r="E54" s="2"/>
      <c r="F54" s="2"/>
      <c r="G54" s="2"/>
      <c r="H54" s="2"/>
      <c r="I54" s="2"/>
    </row>
    <row r="55" s="138" customFormat="1" spans="2:9">
      <c r="B55" s="2"/>
      <c r="C55" s="170"/>
      <c r="D55" s="170"/>
      <c r="E55" s="2"/>
      <c r="F55" s="2"/>
      <c r="G55" s="2"/>
      <c r="H55" s="2"/>
      <c r="I55" s="2"/>
    </row>
    <row r="56" s="138" customFormat="1" spans="2:9">
      <c r="B56" s="2"/>
      <c r="C56" s="170"/>
      <c r="D56" s="170"/>
      <c r="E56" s="2"/>
      <c r="F56" s="2"/>
      <c r="G56" s="2"/>
      <c r="H56" s="2"/>
      <c r="I56" s="2"/>
    </row>
    <row r="57" s="138" customFormat="1" spans="2:9">
      <c r="B57" s="2"/>
      <c r="C57" s="170"/>
      <c r="D57" s="170"/>
      <c r="E57" s="2"/>
      <c r="F57" s="2"/>
      <c r="G57" s="2"/>
      <c r="H57" s="2"/>
      <c r="I57" s="2"/>
    </row>
    <row r="58" s="138" customFormat="1" spans="2:9">
      <c r="B58" s="2"/>
      <c r="C58" s="170"/>
      <c r="D58" s="170"/>
      <c r="E58" s="2"/>
      <c r="F58" s="2"/>
      <c r="G58" s="2"/>
      <c r="H58" s="2"/>
      <c r="I58" s="2"/>
    </row>
    <row r="59" s="138" customFormat="1" spans="2:9">
      <c r="B59" s="2"/>
      <c r="C59" s="170"/>
      <c r="D59" s="170"/>
      <c r="E59" s="2"/>
      <c r="F59" s="2"/>
      <c r="G59" s="2"/>
      <c r="H59" s="2"/>
      <c r="I59" s="2"/>
    </row>
    <row r="60" s="138" customFormat="1" spans="2:9">
      <c r="B60" s="2"/>
      <c r="C60" s="170"/>
      <c r="D60" s="170"/>
      <c r="E60" s="2"/>
      <c r="F60" s="2"/>
      <c r="G60" s="2"/>
      <c r="H60" s="2"/>
      <c r="I60" s="2"/>
    </row>
    <row r="61" s="138" customFormat="1" spans="2:9">
      <c r="B61" s="2"/>
      <c r="C61" s="170"/>
      <c r="D61" s="170"/>
      <c r="E61" s="2"/>
      <c r="F61" s="2"/>
      <c r="G61" s="2"/>
      <c r="H61" s="2"/>
      <c r="I61" s="2"/>
    </row>
    <row r="62" s="138" customFormat="1" spans="2:9">
      <c r="B62" s="2"/>
      <c r="C62" s="170"/>
      <c r="D62" s="170"/>
      <c r="E62" s="2"/>
      <c r="F62" s="2"/>
      <c r="G62" s="2"/>
      <c r="H62" s="2"/>
      <c r="I62" s="2"/>
    </row>
    <row r="63" s="138" customFormat="1" spans="2:9">
      <c r="B63" s="2"/>
      <c r="C63" s="170"/>
      <c r="D63" s="170"/>
      <c r="E63" s="2"/>
      <c r="F63" s="2"/>
      <c r="G63" s="2"/>
      <c r="H63" s="2"/>
      <c r="I63" s="2"/>
    </row>
    <row r="64" s="138" customFormat="1" spans="2:9">
      <c r="B64" s="2"/>
      <c r="C64" s="170"/>
      <c r="D64" s="170"/>
      <c r="E64" s="2"/>
      <c r="F64" s="2"/>
      <c r="G64" s="2"/>
      <c r="H64" s="2"/>
      <c r="I64" s="2"/>
    </row>
    <row r="65" s="138" customFormat="1" spans="2:9">
      <c r="B65" s="2"/>
      <c r="C65" s="170"/>
      <c r="D65" s="170"/>
      <c r="E65" s="2"/>
      <c r="F65" s="2"/>
      <c r="G65" s="2"/>
      <c r="H65" s="2"/>
      <c r="I65" s="2"/>
    </row>
    <row r="66" s="138" customFormat="1" spans="2:9">
      <c r="B66" s="2"/>
      <c r="C66" s="170"/>
      <c r="D66" s="170"/>
      <c r="E66" s="2"/>
      <c r="F66" s="2"/>
      <c r="G66" s="2"/>
      <c r="H66" s="2"/>
      <c r="I66" s="2"/>
    </row>
    <row r="67" s="138" customFormat="1" spans="2:5">
      <c r="B67" s="2"/>
      <c r="C67" s="170"/>
      <c r="D67" s="170"/>
      <c r="E67" s="2"/>
    </row>
    <row r="68" s="138" customFormat="1" spans="2:5">
      <c r="B68" s="2"/>
      <c r="C68" s="170"/>
      <c r="D68" s="170"/>
      <c r="E68" s="2"/>
    </row>
    <row r="69" s="138" customFormat="1" spans="2:5">
      <c r="B69" s="2"/>
      <c r="C69" s="170"/>
      <c r="D69" s="170"/>
      <c r="E69" s="2"/>
    </row>
    <row r="70" s="138" customFormat="1" spans="2:5">
      <c r="B70" s="2"/>
      <c r="C70" s="170"/>
      <c r="D70" s="170"/>
      <c r="E70" s="2"/>
    </row>
    <row r="71" s="138" customFormat="1" spans="2:5">
      <c r="B71" s="2"/>
      <c r="C71" s="170"/>
      <c r="D71" s="170"/>
      <c r="E71" s="2"/>
    </row>
    <row r="72" s="138" customFormat="1" spans="2:5">
      <c r="B72" s="2"/>
      <c r="C72" s="170"/>
      <c r="D72" s="170"/>
      <c r="E72" s="2"/>
    </row>
    <row r="73" s="138" customFormat="1" spans="2:5">
      <c r="B73" s="2"/>
      <c r="C73" s="170"/>
      <c r="D73" s="170"/>
      <c r="E73" s="2"/>
    </row>
    <row r="74" s="138" customFormat="1" spans="2:5">
      <c r="B74" s="2"/>
      <c r="C74" s="170"/>
      <c r="D74" s="170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2029年</vt:lpstr>
      <vt:lpstr>2030年</vt:lpstr>
      <vt:lpstr>2031年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2024-12-25T01:54:51Z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