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7FEE80B-3BA7-4E8C-84DE-ED34D7A93A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汇总 (2)" sheetId="16" r:id="rId1"/>
    <sheet name="汇总" sheetId="14" state="hidden" r:id="rId2"/>
    <sheet name="冲压工序费" sheetId="12" r:id="rId3"/>
    <sheet name="待料加工" sheetId="13" r:id="rId4"/>
    <sheet name="Sheet5" sheetId="15" r:id="rId5"/>
    <sheet name="Sheet2" sheetId="7" state="hidden" r:id="rId6"/>
  </sheets>
  <calcPr calcId="191029"/>
</workbook>
</file>

<file path=xl/calcChain.xml><?xml version="1.0" encoding="utf-8"?>
<calcChain xmlns="http://schemas.openxmlformats.org/spreadsheetml/2006/main">
  <c r="J16" i="16" l="1"/>
  <c r="K16" i="16"/>
  <c r="L4" i="16"/>
  <c r="L5" i="16"/>
  <c r="L6" i="16"/>
  <c r="L7" i="16"/>
  <c r="L8" i="16"/>
  <c r="L9" i="16"/>
  <c r="L10" i="16"/>
  <c r="L11" i="16"/>
  <c r="L3" i="16"/>
  <c r="L15" i="16"/>
  <c r="L17" i="16"/>
  <c r="J18" i="16" l="1"/>
  <c r="L18" i="16" s="1"/>
  <c r="L16" i="16"/>
  <c r="J14" i="16"/>
  <c r="L14" i="16" s="1"/>
  <c r="N14" i="16" s="1"/>
  <c r="O14" i="16" s="1"/>
  <c r="J13" i="16"/>
  <c r="L13" i="16" s="1"/>
  <c r="J11" i="16"/>
  <c r="J10" i="16"/>
  <c r="L19" i="16" l="1"/>
  <c r="M18" i="13"/>
  <c r="F18" i="16"/>
  <c r="E18" i="16"/>
  <c r="F17" i="16"/>
  <c r="E17" i="16"/>
  <c r="F16" i="16"/>
  <c r="E16" i="16"/>
  <c r="F15" i="16"/>
  <c r="E15" i="16"/>
  <c r="F14" i="16"/>
  <c r="E14" i="16"/>
  <c r="F13" i="16"/>
  <c r="E13" i="16"/>
  <c r="F11" i="16"/>
  <c r="E11" i="16"/>
  <c r="F10" i="16"/>
  <c r="E10" i="16"/>
  <c r="G10" i="16" s="1"/>
  <c r="K10" i="16" s="1"/>
  <c r="O57" i="13"/>
  <c r="E9" i="16"/>
  <c r="E4" i="16"/>
  <c r="E3" i="16"/>
  <c r="E8" i="16"/>
  <c r="F7" i="16"/>
  <c r="E7" i="16"/>
  <c r="E6" i="16"/>
  <c r="E5" i="16"/>
  <c r="F4" i="16"/>
  <c r="F3" i="16"/>
  <c r="E3" i="14"/>
  <c r="E4" i="14"/>
  <c r="E5" i="14"/>
  <c r="E6" i="14"/>
  <c r="E7" i="14"/>
  <c r="M7" i="14" s="1"/>
  <c r="E8" i="14"/>
  <c r="M8" i="14" s="1"/>
  <c r="E9" i="14"/>
  <c r="T84" i="13"/>
  <c r="O84" i="13"/>
  <c r="Y82" i="13"/>
  <c r="V82" i="13"/>
  <c r="T82" i="13"/>
  <c r="O82" i="13"/>
  <c r="M82" i="13"/>
  <c r="T81" i="13"/>
  <c r="O81" i="13"/>
  <c r="Y79" i="13"/>
  <c r="V79" i="13"/>
  <c r="T79" i="13"/>
  <c r="O79" i="13"/>
  <c r="M79" i="13"/>
  <c r="T78" i="13"/>
  <c r="O78" i="13"/>
  <c r="Y74" i="13"/>
  <c r="V74" i="13"/>
  <c r="T74" i="13"/>
  <c r="O74" i="13"/>
  <c r="M74" i="13"/>
  <c r="T73" i="13"/>
  <c r="O73" i="13"/>
  <c r="Y71" i="13"/>
  <c r="V71" i="13"/>
  <c r="T71" i="13"/>
  <c r="O71" i="13"/>
  <c r="T70" i="13"/>
  <c r="O70" i="13"/>
  <c r="Y67" i="13"/>
  <c r="V67" i="13"/>
  <c r="T67" i="13"/>
  <c r="O67" i="13"/>
  <c r="M67" i="13"/>
  <c r="T66" i="13"/>
  <c r="O66" i="13"/>
  <c r="Y64" i="13"/>
  <c r="V64" i="13"/>
  <c r="T64" i="13"/>
  <c r="O64" i="13"/>
  <c r="M64" i="13"/>
  <c r="T63" i="13"/>
  <c r="O63" i="13"/>
  <c r="Y58" i="13"/>
  <c r="V58" i="13"/>
  <c r="T58" i="13"/>
  <c r="O58" i="13"/>
  <c r="K58" i="13"/>
  <c r="T57" i="13"/>
  <c r="V53" i="13"/>
  <c r="Y53" i="13" s="1"/>
  <c r="T53" i="13"/>
  <c r="O53" i="13"/>
  <c r="K53" i="13"/>
  <c r="T52" i="13"/>
  <c r="T47" i="13"/>
  <c r="R47" i="13"/>
  <c r="T46" i="13"/>
  <c r="R46" i="13"/>
  <c r="M46" i="13"/>
  <c r="O46" i="13" s="1"/>
  <c r="O52" i="13" s="1"/>
  <c r="G46" i="13"/>
  <c r="F46" i="13"/>
  <c r="T45" i="13"/>
  <c r="T40" i="13"/>
  <c r="R40" i="13"/>
  <c r="T39" i="13"/>
  <c r="R39" i="13"/>
  <c r="M39" i="13"/>
  <c r="N39" i="13" s="1"/>
  <c r="N45" i="13" s="1"/>
  <c r="G39" i="13"/>
  <c r="F39" i="13"/>
  <c r="T38" i="13"/>
  <c r="O38" i="13"/>
  <c r="N38" i="13"/>
  <c r="T33" i="13"/>
  <c r="R33" i="13"/>
  <c r="Y32" i="13"/>
  <c r="V32" i="13"/>
  <c r="T32" i="13"/>
  <c r="R32" i="13"/>
  <c r="O32" i="13"/>
  <c r="N32" i="13"/>
  <c r="M32" i="13"/>
  <c r="G32" i="13"/>
  <c r="F32" i="13"/>
  <c r="T31" i="13"/>
  <c r="T27" i="13"/>
  <c r="R27" i="13"/>
  <c r="T26" i="13"/>
  <c r="R26" i="13"/>
  <c r="O26" i="13"/>
  <c r="T25" i="13"/>
  <c r="R25" i="13"/>
  <c r="O25" i="13"/>
  <c r="N25" i="13"/>
  <c r="N31" i="13" s="1"/>
  <c r="M25" i="13"/>
  <c r="T24" i="13"/>
  <c r="T19" i="13"/>
  <c r="R19" i="13"/>
  <c r="T18" i="13"/>
  <c r="R18" i="13"/>
  <c r="T17" i="13"/>
  <c r="O17" i="13"/>
  <c r="N17" i="13"/>
  <c r="T16" i="13"/>
  <c r="T15" i="13"/>
  <c r="R15" i="13"/>
  <c r="T14" i="13"/>
  <c r="R14" i="13"/>
  <c r="T13" i="13"/>
  <c r="R13" i="13"/>
  <c r="T12" i="13"/>
  <c r="Y11" i="13"/>
  <c r="V11" i="13"/>
  <c r="T11" i="13"/>
  <c r="R11" i="13"/>
  <c r="O11" i="13"/>
  <c r="N11" i="13"/>
  <c r="M11" i="13"/>
  <c r="T10" i="13"/>
  <c r="O10" i="13"/>
  <c r="N10" i="13"/>
  <c r="T9" i="13"/>
  <c r="T8" i="13"/>
  <c r="R8" i="13"/>
  <c r="T7" i="13"/>
  <c r="R7" i="13"/>
  <c r="T6" i="13"/>
  <c r="R6" i="13"/>
  <c r="T5" i="13"/>
  <c r="Y4" i="13"/>
  <c r="V4" i="13"/>
  <c r="T4" i="13"/>
  <c r="R4" i="13"/>
  <c r="O4" i="13"/>
  <c r="N4" i="13"/>
  <c r="M4" i="13"/>
  <c r="M9" i="14"/>
  <c r="L9" i="14"/>
  <c r="F9" i="14"/>
  <c r="L8" i="14"/>
  <c r="F8" i="14"/>
  <c r="L7" i="14"/>
  <c r="G7" i="14"/>
  <c r="F7" i="14"/>
  <c r="H7" i="14" s="1"/>
  <c r="K7" i="14" s="1"/>
  <c r="M6" i="14"/>
  <c r="L6" i="14"/>
  <c r="F6" i="14"/>
  <c r="M5" i="14"/>
  <c r="L5" i="14"/>
  <c r="F5" i="14"/>
  <c r="M4" i="14"/>
  <c r="L4" i="14"/>
  <c r="G4" i="14"/>
  <c r="F4" i="14"/>
  <c r="H4" i="14" s="1"/>
  <c r="K4" i="14" s="1"/>
  <c r="M3" i="14"/>
  <c r="L3" i="14"/>
  <c r="G3" i="14"/>
  <c r="F3" i="14"/>
  <c r="L12" i="16" l="1"/>
  <c r="G14" i="16"/>
  <c r="K14" i="16" s="1"/>
  <c r="G18" i="16"/>
  <c r="K18" i="16" s="1"/>
  <c r="G11" i="16"/>
  <c r="K11" i="16" s="1"/>
  <c r="G16" i="16"/>
  <c r="G17" i="16"/>
  <c r="K17" i="16" s="1"/>
  <c r="G13" i="16"/>
  <c r="K13" i="16" s="1"/>
  <c r="G15" i="16"/>
  <c r="K15" i="16" s="1"/>
  <c r="V46" i="13"/>
  <c r="Y46" i="13" s="1"/>
  <c r="G9" i="14"/>
  <c r="N46" i="13"/>
  <c r="N52" i="13" s="1"/>
  <c r="O31" i="13"/>
  <c r="O39" i="13"/>
  <c r="O45" i="13" s="1"/>
  <c r="V25" i="13"/>
  <c r="Y25" i="13" s="1"/>
  <c r="F6" i="16"/>
  <c r="G6" i="16" s="1"/>
  <c r="K6" i="16" s="1"/>
  <c r="G6" i="14"/>
  <c r="H6" i="14" s="1"/>
  <c r="K6" i="14" s="1"/>
  <c r="F9" i="16"/>
  <c r="G3" i="16"/>
  <c r="K3" i="16" s="1"/>
  <c r="G4" i="16"/>
  <c r="K4" i="16" s="1"/>
  <c r="G7" i="16"/>
  <c r="K7" i="16" s="1"/>
  <c r="L10" i="14"/>
  <c r="N10" i="14" s="1"/>
  <c r="M10" i="14"/>
  <c r="H9" i="14"/>
  <c r="K9" i="14" s="1"/>
  <c r="H3" i="14"/>
  <c r="K3" i="14" s="1"/>
  <c r="O18" i="13"/>
  <c r="O24" i="13" s="1"/>
  <c r="N18" i="13"/>
  <c r="N24" i="13" s="1"/>
  <c r="K19" i="16" l="1"/>
  <c r="G9" i="16"/>
  <c r="K9" i="16" s="1"/>
  <c r="V39" i="13"/>
  <c r="Y39" i="13" s="1"/>
  <c r="F8" i="16"/>
  <c r="G8" i="16" s="1"/>
  <c r="K8" i="16" s="1"/>
  <c r="G8" i="14"/>
  <c r="H8" i="14" s="1"/>
  <c r="K8" i="14" s="1"/>
  <c r="K10" i="14" s="1"/>
  <c r="F5" i="16"/>
  <c r="G5" i="16" s="1"/>
  <c r="K5" i="16" s="1"/>
  <c r="K12" i="16" s="1"/>
  <c r="G5" i="14"/>
  <c r="H5" i="14" s="1"/>
  <c r="K5" i="14" s="1"/>
  <c r="P6" i="14" s="1"/>
  <c r="V18" i="13"/>
  <c r="Y18" i="13" s="1"/>
</calcChain>
</file>

<file path=xl/sharedStrings.xml><?xml version="1.0" encoding="utf-8"?>
<sst xmlns="http://schemas.openxmlformats.org/spreadsheetml/2006/main" count="491" uniqueCount="182">
  <si>
    <t>序号</t>
  </si>
  <si>
    <t>QAD号</t>
  </si>
  <si>
    <t>产品名称</t>
  </si>
  <si>
    <t>材料规格</t>
  </si>
  <si>
    <t>包工包料费用（未税）</t>
  </si>
  <si>
    <t>带料加工费用（未税）</t>
  </si>
  <si>
    <t>月均用量</t>
  </si>
  <si>
    <t>加工费</t>
  </si>
  <si>
    <t>废料收益</t>
  </si>
  <si>
    <t>结算加工费</t>
  </si>
  <si>
    <t>调整后单价</t>
  </si>
  <si>
    <t>调整后加工费</t>
  </si>
  <si>
    <t>包工包料总费用</t>
  </si>
  <si>
    <t>SCS0004402</t>
  </si>
  <si>
    <t>B40左侧地锁支架</t>
  </si>
  <si>
    <t>ST12*1</t>
  </si>
  <si>
    <t>SCS0004394</t>
  </si>
  <si>
    <t>B40右侧地锁支架</t>
  </si>
  <si>
    <t>SHT0012113</t>
  </si>
  <si>
    <t>副边罩壳固定钣金</t>
  </si>
  <si>
    <t>440*2</t>
  </si>
  <si>
    <t>SHT0001972</t>
  </si>
  <si>
    <t>罩壳前固定片</t>
  </si>
  <si>
    <t>590*2</t>
  </si>
  <si>
    <t>SHT0011978</t>
  </si>
  <si>
    <t>调角器手柄钣金左</t>
  </si>
  <si>
    <t>440*2.5</t>
  </si>
  <si>
    <t>SHT0010721</t>
  </si>
  <si>
    <t>调角器左手柄</t>
  </si>
  <si>
    <t>590*2.5</t>
  </si>
  <si>
    <t>SHT0010720</t>
  </si>
  <si>
    <t>调角器右手柄</t>
  </si>
  <si>
    <t>类别</t>
  </si>
  <si>
    <t>冲压机</t>
  </si>
  <si>
    <t>工序费</t>
  </si>
  <si>
    <t>冲床</t>
  </si>
  <si>
    <t>16T</t>
  </si>
  <si>
    <t>25T</t>
  </si>
  <si>
    <t>40T</t>
  </si>
  <si>
    <t>45T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</si>
  <si>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</si>
  <si>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</si>
  <si>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</si>
  <si>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</si>
  <si>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</si>
  <si>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</si>
  <si>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</si>
  <si>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</si>
  <si>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</si>
  <si>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</si>
  <si>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315T</t>
  </si>
  <si>
    <t>350T</t>
  </si>
  <si>
    <t>400T</t>
  </si>
  <si>
    <t>液压机</t>
  </si>
  <si>
    <t>500T</t>
  </si>
  <si>
    <t>焊接</t>
  </si>
  <si>
    <t>1CM</t>
  </si>
  <si>
    <t>焊螺母</t>
  </si>
  <si>
    <t>1个</t>
  </si>
  <si>
    <t>泊头捷润供货冲压件目标价格核算明细表</t>
  </si>
  <si>
    <t>序</t>
  </si>
  <si>
    <t>名称</t>
  </si>
  <si>
    <t>图片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</si>
  <si>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</si>
  <si>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</si>
  <si>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</si>
  <si>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</si>
  <si>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</si>
  <si>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</si>
  <si>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</si>
  <si>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未税模具费</t>
  </si>
  <si>
    <t>摊销件数</t>
  </si>
  <si>
    <t>含模摊未税单价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</si>
  <si>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</si>
  <si>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</si>
  <si>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</si>
  <si>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</si>
  <si>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</si>
  <si>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</si>
  <si>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</si>
  <si>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</si>
  <si>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</si>
  <si>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</si>
  <si>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出件数</t>
  </si>
  <si>
    <t>合计</t>
  </si>
  <si>
    <t>ST12</t>
  </si>
  <si>
    <t>落料</t>
  </si>
  <si>
    <t>成型</t>
  </si>
  <si>
    <t>200T油压机</t>
  </si>
  <si>
    <t>打字</t>
  </si>
  <si>
    <t>切边冲孔</t>
  </si>
  <si>
    <t>冲孔</t>
  </si>
  <si>
    <t>切断</t>
  </si>
  <si>
    <t>合计：</t>
  </si>
  <si>
    <t>加工费合计：</t>
  </si>
  <si>
    <t>SAPH440</t>
  </si>
  <si>
    <t>SPFH590</t>
  </si>
  <si>
    <t>不含税单价-加工费（减废料收益）</t>
  </si>
  <si>
    <t>备注</t>
  </si>
  <si>
    <t>祥云</t>
  </si>
  <si>
    <t>取件困难模具不退料结构问题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</si>
  <si>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HT0001899</t>
    </r>
  </si>
  <si>
    <t>滑块托架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</si>
  <si>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CS0007566</t>
    </r>
  </si>
  <si>
    <t>B40扣手底座支架</t>
  </si>
  <si>
    <t>SHT0015924</t>
  </si>
  <si>
    <t>安全带圈收器固定板</t>
  </si>
  <si>
    <t>赵合义</t>
  </si>
  <si>
    <t>压型</t>
  </si>
  <si>
    <t>SHT0014594</t>
  </si>
  <si>
    <r>
      <rPr>
        <sz val="10"/>
        <color rgb="FF000000"/>
        <rFont val="宋体"/>
        <family val="3"/>
        <charset val="134"/>
      </rPr>
      <t>前罩壳固定支架</t>
    </r>
    <r>
      <rPr>
        <sz val="10"/>
        <color rgb="FF000000"/>
        <rFont val="Microsoft Sans Serif"/>
        <family val="2"/>
      </rPr>
      <t>L</t>
    </r>
  </si>
  <si>
    <t>下框前梁防尘罩固定片</t>
  </si>
  <si>
    <t>SHT0014564</t>
  </si>
  <si>
    <t>调高机构支架</t>
  </si>
  <si>
    <t>SLT0002826</t>
  </si>
  <si>
    <t>下板（左）</t>
  </si>
  <si>
    <t>SLT0002828</t>
  </si>
  <si>
    <t>上板2828</t>
  </si>
  <si>
    <t>第二部分钣金件价格汇总</t>
  </si>
  <si>
    <t>项目</t>
  </si>
  <si>
    <t>图号</t>
  </si>
  <si>
    <t>零件名称</t>
  </si>
  <si>
    <t>数量</t>
  </si>
  <si>
    <t>厂家</t>
  </si>
  <si>
    <t>初始报价</t>
  </si>
  <si>
    <t>商定报价</t>
  </si>
  <si>
    <t>模具总费用</t>
  </si>
  <si>
    <t>模摊方式</t>
  </si>
  <si>
    <t>单件报价</t>
  </si>
  <si>
    <t>模摊费</t>
  </si>
  <si>
    <t>含模摊价</t>
  </si>
  <si>
    <t>9月16日轻卡减震新增</t>
  </si>
  <si>
    <t>SLT0010539</t>
  </si>
  <si>
    <t>减震器上盖板</t>
  </si>
  <si>
    <t>SPFH590 /T=3.0</t>
  </si>
  <si>
    <t>南皮利达</t>
  </si>
  <si>
    <t>预付30%，剩余70%摊销10万件产品</t>
  </si>
  <si>
    <t>SLT0010545</t>
  </si>
  <si>
    <t>减震器下底板</t>
  </si>
  <si>
    <t>统帅轻卡1880项目</t>
  </si>
  <si>
    <t>SLT0010599</t>
  </si>
  <si>
    <t>副驾靠背左侧装车钣金焊接总成</t>
  </si>
  <si>
    <t>ASSY-
QStE500 2.5</t>
  </si>
  <si>
    <t>文安恒德</t>
  </si>
  <si>
    <t>100%摊销10万件产品</t>
  </si>
  <si>
    <t>平台化-轻卡减震座椅</t>
  </si>
  <si>
    <t>SLT0010230</t>
  </si>
  <si>
    <t>驾驶员座垫右侧安装板总成</t>
  </si>
  <si>
    <t>SLT0010222</t>
  </si>
  <si>
    <t>驾驶员左侧调角器下连接板焊接总成</t>
  </si>
  <si>
    <t>ASSY-
QStE500 3.5</t>
  </si>
  <si>
    <t>SLT0010686</t>
  </si>
  <si>
    <t>驾驶员座垫右侧安装板</t>
  </si>
  <si>
    <t>QStE500 2.5</t>
  </si>
  <si>
    <t>SLT0010540</t>
  </si>
  <si>
    <t>滚轮下滑槽</t>
  </si>
  <si>
    <t>SAPH440 /T=3.0</t>
  </si>
  <si>
    <t>航天宏达</t>
  </si>
  <si>
    <t>SLT0010557</t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</si>
  <si>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</si>
  <si>
    <t>SPFH590/T=6.0</t>
  </si>
  <si>
    <t>SLT0010556</t>
  </si>
  <si>
    <t>内绞架支撑板组件</t>
  </si>
  <si>
    <t>SLT0010564</t>
  </si>
  <si>
    <t>滚轮上滑槽</t>
  </si>
  <si>
    <t>厂家</t>
    <phoneticPr fontId="27" type="noConversion"/>
  </si>
  <si>
    <t>黄骅祥云</t>
    <phoneticPr fontId="27" type="noConversion"/>
  </si>
  <si>
    <t>SCS0007566</t>
  </si>
  <si>
    <t>前罩壳固定支架L</t>
  </si>
  <si>
    <t>SAPH440*2.0</t>
    <phoneticPr fontId="27" type="noConversion"/>
  </si>
  <si>
    <t>590*2.0</t>
    <phoneticPr fontId="27" type="noConversion"/>
  </si>
  <si>
    <t>SAPH440*2.5</t>
    <phoneticPr fontId="27" type="noConversion"/>
  </si>
  <si>
    <t>SAPH440*4</t>
    <phoneticPr fontId="27" type="noConversion"/>
  </si>
  <si>
    <t>下框前梁防尘罩固定片</t>
    <phoneticPr fontId="27" type="noConversion"/>
  </si>
  <si>
    <t>无码</t>
    <phoneticPr fontId="27" type="noConversion"/>
  </si>
  <si>
    <t>月均用量</t>
    <phoneticPr fontId="27" type="noConversion"/>
  </si>
  <si>
    <t>锁定价格</t>
    <phoneticPr fontId="27" type="noConversion"/>
  </si>
  <si>
    <t>SHT0001899</t>
    <phoneticPr fontId="27" type="noConversion"/>
  </si>
  <si>
    <t>黄骅市宏盛金属制品有限公司</t>
    <phoneticPr fontId="27" type="noConversion"/>
  </si>
  <si>
    <t>锁定后加工费</t>
    <phoneticPr fontId="27" type="noConversion"/>
  </si>
  <si>
    <t>SHT0014565</t>
    <phoneticPr fontId="27" type="noConversion"/>
  </si>
  <si>
    <t>阻尼调节机构支架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</si>
</sst>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_ "/>
    <numFmt numFmtId="177" formatCode="0_);[Red]\(0\)"/>
    <numFmt numFmtId="178" formatCode="0.00_);[Red]\(0.00\)"/>
    <numFmt numFmtId="179" formatCode="0.0000_);[Red]\(0.0000\)"/>
    <numFmt numFmtId="180" formatCode="0.0_);[Red]\(0.0\)"/>
    <numFmt numFmtId="181" formatCode="0.000_);[Red]\(0.000\)"/>
    <numFmt numFmtId="182" formatCode="0.0000_ "/>
    <numFmt numFmtId="183" formatCode="0.000_ "/>
    <numFmt numFmtId="184" formatCode="0_ "/>
    <numFmt numFmtId="185" formatCode="##,###,##0.0########"/>
    <numFmt numFmtId="186" formatCode="0.0000"/>
  </numFmts>
  <fonts count="2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trike/>
      <sz val="10"/>
      <name val="宋体"/>
      <family val="3"/>
      <charset val="134"/>
    </font>
    <font>
      <strike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trike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FF"/>
      <name val="Microsoft Sans Serif"/>
      <family val="2"/>
    </font>
    <font>
      <sz val="10"/>
      <color rgb="FF000000"/>
      <name val="宋体"/>
      <family val="3"/>
      <charset val="134"/>
    </font>
    <font>
      <sz val="10"/>
      <color rgb="FF000000"/>
      <name val="Microsoft Sans Serif"/>
      <family val="2"/>
    </font>
    <font>
      <b/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2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</cellStyleXfs>
  <cellXfs count="186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9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2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49" fontId="5" fillId="0" borderId="2" xfId="4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1" fillId="0" borderId="0" xfId="4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  <xf numFmtId="0" fontId="1" fillId="0" borderId="3" xfId="4" applyBorder="1" applyAlignment="1">
      <alignment horizontal="center" vertical="center"/>
    </xf>
    <xf numFmtId="0" fontId="1" fillId="0" borderId="2" xfId="4" applyBorder="1" applyAlignment="1">
      <alignment horizontal="center" vertical="center" wrapText="1" shrinkToFit="1"/>
    </xf>
    <xf numFmtId="0" fontId="1" fillId="0" borderId="4" xfId="4" applyBorder="1" applyAlignment="1">
      <alignment horizontal="center" vertical="center"/>
    </xf>
    <xf numFmtId="0" fontId="9" fillId="0" borderId="2" xfId="4" applyFont="1" applyBorder="1" applyAlignment="1">
      <alignment vertical="center" wrapText="1"/>
    </xf>
    <xf numFmtId="180" fontId="10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" applyFont="1" applyBorder="1" applyAlignment="1">
      <alignment vertical="center" wrapText="1"/>
    </xf>
    <xf numFmtId="0" fontId="12" fillId="0" borderId="2" xfId="4" applyFont="1" applyBorder="1" applyAlignment="1">
      <alignment vertical="center" wrapText="1"/>
    </xf>
    <xf numFmtId="0" fontId="12" fillId="0" borderId="2" xfId="4" applyFont="1" applyBorder="1" applyAlignment="1">
      <alignment horizontal="center" vertical="center" wrapText="1"/>
    </xf>
    <xf numFmtId="177" fontId="10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8" fontId="1" fillId="0" borderId="3" xfId="4" applyNumberFormat="1" applyBorder="1" applyAlignment="1">
      <alignment horizontal="center" vertical="center"/>
    </xf>
    <xf numFmtId="181" fontId="1" fillId="0" borderId="3" xfId="4" applyNumberFormat="1" applyBorder="1" applyAlignment="1">
      <alignment horizontal="center" vertical="center" shrinkToFit="1"/>
    </xf>
    <xf numFmtId="178" fontId="9" fillId="0" borderId="2" xfId="7" applyNumberFormat="1" applyFont="1" applyBorder="1">
      <alignment vertical="center"/>
    </xf>
    <xf numFmtId="178" fontId="9" fillId="0" borderId="2" xfId="7" applyNumberFormat="1" applyFont="1" applyBorder="1" applyAlignment="1">
      <alignment horizontal="center" vertical="center"/>
    </xf>
    <xf numFmtId="181" fontId="9" fillId="0" borderId="2" xfId="7" applyNumberFormat="1" applyFont="1" applyBorder="1">
      <alignment vertical="center"/>
    </xf>
    <xf numFmtId="181" fontId="9" fillId="0" borderId="2" xfId="4" applyNumberFormat="1" applyFont="1" applyBorder="1" applyAlignment="1">
      <alignment vertical="center" wrapText="1"/>
    </xf>
    <xf numFmtId="181" fontId="9" fillId="0" borderId="2" xfId="2" applyNumberFormat="1" applyFont="1" applyFill="1" applyBorder="1" applyAlignment="1" applyProtection="1">
      <alignment vertical="center" wrapText="1"/>
      <protection locked="0"/>
    </xf>
    <xf numFmtId="176" fontId="9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>
      <alignment vertical="center"/>
    </xf>
    <xf numFmtId="178" fontId="15" fillId="0" borderId="3" xfId="4" applyNumberFormat="1" applyFont="1" applyBorder="1" applyAlignment="1">
      <alignment horizontal="center" vertical="center" wrapText="1"/>
    </xf>
    <xf numFmtId="178" fontId="11" fillId="0" borderId="2" xfId="7" applyNumberFormat="1" applyFont="1" applyBorder="1" applyAlignment="1">
      <alignment horizontal="center" vertical="center"/>
    </xf>
    <xf numFmtId="182" fontId="11" fillId="0" borderId="2" xfId="7" applyNumberFormat="1" applyFont="1" applyBorder="1">
      <alignment vertical="center"/>
    </xf>
    <xf numFmtId="182" fontId="11" fillId="0" borderId="2" xfId="2" applyNumberFormat="1" applyFont="1" applyFill="1" applyBorder="1" applyAlignment="1" applyProtection="1">
      <alignment vertical="center" wrapText="1"/>
      <protection locked="0"/>
    </xf>
    <xf numFmtId="179" fontId="16" fillId="4" borderId="3" xfId="4" applyNumberFormat="1" applyFont="1" applyFill="1" applyBorder="1" applyAlignment="1">
      <alignment horizontal="center" vertical="center" wrapText="1"/>
    </xf>
    <xf numFmtId="178" fontId="11" fillId="0" borderId="2" xfId="7" applyNumberFormat="1" applyFont="1" applyBorder="1">
      <alignment vertical="center"/>
    </xf>
    <xf numFmtId="176" fontId="1" fillId="3" borderId="2" xfId="4" applyNumberFormat="1" applyFill="1" applyBorder="1" applyAlignment="1">
      <alignment horizontal="center" vertical="center"/>
    </xf>
    <xf numFmtId="181" fontId="9" fillId="4" borderId="2" xfId="4" applyNumberFormat="1" applyFont="1" applyFill="1" applyBorder="1" applyAlignment="1">
      <alignment vertical="center" wrapText="1"/>
    </xf>
    <xf numFmtId="178" fontId="0" fillId="0" borderId="2" xfId="0" applyNumberForma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8" fontId="1" fillId="0" borderId="3" xfId="4" applyNumberFormat="1" applyBorder="1" applyAlignment="1">
      <alignment horizontal="center" vertical="center" wrapText="1"/>
    </xf>
    <xf numFmtId="178" fontId="1" fillId="0" borderId="3" xfId="4" applyNumberForma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178" fontId="1" fillId="0" borderId="2" xfId="4" applyNumberFormat="1" applyBorder="1">
      <alignment vertical="center"/>
    </xf>
    <xf numFmtId="0" fontId="1" fillId="0" borderId="2" xfId="4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178" fontId="1" fillId="5" borderId="2" xfId="4" applyNumberFormat="1" applyFill="1" applyBorder="1">
      <alignment vertical="center"/>
    </xf>
    <xf numFmtId="178" fontId="1" fillId="3" borderId="2" xfId="4" applyNumberFormat="1" applyFill="1" applyBorder="1" applyAlignment="1">
      <alignment horizontal="center" vertical="center"/>
    </xf>
    <xf numFmtId="0" fontId="1" fillId="0" borderId="0" xfId="4" applyAlignment="1">
      <alignment horizontal="center" vertical="center"/>
    </xf>
    <xf numFmtId="9" fontId="1" fillId="0" borderId="0" xfId="1" applyFont="1">
      <alignment vertical="center"/>
    </xf>
    <xf numFmtId="10" fontId="1" fillId="0" borderId="0" xfId="1" applyNumberFormat="1" applyFont="1">
      <alignment vertical="center"/>
    </xf>
    <xf numFmtId="185" fontId="21" fillId="0" borderId="2" xfId="0" applyNumberFormat="1" applyFont="1" applyBorder="1" applyAlignment="1">
      <alignment horizontal="center" vertical="center"/>
    </xf>
    <xf numFmtId="181" fontId="9" fillId="5" borderId="2" xfId="7" applyNumberFormat="1" applyFont="1" applyFill="1" applyBorder="1">
      <alignment vertical="center"/>
    </xf>
    <xf numFmtId="0" fontId="1" fillId="0" borderId="0" xfId="6" applyAlignment="1">
      <alignment horizontal="center" vertical="center"/>
    </xf>
    <xf numFmtId="0" fontId="1" fillId="0" borderId="0" xfId="6">
      <alignment vertical="center"/>
    </xf>
    <xf numFmtId="0" fontId="22" fillId="0" borderId="2" xfId="6" applyFont="1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176" fontId="10" fillId="3" borderId="2" xfId="6" applyNumberFormat="1" applyFont="1" applyFill="1" applyBorder="1" applyAlignment="1">
      <alignment horizontal="center" vertical="center"/>
    </xf>
    <xf numFmtId="0" fontId="10" fillId="3" borderId="2" xfId="6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86" fontId="0" fillId="0" borderId="2" xfId="0" applyNumberFormat="1" applyBorder="1">
      <alignment vertical="center"/>
    </xf>
    <xf numFmtId="183" fontId="0" fillId="0" borderId="2" xfId="0" applyNumberFormat="1" applyBorder="1">
      <alignment vertical="center"/>
    </xf>
    <xf numFmtId="2" fontId="0" fillId="0" borderId="2" xfId="0" applyNumberFormat="1" applyBorder="1">
      <alignment vertical="center"/>
    </xf>
    <xf numFmtId="0" fontId="1" fillId="0" borderId="2" xfId="0" applyFont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>
      <alignment vertical="center"/>
    </xf>
    <xf numFmtId="183" fontId="0" fillId="5" borderId="2" xfId="0" applyNumberFormat="1" applyFill="1" applyBorder="1">
      <alignment vertical="center"/>
    </xf>
    <xf numFmtId="1" fontId="0" fillId="0" borderId="2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2" xfId="0" applyFont="1" applyBorder="1">
      <alignment vertical="center"/>
    </xf>
    <xf numFmtId="179" fontId="16" fillId="0" borderId="3" xfId="4" applyNumberFormat="1" applyFont="1" applyBorder="1" applyAlignment="1">
      <alignment horizontal="center" vertical="center" wrapText="1"/>
    </xf>
    <xf numFmtId="183" fontId="9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0" fillId="0" borderId="12" xfId="0" applyNumberFormat="1" applyBorder="1">
      <alignment vertical="center"/>
    </xf>
    <xf numFmtId="0" fontId="0" fillId="3" borderId="0" xfId="0" applyFill="1">
      <alignment vertical="center"/>
    </xf>
    <xf numFmtId="178" fontId="0" fillId="3" borderId="2" xfId="0" applyNumberForma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" fillId="3" borderId="2" xfId="4" applyFill="1" applyBorder="1" applyAlignment="1">
      <alignment horizontal="center" vertical="center"/>
    </xf>
    <xf numFmtId="182" fontId="9" fillId="5" borderId="2" xfId="7" applyNumberFormat="1" applyFont="1" applyFill="1" applyBorder="1">
      <alignment vertical="center"/>
    </xf>
    <xf numFmtId="0" fontId="9" fillId="5" borderId="2" xfId="4" applyFont="1" applyFill="1" applyBorder="1" applyAlignment="1">
      <alignment vertical="center" wrapText="1"/>
    </xf>
    <xf numFmtId="182" fontId="9" fillId="5" borderId="2" xfId="2" applyNumberFormat="1" applyFont="1" applyFill="1" applyBorder="1" applyAlignment="1" applyProtection="1">
      <alignment vertical="center" wrapText="1"/>
      <protection locked="0"/>
    </xf>
    <xf numFmtId="181" fontId="9" fillId="5" borderId="2" xfId="4" applyNumberFormat="1" applyFont="1" applyFill="1" applyBorder="1" applyAlignment="1">
      <alignment vertical="center" wrapText="1"/>
    </xf>
    <xf numFmtId="181" fontId="9" fillId="5" borderId="2" xfId="2" applyNumberFormat="1" applyFont="1" applyFill="1" applyBorder="1" applyAlignment="1" applyProtection="1">
      <alignment vertical="center" wrapText="1"/>
      <protection locked="0"/>
    </xf>
    <xf numFmtId="1" fontId="1" fillId="0" borderId="12" xfId="0" applyNumberFormat="1" applyFont="1" applyBorder="1">
      <alignment vertical="center"/>
    </xf>
    <xf numFmtId="1" fontId="0" fillId="5" borderId="12" xfId="0" applyNumberFormat="1" applyFill="1" applyBorder="1">
      <alignment vertical="center"/>
    </xf>
    <xf numFmtId="186" fontId="0" fillId="0" borderId="12" xfId="0" applyNumberFormat="1" applyBorder="1">
      <alignment vertical="center"/>
    </xf>
    <xf numFmtId="182" fontId="0" fillId="3" borderId="2" xfId="0" applyNumberForma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1" fillId="2" borderId="2" xfId="0" applyFont="1" applyFill="1" applyBorder="1">
      <alignment vertical="center"/>
    </xf>
    <xf numFmtId="183" fontId="0" fillId="2" borderId="2" xfId="0" applyNumberFormat="1" applyFill="1" applyBorder="1">
      <alignment vertical="center"/>
    </xf>
    <xf numFmtId="182" fontId="0" fillId="2" borderId="2" xfId="0" applyNumberFormat="1" applyFill="1" applyBorder="1">
      <alignment vertical="center"/>
    </xf>
    <xf numFmtId="1" fontId="0" fillId="2" borderId="2" xfId="0" applyNumberFormat="1" applyFill="1" applyBorder="1">
      <alignment vertical="center"/>
    </xf>
    <xf numFmtId="0" fontId="0" fillId="2" borderId="0" xfId="0" applyFill="1">
      <alignment vertical="center"/>
    </xf>
    <xf numFmtId="1" fontId="0" fillId="2" borderId="0" xfId="0" applyNumberFormat="1" applyFill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1" fillId="0" borderId="2" xfId="4" applyBorder="1" applyAlignment="1">
      <alignment horizontal="center" vertical="center" wrapText="1" shrinkToFit="1"/>
    </xf>
    <xf numFmtId="178" fontId="1" fillId="0" borderId="6" xfId="4" applyNumberFormat="1" applyBorder="1" applyAlignment="1">
      <alignment horizontal="center" vertical="center"/>
    </xf>
    <xf numFmtId="178" fontId="1" fillId="0" borderId="7" xfId="4" applyNumberFormat="1" applyBorder="1" applyAlignment="1">
      <alignment horizontal="center" vertical="center"/>
    </xf>
    <xf numFmtId="181" fontId="1" fillId="0" borderId="6" xfId="4" applyNumberFormat="1" applyBorder="1" applyAlignment="1">
      <alignment horizontal="center" vertical="center" shrinkToFit="1"/>
    </xf>
    <xf numFmtId="181" fontId="1" fillId="0" borderId="8" xfId="4" applyNumberFormat="1" applyBorder="1" applyAlignment="1">
      <alignment horizontal="center" vertical="center" shrinkToFit="1"/>
    </xf>
    <xf numFmtId="181" fontId="1" fillId="0" borderId="7" xfId="4" applyNumberFormat="1" applyBorder="1" applyAlignment="1">
      <alignment horizontal="center" vertical="center" shrinkToFit="1"/>
    </xf>
    <xf numFmtId="178" fontId="1" fillId="0" borderId="8" xfId="4" applyNumberFormat="1" applyBorder="1" applyAlignment="1">
      <alignment horizontal="center" vertical="center"/>
    </xf>
    <xf numFmtId="0" fontId="1" fillId="0" borderId="2" xfId="4" applyBorder="1" applyAlignment="1">
      <alignment horizontal="center" vertical="center" wrapText="1"/>
    </xf>
    <xf numFmtId="176" fontId="1" fillId="3" borderId="2" xfId="4" applyNumberFormat="1" applyFill="1" applyBorder="1" applyAlignment="1">
      <alignment horizontal="center" vertical="center"/>
    </xf>
    <xf numFmtId="0" fontId="1" fillId="3" borderId="2" xfId="4" applyFill="1" applyBorder="1" applyAlignment="1">
      <alignment horizontal="center" vertical="center" wrapText="1"/>
    </xf>
    <xf numFmtId="0" fontId="1" fillId="0" borderId="3" xfId="4" applyBorder="1" applyAlignment="1">
      <alignment horizontal="center" vertical="center"/>
    </xf>
    <xf numFmtId="0" fontId="1" fillId="0" borderId="4" xfId="4" applyBorder="1" applyAlignment="1">
      <alignment horizontal="center" vertical="center"/>
    </xf>
    <xf numFmtId="0" fontId="1" fillId="0" borderId="3" xfId="4" applyBorder="1" applyAlignment="1">
      <alignment horizontal="center" vertical="center" shrinkToFit="1"/>
    </xf>
    <xf numFmtId="0" fontId="1" fillId="0" borderId="4" xfId="4" applyBorder="1" applyAlignment="1">
      <alignment horizontal="center" vertical="center" shrinkToFi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178" fontId="1" fillId="0" borderId="3" xfId="4" applyNumberFormat="1" applyBorder="1" applyAlignment="1">
      <alignment horizontal="center" vertical="center"/>
    </xf>
    <xf numFmtId="178" fontId="1" fillId="0" borderId="5" xfId="4" applyNumberFormat="1" applyBorder="1" applyAlignment="1">
      <alignment horizontal="center" vertical="center"/>
    </xf>
    <xf numFmtId="178" fontId="1" fillId="0" borderId="4" xfId="4" applyNumberFormat="1" applyBorder="1" applyAlignment="1">
      <alignment horizontal="center" vertical="center"/>
    </xf>
    <xf numFmtId="9" fontId="18" fillId="0" borderId="2" xfId="3" applyFont="1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0" borderId="3" xfId="4" applyBorder="1" applyAlignment="1">
      <alignment horizontal="center" vertical="center" wrapText="1"/>
    </xf>
    <xf numFmtId="0" fontId="1" fillId="0" borderId="5" xfId="4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" fillId="0" borderId="5" xfId="4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84" fontId="18" fillId="0" borderId="2" xfId="4" applyNumberFormat="1" applyFont="1" applyBorder="1" applyAlignment="1">
      <alignment horizontal="center" vertical="center"/>
    </xf>
    <xf numFmtId="179" fontId="1" fillId="0" borderId="3" xfId="4" applyNumberFormat="1" applyBorder="1" applyAlignment="1">
      <alignment horizontal="center" vertical="center" wrapText="1"/>
    </xf>
    <xf numFmtId="179" fontId="1" fillId="0" borderId="5" xfId="4" applyNumberFormat="1" applyBorder="1" applyAlignment="1">
      <alignment horizontal="center" vertical="center" wrapText="1"/>
    </xf>
    <xf numFmtId="179" fontId="18" fillId="0" borderId="3" xfId="4" applyNumberFormat="1" applyFont="1" applyBorder="1" applyAlignment="1">
      <alignment horizontal="center" vertical="center"/>
    </xf>
    <xf numFmtId="179" fontId="18" fillId="0" borderId="5" xfId="4" applyNumberFormat="1" applyFont="1" applyBorder="1" applyAlignment="1">
      <alignment horizontal="center" vertical="center"/>
    </xf>
    <xf numFmtId="179" fontId="18" fillId="0" borderId="4" xfId="4" applyNumberFormat="1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84" fontId="18" fillId="0" borderId="3" xfId="4" applyNumberFormat="1" applyFont="1" applyBorder="1" applyAlignment="1">
      <alignment horizontal="center" vertical="center"/>
    </xf>
    <xf numFmtId="184" fontId="18" fillId="0" borderId="5" xfId="4" applyNumberFormat="1" applyFont="1" applyBorder="1" applyAlignment="1">
      <alignment horizontal="center" vertical="center"/>
    </xf>
    <xf numFmtId="184" fontId="18" fillId="0" borderId="4" xfId="4" applyNumberFormat="1" applyFont="1" applyBorder="1" applyAlignment="1">
      <alignment horizontal="center" vertical="center"/>
    </xf>
    <xf numFmtId="0" fontId="1" fillId="0" borderId="4" xfId="4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1">
    <cellStyle name="BOM_Level_Below3" xfId="2" xr:uid="{00000000-0005-0000-0000-000031000000}"/>
    <cellStyle name="百分比" xfId="1" builtinId="5"/>
    <cellStyle name="百分比 2" xfId="3" xr:uid="{00000000-0005-0000-0000-000032000000}"/>
    <cellStyle name="常规" xfId="0" builtinId="0"/>
    <cellStyle name="常规 2" xfId="4" xr:uid="{00000000-0005-0000-0000-000033000000}"/>
    <cellStyle name="常规 2 10" xfId="5" xr:uid="{00000000-0005-0000-0000-000034000000}"/>
    <cellStyle name="常规 2 3" xfId="6" xr:uid="{00000000-0005-0000-0000-000035000000}"/>
    <cellStyle name="常规 3" xfId="7" xr:uid="{00000000-0005-0000-0000-000036000000}"/>
    <cellStyle name="常规 6" xfId="8" xr:uid="{00000000-0005-0000-0000-000037000000}"/>
    <cellStyle name="样式 1" xfId="9" xr:uid="{00000000-0005-0000-0000-000038000000}"/>
    <cellStyle name="样式 1 5 2" xfId="10" xr:uid="{00000000-0005-0000-0000-000039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</xdr:colOff>
      <xdr:row>33</xdr:row>
      <xdr:rowOff>60960</xdr:rowOff>
    </xdr:from>
    <xdr:to>
      <xdr:col>3</xdr:col>
      <xdr:colOff>533340</xdr:colOff>
      <xdr:row>35</xdr:row>
      <xdr:rowOff>42441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345" y="6002655"/>
          <a:ext cx="479425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152400</xdr:rowOff>
    </xdr:from>
    <xdr:to>
      <xdr:col>3</xdr:col>
      <xdr:colOff>578100</xdr:colOff>
      <xdr:row>22</xdr:row>
      <xdr:rowOff>127000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3489960"/>
          <a:ext cx="540000" cy="8890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24</xdr:row>
      <xdr:rowOff>76200</xdr:rowOff>
    </xdr:from>
    <xdr:to>
      <xdr:col>3</xdr:col>
      <xdr:colOff>594360</xdr:colOff>
      <xdr:row>30</xdr:row>
      <xdr:rowOff>58920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0485" y="4474845"/>
          <a:ext cx="563880" cy="101092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45721</xdr:colOff>
      <xdr:row>3</xdr:row>
      <xdr:rowOff>83820</xdr:rowOff>
    </xdr:from>
    <xdr:to>
      <xdr:col>3</xdr:col>
      <xdr:colOff>563880</xdr:colOff>
      <xdr:row>9</xdr:row>
      <xdr:rowOff>66540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25725" y="882015"/>
          <a:ext cx="518160" cy="101092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30481</xdr:colOff>
      <xdr:row>38</xdr:row>
      <xdr:rowOff>83820</xdr:rowOff>
    </xdr:from>
    <xdr:to>
      <xdr:col>3</xdr:col>
      <xdr:colOff>548640</xdr:colOff>
      <xdr:row>44</xdr:row>
      <xdr:rowOff>66540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0485" y="6882765"/>
          <a:ext cx="518160" cy="102235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57</xdr:row>
      <xdr:rowOff>93980</xdr:rowOff>
    </xdr:from>
    <xdr:to>
      <xdr:col>3</xdr:col>
      <xdr:colOff>747395</xdr:colOff>
      <xdr:row>62</xdr:row>
      <xdr:rowOff>19685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56205" y="10173335"/>
          <a:ext cx="67119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18415</xdr:colOff>
      <xdr:row>52</xdr:row>
      <xdr:rowOff>14605</xdr:rowOff>
    </xdr:from>
    <xdr:to>
      <xdr:col>4</xdr:col>
      <xdr:colOff>13335</xdr:colOff>
      <xdr:row>57</xdr:row>
      <xdr:rowOff>19050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98420" y="9236710"/>
          <a:ext cx="909320" cy="86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64770</xdr:colOff>
      <xdr:row>66</xdr:row>
      <xdr:rowOff>38735</xdr:rowOff>
    </xdr:from>
    <xdr:to>
      <xdr:col>4</xdr:col>
      <xdr:colOff>4233</xdr:colOff>
      <xdr:row>69</xdr:row>
      <xdr:rowOff>206375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44775" y="12181840"/>
          <a:ext cx="783590" cy="1120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44450</xdr:colOff>
      <xdr:row>70</xdr:row>
      <xdr:rowOff>36830</xdr:rowOff>
    </xdr:from>
    <xdr:to>
      <xdr:col>3</xdr:col>
      <xdr:colOff>819785</xdr:colOff>
      <xdr:row>72</xdr:row>
      <xdr:rowOff>282575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24455" y="13449935"/>
          <a:ext cx="805815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4445</xdr:colOff>
      <xdr:row>63</xdr:row>
      <xdr:rowOff>95885</xdr:rowOff>
    </xdr:from>
    <xdr:to>
      <xdr:col>4</xdr:col>
      <xdr:colOff>51435</xdr:colOff>
      <xdr:row>65</xdr:row>
      <xdr:rowOff>238125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84450" y="11286490"/>
          <a:ext cx="96139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78</xdr:row>
      <xdr:rowOff>59690</xdr:rowOff>
    </xdr:from>
    <xdr:to>
      <xdr:col>4</xdr:col>
      <xdr:colOff>8255</xdr:colOff>
      <xdr:row>80</xdr:row>
      <xdr:rowOff>275590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33980" y="16012795"/>
          <a:ext cx="868680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81</xdr:row>
      <xdr:rowOff>28575</xdr:rowOff>
    </xdr:from>
    <xdr:to>
      <xdr:col>3</xdr:col>
      <xdr:colOff>819150</xdr:colOff>
      <xdr:row>83</xdr:row>
      <xdr:rowOff>107950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07005" y="16934180"/>
          <a:ext cx="76835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55880</xdr:colOff>
      <xdr:row>73</xdr:row>
      <xdr:rowOff>138430</xdr:rowOff>
    </xdr:from>
    <xdr:to>
      <xdr:col>4</xdr:col>
      <xdr:colOff>31750</xdr:colOff>
      <xdr:row>78</xdr:row>
      <xdr:rowOff>28575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35885" y="14504035"/>
          <a:ext cx="890270" cy="1477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CE71-9D37-413D-B342-70989D9ED08C}">
  <dimension ref="A1:O19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J17" sqref="J17"/>
    </sheetView>
  </sheetViews>
  <sheetFormatPr defaultColWidth="9" defaultRowHeight="14.4" x14ac:dyDescent="0.25"/>
  <cols>
    <col min="2" max="2" width="13.109375" customWidth="1"/>
    <col min="3" max="3" width="22.109375" customWidth="1"/>
    <col min="4" max="4" width="14.77734375" customWidth="1"/>
    <col min="5" max="5" width="8.88671875" customWidth="1"/>
    <col min="6" max="6" width="9.6640625" customWidth="1"/>
    <col min="7" max="7" width="10.6640625" customWidth="1"/>
    <col min="8" max="8" width="10.6640625" hidden="1" customWidth="1"/>
    <col min="9" max="9" width="10.6640625" customWidth="1"/>
    <col min="10" max="10" width="9.88671875" customWidth="1"/>
    <col min="11" max="11" width="9.77734375" customWidth="1"/>
    <col min="12" max="12" width="8.88671875" customWidth="1"/>
    <col min="13" max="13" width="32.44140625" customWidth="1"/>
  </cols>
  <sheetData>
    <row r="1" spans="1:15" ht="30" customHeight="1" x14ac:dyDescent="0.25">
      <c r="A1" s="113" t="s">
        <v>0</v>
      </c>
      <c r="B1" s="114" t="s">
        <v>1</v>
      </c>
      <c r="C1" s="114" t="s">
        <v>2</v>
      </c>
      <c r="D1" s="115" t="s">
        <v>3</v>
      </c>
      <c r="E1" s="121" t="s">
        <v>5</v>
      </c>
      <c r="F1" s="122"/>
      <c r="G1" s="122"/>
      <c r="H1" s="122"/>
      <c r="I1" s="123"/>
      <c r="J1" s="117" t="s">
        <v>175</v>
      </c>
      <c r="K1" s="119" t="s">
        <v>7</v>
      </c>
      <c r="L1" s="120" t="s">
        <v>179</v>
      </c>
      <c r="M1" s="119" t="s">
        <v>165</v>
      </c>
    </row>
    <row r="2" spans="1:15" ht="30" customHeight="1" x14ac:dyDescent="0.25">
      <c r="A2" s="113"/>
      <c r="B2" s="114"/>
      <c r="C2" s="114"/>
      <c r="D2" s="116"/>
      <c r="E2" s="76" t="s">
        <v>7</v>
      </c>
      <c r="F2" s="75" t="s">
        <v>8</v>
      </c>
      <c r="G2" s="75" t="s">
        <v>9</v>
      </c>
      <c r="H2" s="81" t="s">
        <v>10</v>
      </c>
      <c r="I2" s="81" t="s">
        <v>176</v>
      </c>
      <c r="J2" s="118"/>
      <c r="K2" s="119"/>
      <c r="L2" s="120"/>
      <c r="M2" s="119"/>
    </row>
    <row r="3" spans="1:15" ht="19.8" customHeight="1" x14ac:dyDescent="0.25">
      <c r="A3" s="33">
        <v>1</v>
      </c>
      <c r="B3" s="34" t="s">
        <v>13</v>
      </c>
      <c r="C3" s="34" t="s">
        <v>14</v>
      </c>
      <c r="D3" s="34" t="s">
        <v>15</v>
      </c>
      <c r="E3" s="34">
        <f>待料加工!T10</f>
        <v>0.23499999999999999</v>
      </c>
      <c r="F3" s="77">
        <f>待料加工!O10</f>
        <v>1.4999999999999999E-2</v>
      </c>
      <c r="G3" s="78">
        <f>E3*1.12-F3</f>
        <v>0.24819999999999998</v>
      </c>
      <c r="H3" s="78">
        <v>0.21460000000000001</v>
      </c>
      <c r="I3" s="104">
        <v>0.24819999999999998</v>
      </c>
      <c r="J3" s="33">
        <v>8000</v>
      </c>
      <c r="K3" s="90">
        <f t="shared" ref="K3:K11" si="0">G3*J3</f>
        <v>1985.6</v>
      </c>
      <c r="L3" s="90">
        <f>I3*J3</f>
        <v>1985.6</v>
      </c>
      <c r="M3" s="87" t="s">
        <v>166</v>
      </c>
    </row>
    <row r="4" spans="1:15" ht="19.8" customHeight="1" x14ac:dyDescent="0.25">
      <c r="A4" s="33">
        <v>2</v>
      </c>
      <c r="B4" s="34" t="s">
        <v>16</v>
      </c>
      <c r="C4" s="34" t="s">
        <v>17</v>
      </c>
      <c r="D4" s="34" t="s">
        <v>15</v>
      </c>
      <c r="E4" s="34">
        <f>待料加工!T17</f>
        <v>0.23499999999999999</v>
      </c>
      <c r="F4" s="77">
        <f>待料加工!O17</f>
        <v>1.4999999999999999E-2</v>
      </c>
      <c r="G4" s="78">
        <f t="shared" ref="G4:G8" si="1">E4*1.12-F4</f>
        <v>0.24819999999999998</v>
      </c>
      <c r="H4" s="78">
        <v>0.21460000000000001</v>
      </c>
      <c r="I4" s="104">
        <v>0.24819999999999998</v>
      </c>
      <c r="J4" s="33">
        <v>8000</v>
      </c>
      <c r="K4" s="90">
        <f t="shared" si="0"/>
        <v>1985.6</v>
      </c>
      <c r="L4" s="90">
        <f t="shared" ref="L4:L11" si="2">I4*J4</f>
        <v>1985.6</v>
      </c>
      <c r="M4" s="87" t="s">
        <v>166</v>
      </c>
    </row>
    <row r="5" spans="1:15" ht="19.8" customHeight="1" x14ac:dyDescent="0.25">
      <c r="A5" s="33">
        <v>3</v>
      </c>
      <c r="B5" s="34" t="s">
        <v>18</v>
      </c>
      <c r="C5" s="34" t="s">
        <v>19</v>
      </c>
      <c r="D5" s="34" t="s">
        <v>20</v>
      </c>
      <c r="E5" s="34">
        <f>待料加工!T24</f>
        <v>0.08</v>
      </c>
      <c r="F5" s="77">
        <f>待料加工!O24</f>
        <v>3.2500000000000001E-2</v>
      </c>
      <c r="G5" s="78">
        <f t="shared" si="1"/>
        <v>5.7100000000000012E-2</v>
      </c>
      <c r="H5" s="78">
        <v>0.02</v>
      </c>
      <c r="I5" s="104">
        <v>5.7100000000000012E-2</v>
      </c>
      <c r="J5" s="33">
        <v>1000</v>
      </c>
      <c r="K5" s="90">
        <f t="shared" si="0"/>
        <v>57.100000000000009</v>
      </c>
      <c r="L5" s="90">
        <f t="shared" si="2"/>
        <v>57.100000000000009</v>
      </c>
      <c r="M5" s="87" t="s">
        <v>166</v>
      </c>
    </row>
    <row r="6" spans="1:15" ht="19.8" customHeight="1" x14ac:dyDescent="0.25">
      <c r="A6" s="33">
        <v>5</v>
      </c>
      <c r="B6" s="34" t="s">
        <v>21</v>
      </c>
      <c r="C6" s="34" t="s">
        <v>22</v>
      </c>
      <c r="D6" s="34" t="s">
        <v>23</v>
      </c>
      <c r="E6" s="79">
        <f>待料加工!T31</f>
        <v>0.12</v>
      </c>
      <c r="F6" s="77">
        <f>待料加工!O31</f>
        <v>1.7499999999999988E-2</v>
      </c>
      <c r="G6" s="78">
        <f t="shared" si="1"/>
        <v>0.11690000000000003</v>
      </c>
      <c r="H6" s="78">
        <v>9.3002500000000002E-2</v>
      </c>
      <c r="I6" s="104">
        <v>0.11690000000000003</v>
      </c>
      <c r="J6" s="33">
        <v>3000</v>
      </c>
      <c r="K6" s="90">
        <f t="shared" si="0"/>
        <v>350.7000000000001</v>
      </c>
      <c r="L6" s="90">
        <f t="shared" si="2"/>
        <v>350.7000000000001</v>
      </c>
      <c r="M6" s="87" t="s">
        <v>166</v>
      </c>
    </row>
    <row r="7" spans="1:15" ht="19.8" customHeight="1" x14ac:dyDescent="0.25">
      <c r="A7" s="33">
        <v>6</v>
      </c>
      <c r="B7" s="34" t="s">
        <v>24</v>
      </c>
      <c r="C7" s="34" t="s">
        <v>25</v>
      </c>
      <c r="D7" s="34" t="s">
        <v>26</v>
      </c>
      <c r="E7" s="34">
        <f>待料加工!T38</f>
        <v>0.08</v>
      </c>
      <c r="F7" s="77">
        <f>待料加工!O38</f>
        <v>1.4E-2</v>
      </c>
      <c r="G7" s="78">
        <f t="shared" si="1"/>
        <v>7.5600000000000014E-2</v>
      </c>
      <c r="H7" s="78">
        <v>7.5600000000000001E-2</v>
      </c>
      <c r="I7" s="104">
        <v>7.5600000000000014E-2</v>
      </c>
      <c r="J7" s="33">
        <v>2000</v>
      </c>
      <c r="K7" s="90">
        <f t="shared" si="0"/>
        <v>151.20000000000002</v>
      </c>
      <c r="L7" s="90">
        <f t="shared" si="2"/>
        <v>151.20000000000002</v>
      </c>
      <c r="M7" s="87" t="s">
        <v>166</v>
      </c>
    </row>
    <row r="8" spans="1:15" ht="24" customHeight="1" x14ac:dyDescent="0.25">
      <c r="A8" s="33">
        <v>7</v>
      </c>
      <c r="B8" s="80" t="s">
        <v>27</v>
      </c>
      <c r="C8" s="34" t="s">
        <v>28</v>
      </c>
      <c r="D8" s="34" t="s">
        <v>29</v>
      </c>
      <c r="E8" s="34">
        <f>待料加工!T45</f>
        <v>0.08</v>
      </c>
      <c r="F8" s="77">
        <f>待料加工!O45</f>
        <v>4.5000000000000075E-3</v>
      </c>
      <c r="G8" s="78">
        <f t="shared" si="1"/>
        <v>8.5100000000000009E-2</v>
      </c>
      <c r="H8" s="78">
        <v>6.9599999999999995E-2</v>
      </c>
      <c r="I8" s="104">
        <v>8.5100000000000009E-2</v>
      </c>
      <c r="J8" s="85">
        <v>8000</v>
      </c>
      <c r="K8" s="90">
        <f t="shared" si="0"/>
        <v>680.80000000000007</v>
      </c>
      <c r="L8" s="90">
        <f t="shared" si="2"/>
        <v>680.80000000000007</v>
      </c>
      <c r="M8" s="87" t="s">
        <v>166</v>
      </c>
    </row>
    <row r="9" spans="1:15" ht="24" customHeight="1" x14ac:dyDescent="0.25">
      <c r="A9" s="33">
        <v>8</v>
      </c>
      <c r="B9" s="34" t="s">
        <v>30</v>
      </c>
      <c r="C9" s="34" t="s">
        <v>31</v>
      </c>
      <c r="D9" s="34" t="s">
        <v>29</v>
      </c>
      <c r="E9" s="34">
        <f>待料加工!T52</f>
        <v>0.08</v>
      </c>
      <c r="F9" s="77">
        <f>待料加工!O52</f>
        <v>4.5000000000000075E-3</v>
      </c>
      <c r="G9" s="78">
        <f>E9*1.12-F9</f>
        <v>8.5100000000000009E-2</v>
      </c>
      <c r="H9" s="78">
        <v>6.9599999999999995E-2</v>
      </c>
      <c r="I9" s="104">
        <v>8.5100000000000009E-2</v>
      </c>
      <c r="J9" s="85">
        <v>2000</v>
      </c>
      <c r="K9" s="90">
        <f t="shared" si="0"/>
        <v>170.20000000000002</v>
      </c>
      <c r="L9" s="90">
        <f t="shared" si="2"/>
        <v>170.20000000000002</v>
      </c>
      <c r="M9" s="87" t="s">
        <v>166</v>
      </c>
    </row>
    <row r="10" spans="1:15" ht="17.399999999999999" customHeight="1" x14ac:dyDescent="0.25">
      <c r="A10" s="33">
        <v>9</v>
      </c>
      <c r="B10" s="87" t="s">
        <v>177</v>
      </c>
      <c r="C10" s="86" t="s">
        <v>102</v>
      </c>
      <c r="D10" s="87" t="s">
        <v>169</v>
      </c>
      <c r="E10" s="86">
        <f>待料加工!T57</f>
        <v>0.16</v>
      </c>
      <c r="F10" s="86">
        <f>待料加工!O57</f>
        <v>2.5000000000000001E-2</v>
      </c>
      <c r="G10" s="78">
        <f t="shared" ref="G10:G18" si="3">E10*1.12-F10</f>
        <v>0.15420000000000003</v>
      </c>
      <c r="H10" s="86">
        <v>0.15420000000000003</v>
      </c>
      <c r="I10" s="104">
        <v>0.15420000000000003</v>
      </c>
      <c r="J10" s="90">
        <f>146714/12</f>
        <v>12226.166666666666</v>
      </c>
      <c r="K10" s="90">
        <f t="shared" si="0"/>
        <v>1885.2749000000003</v>
      </c>
      <c r="L10" s="90">
        <f t="shared" si="2"/>
        <v>1885.2749000000003</v>
      </c>
      <c r="M10" s="87" t="s">
        <v>166</v>
      </c>
    </row>
    <row r="11" spans="1:15" ht="17.399999999999999" customHeight="1" x14ac:dyDescent="0.25">
      <c r="A11" s="33">
        <v>10</v>
      </c>
      <c r="B11" s="86" t="s">
        <v>167</v>
      </c>
      <c r="C11" s="86" t="s">
        <v>104</v>
      </c>
      <c r="D11" s="87" t="s">
        <v>169</v>
      </c>
      <c r="E11" s="86">
        <f>待料加工!T63</f>
        <v>0.41</v>
      </c>
      <c r="F11" s="86">
        <f>待料加工!O63</f>
        <v>0.26</v>
      </c>
      <c r="G11" s="78">
        <f t="shared" si="3"/>
        <v>0.19919999999999999</v>
      </c>
      <c r="H11" s="86">
        <v>0.19919999999999999</v>
      </c>
      <c r="I11" s="104">
        <v>0.19919999999999999</v>
      </c>
      <c r="J11" s="90">
        <f>7708/12</f>
        <v>642.33333333333337</v>
      </c>
      <c r="K11" s="90">
        <f t="shared" si="0"/>
        <v>127.9528</v>
      </c>
      <c r="L11" s="90">
        <f t="shared" si="2"/>
        <v>127.9528</v>
      </c>
      <c r="M11" s="87" t="s">
        <v>166</v>
      </c>
    </row>
    <row r="12" spans="1:15" ht="18.600000000000001" customHeight="1" x14ac:dyDescent="0.25">
      <c r="A12" s="105"/>
      <c r="B12" s="106"/>
      <c r="C12" s="106"/>
      <c r="D12" s="107"/>
      <c r="E12" s="106"/>
      <c r="F12" s="106"/>
      <c r="G12" s="108"/>
      <c r="H12" s="106"/>
      <c r="I12" s="109"/>
      <c r="J12" s="110"/>
      <c r="K12" s="110">
        <f>SUM(K3:K11)</f>
        <v>7394.4277000000002</v>
      </c>
      <c r="L12" s="110">
        <f>SUM(L3:L11)</f>
        <v>7394.4277000000002</v>
      </c>
      <c r="M12" s="107"/>
    </row>
    <row r="13" spans="1:15" ht="17.399999999999999" customHeight="1" x14ac:dyDescent="0.25">
      <c r="A13" s="33">
        <v>11</v>
      </c>
      <c r="B13" s="86" t="s">
        <v>105</v>
      </c>
      <c r="C13" s="86" t="s">
        <v>106</v>
      </c>
      <c r="D13" s="87" t="s">
        <v>170</v>
      </c>
      <c r="E13" s="86">
        <f>待料加工!T66</f>
        <v>0.13</v>
      </c>
      <c r="F13" s="86">
        <f>待料加工!O66</f>
        <v>0.17499999999999999</v>
      </c>
      <c r="G13" s="78">
        <f t="shared" si="3"/>
        <v>-2.9399999999999982E-2</v>
      </c>
      <c r="H13" s="86">
        <v>0.01</v>
      </c>
      <c r="I13" s="104">
        <v>0.01</v>
      </c>
      <c r="J13" s="101">
        <f>106457/12</f>
        <v>8871.4166666666661</v>
      </c>
      <c r="K13" s="102">
        <f t="shared" ref="K13:K18" si="4">G13*J13</f>
        <v>-260.8196499999998</v>
      </c>
      <c r="L13" s="102">
        <f t="shared" ref="L13:L18" si="5">H13*J13</f>
        <v>88.714166666666657</v>
      </c>
      <c r="M13" s="87" t="s">
        <v>178</v>
      </c>
    </row>
    <row r="14" spans="1:15" ht="17.399999999999999" customHeight="1" x14ac:dyDescent="0.25">
      <c r="A14" s="33">
        <v>12</v>
      </c>
      <c r="B14" s="86" t="s">
        <v>109</v>
      </c>
      <c r="C14" s="86" t="s">
        <v>168</v>
      </c>
      <c r="D14" s="87" t="s">
        <v>169</v>
      </c>
      <c r="E14" s="86">
        <f>待料加工!T70</f>
        <v>0.17</v>
      </c>
      <c r="F14" s="86">
        <f>待料加工!O70</f>
        <v>3.7499999999999999E-2</v>
      </c>
      <c r="G14" s="78">
        <f t="shared" si="3"/>
        <v>0.15290000000000004</v>
      </c>
      <c r="H14" s="103">
        <v>5.901641042051526E-2</v>
      </c>
      <c r="I14" s="104">
        <v>5.901641042051526E-2</v>
      </c>
      <c r="J14" s="90">
        <f>137498/12</f>
        <v>11458.166666666666</v>
      </c>
      <c r="K14" s="102">
        <f t="shared" si="4"/>
        <v>1751.9536833333336</v>
      </c>
      <c r="L14" s="102">
        <f t="shared" si="5"/>
        <v>676.21986666666726</v>
      </c>
      <c r="M14" s="87" t="s">
        <v>178</v>
      </c>
      <c r="N14" s="83">
        <f>L14-L13-L17</f>
        <v>567.50570000000062</v>
      </c>
      <c r="O14">
        <f>N14/J14</f>
        <v>4.952849059622691E-2</v>
      </c>
    </row>
    <row r="15" spans="1:15" ht="17.399999999999999" customHeight="1" x14ac:dyDescent="0.25">
      <c r="A15" s="33">
        <v>13</v>
      </c>
      <c r="B15" s="87" t="s">
        <v>174</v>
      </c>
      <c r="C15" s="87" t="s">
        <v>173</v>
      </c>
      <c r="D15" s="87" t="s">
        <v>171</v>
      </c>
      <c r="E15" s="86">
        <f>待料加工!T73</f>
        <v>0.09</v>
      </c>
      <c r="F15" s="86">
        <f>待料加工!O73</f>
        <v>3.2500000000000001E-2</v>
      </c>
      <c r="G15" s="78">
        <f t="shared" si="3"/>
        <v>6.83E-2</v>
      </c>
      <c r="H15" s="86">
        <v>6.83E-2</v>
      </c>
      <c r="I15" s="104">
        <v>6.83E-2</v>
      </c>
      <c r="J15" s="90">
        <v>18000</v>
      </c>
      <c r="K15" s="102">
        <f t="shared" si="4"/>
        <v>1229.4000000000001</v>
      </c>
      <c r="L15" s="102">
        <f t="shared" si="5"/>
        <v>1229.4000000000001</v>
      </c>
      <c r="M15" s="87" t="s">
        <v>178</v>
      </c>
    </row>
    <row r="16" spans="1:15" ht="17.399999999999999" customHeight="1" x14ac:dyDescent="0.25">
      <c r="A16" s="33">
        <v>14</v>
      </c>
      <c r="B16" s="87" t="s">
        <v>180</v>
      </c>
      <c r="C16" s="87" t="s">
        <v>181</v>
      </c>
      <c r="D16" s="87" t="s">
        <v>170</v>
      </c>
      <c r="E16" s="86">
        <f>待料加工!T78</f>
        <v>0.21</v>
      </c>
      <c r="F16" s="86">
        <f>待料加工!O78</f>
        <v>5.0250000000000003E-2</v>
      </c>
      <c r="G16" s="78">
        <f t="shared" si="3"/>
        <v>0.18495</v>
      </c>
      <c r="H16" s="86">
        <v>0.18495</v>
      </c>
      <c r="I16" s="104">
        <v>0.18495</v>
      </c>
      <c r="J16" s="90">
        <f>68604/12</f>
        <v>5717</v>
      </c>
      <c r="K16" s="102">
        <f t="shared" si="4"/>
        <v>1057.35915</v>
      </c>
      <c r="L16" s="102">
        <f t="shared" si="5"/>
        <v>1057.35915</v>
      </c>
      <c r="M16" s="87" t="s">
        <v>178</v>
      </c>
    </row>
    <row r="17" spans="1:13" ht="17.399999999999999" customHeight="1" x14ac:dyDescent="0.25">
      <c r="A17" s="33">
        <v>15</v>
      </c>
      <c r="B17" s="86" t="s">
        <v>114</v>
      </c>
      <c r="C17" s="86" t="s">
        <v>115</v>
      </c>
      <c r="D17" s="87" t="s">
        <v>172</v>
      </c>
      <c r="E17" s="86">
        <f>待料加工!T81</f>
        <v>0.12</v>
      </c>
      <c r="F17" s="86">
        <f>待料加工!O81</f>
        <v>0.48749999999999999</v>
      </c>
      <c r="G17" s="78">
        <f t="shared" si="3"/>
        <v>-0.35309999999999997</v>
      </c>
      <c r="H17" s="86">
        <v>0.01</v>
      </c>
      <c r="I17" s="104">
        <v>0.01</v>
      </c>
      <c r="J17" s="90">
        <v>2000</v>
      </c>
      <c r="K17" s="102">
        <f t="shared" si="4"/>
        <v>-706.19999999999993</v>
      </c>
      <c r="L17" s="102">
        <f t="shared" si="5"/>
        <v>20</v>
      </c>
      <c r="M17" s="87" t="s">
        <v>178</v>
      </c>
    </row>
    <row r="18" spans="1:13" ht="17.399999999999999" customHeight="1" x14ac:dyDescent="0.25">
      <c r="A18" s="33">
        <v>16</v>
      </c>
      <c r="B18" s="86" t="s">
        <v>116</v>
      </c>
      <c r="C18" s="86" t="s">
        <v>117</v>
      </c>
      <c r="D18" s="87" t="s">
        <v>172</v>
      </c>
      <c r="E18" s="86">
        <f>待料加工!T84</f>
        <v>0.15</v>
      </c>
      <c r="F18" s="86">
        <f>待料加工!O84</f>
        <v>0.14249999999999999</v>
      </c>
      <c r="G18" s="78">
        <f t="shared" si="3"/>
        <v>2.5500000000000023E-2</v>
      </c>
      <c r="H18" s="86">
        <v>2.5500000000000023E-2</v>
      </c>
      <c r="I18" s="104">
        <v>2.5500000000000023E-2</v>
      </c>
      <c r="J18" s="90">
        <f>2478/12</f>
        <v>206.5</v>
      </c>
      <c r="K18" s="102">
        <f t="shared" si="4"/>
        <v>5.265750000000005</v>
      </c>
      <c r="L18" s="102">
        <f t="shared" si="5"/>
        <v>5.265750000000005</v>
      </c>
      <c r="M18" s="87" t="s">
        <v>178</v>
      </c>
    </row>
    <row r="19" spans="1:13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2">
        <f>SUM(K13:K18)</f>
        <v>3076.9589333333338</v>
      </c>
      <c r="L19" s="112">
        <f>SUM(L13:L18)</f>
        <v>3076.9589333333338</v>
      </c>
      <c r="M19" s="111"/>
    </row>
  </sheetData>
  <mergeCells count="9">
    <mergeCell ref="K1:K2"/>
    <mergeCell ref="L1:L2"/>
    <mergeCell ref="M1:M2"/>
    <mergeCell ref="E1:I1"/>
    <mergeCell ref="A1:A2"/>
    <mergeCell ref="B1:B2"/>
    <mergeCell ref="C1:C2"/>
    <mergeCell ref="D1:D2"/>
    <mergeCell ref="J1:J2"/>
  </mergeCells>
  <phoneticPr fontId="2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opLeftCell="B1" workbookViewId="0">
      <selection activeCell="M3" sqref="M3"/>
    </sheetView>
  </sheetViews>
  <sheetFormatPr defaultColWidth="9" defaultRowHeight="14.4" x14ac:dyDescent="0.25"/>
  <cols>
    <col min="2" max="2" width="13.109375" customWidth="1"/>
    <col min="3" max="3" width="19.44140625" customWidth="1"/>
    <col min="4" max="4" width="9.5546875" customWidth="1"/>
    <col min="5" max="5" width="12.88671875" customWidth="1"/>
    <col min="6" max="6" width="8.88671875" customWidth="1"/>
    <col min="7" max="7" width="11.88671875" customWidth="1"/>
    <col min="8" max="9" width="10.6640625" customWidth="1"/>
    <col min="10" max="10" width="9.88671875" customWidth="1"/>
    <col min="11" max="12" width="13.5546875" customWidth="1"/>
    <col min="13" max="13" width="16.88671875" customWidth="1"/>
    <col min="15" max="15" width="12.33203125" customWidth="1"/>
  </cols>
  <sheetData>
    <row r="1" spans="1:16" ht="30" customHeight="1" x14ac:dyDescent="0.25">
      <c r="A1" s="113" t="s">
        <v>0</v>
      </c>
      <c r="B1" s="114" t="s">
        <v>1</v>
      </c>
      <c r="C1" s="114" t="s">
        <v>2</v>
      </c>
      <c r="D1" s="115" t="s">
        <v>3</v>
      </c>
      <c r="E1" s="115" t="s">
        <v>4</v>
      </c>
      <c r="F1" s="121" t="s">
        <v>5</v>
      </c>
      <c r="G1" s="122"/>
      <c r="H1" s="122"/>
      <c r="I1" s="123"/>
      <c r="J1" s="117" t="s">
        <v>6</v>
      </c>
    </row>
    <row r="2" spans="1:16" ht="30" customHeight="1" x14ac:dyDescent="0.25">
      <c r="A2" s="113"/>
      <c r="B2" s="114"/>
      <c r="C2" s="114"/>
      <c r="D2" s="116"/>
      <c r="E2" s="116"/>
      <c r="F2" s="76" t="s">
        <v>7</v>
      </c>
      <c r="G2" s="75" t="s">
        <v>8</v>
      </c>
      <c r="H2" s="75" t="s">
        <v>9</v>
      </c>
      <c r="I2" s="81" t="s">
        <v>10</v>
      </c>
      <c r="J2" s="118"/>
      <c r="K2" s="82" t="s">
        <v>7</v>
      </c>
      <c r="L2" s="82" t="s">
        <v>11</v>
      </c>
      <c r="M2" s="82" t="s">
        <v>12</v>
      </c>
    </row>
    <row r="3" spans="1:16" ht="19.8" customHeight="1" x14ac:dyDescent="0.25">
      <c r="A3" s="33">
        <v>1</v>
      </c>
      <c r="B3" s="34" t="s">
        <v>13</v>
      </c>
      <c r="C3" s="34" t="s">
        <v>14</v>
      </c>
      <c r="D3" s="34" t="s">
        <v>15</v>
      </c>
      <c r="E3" s="77" t="e">
        <f>#REF!</f>
        <v>#REF!</v>
      </c>
      <c r="F3" s="34">
        <f>待料加工!T10</f>
        <v>0.23499999999999999</v>
      </c>
      <c r="G3" s="77">
        <f>待料加工!O10</f>
        <v>1.4999999999999999E-2</v>
      </c>
      <c r="H3" s="78">
        <f>F3*1.12-G3</f>
        <v>0.24819999999999998</v>
      </c>
      <c r="I3" s="78">
        <v>0.21460000000000001</v>
      </c>
      <c r="J3" s="33">
        <v>8000</v>
      </c>
      <c r="K3">
        <f t="shared" ref="K3:K9" si="0">H3*J3</f>
        <v>1985.6</v>
      </c>
      <c r="L3">
        <f>I3*J3</f>
        <v>1716.8000000000002</v>
      </c>
      <c r="M3" s="83" t="e">
        <f t="shared" ref="M3:M9" si="1">E3*J3</f>
        <v>#REF!</v>
      </c>
      <c r="N3">
        <v>0.79</v>
      </c>
    </row>
    <row r="4" spans="1:16" ht="19.8" customHeight="1" x14ac:dyDescent="0.25">
      <c r="A4" s="33">
        <v>2</v>
      </c>
      <c r="B4" s="34" t="s">
        <v>16</v>
      </c>
      <c r="C4" s="34" t="s">
        <v>17</v>
      </c>
      <c r="D4" s="34" t="s">
        <v>15</v>
      </c>
      <c r="E4" s="77" t="e">
        <f>#REF!</f>
        <v>#REF!</v>
      </c>
      <c r="F4" s="34">
        <f>待料加工!T17</f>
        <v>0.23499999999999999</v>
      </c>
      <c r="G4" s="77">
        <f>待料加工!O17</f>
        <v>1.4999999999999999E-2</v>
      </c>
      <c r="H4" s="78">
        <f t="shared" ref="H4:H9" si="2">F4*1.12-G4</f>
        <v>0.24819999999999998</v>
      </c>
      <c r="I4" s="78">
        <v>0.21460000000000001</v>
      </c>
      <c r="J4" s="33">
        <v>8000</v>
      </c>
      <c r="K4">
        <f t="shared" si="0"/>
        <v>1985.6</v>
      </c>
      <c r="L4">
        <f t="shared" ref="L4:L9" si="3">I4*J4</f>
        <v>1716.8000000000002</v>
      </c>
      <c r="M4" s="83" t="e">
        <f t="shared" si="1"/>
        <v>#REF!</v>
      </c>
      <c r="N4">
        <v>0.79800000000000004</v>
      </c>
    </row>
    <row r="5" spans="1:16" ht="19.8" customHeight="1" x14ac:dyDescent="0.25">
      <c r="A5" s="33">
        <v>3</v>
      </c>
      <c r="B5" s="34" t="s">
        <v>18</v>
      </c>
      <c r="C5" s="34" t="s">
        <v>19</v>
      </c>
      <c r="D5" s="34" t="s">
        <v>20</v>
      </c>
      <c r="E5" s="77" t="e">
        <f>#REF!</f>
        <v>#REF!</v>
      </c>
      <c r="F5" s="34">
        <f>待料加工!T24</f>
        <v>0.08</v>
      </c>
      <c r="G5" s="77">
        <f>待料加工!O24</f>
        <v>3.2500000000000001E-2</v>
      </c>
      <c r="H5" s="78">
        <f t="shared" si="2"/>
        <v>5.7100000000000012E-2</v>
      </c>
      <c r="I5" s="84">
        <v>0.02</v>
      </c>
      <c r="J5" s="33">
        <v>1000</v>
      </c>
      <c r="K5">
        <f t="shared" si="0"/>
        <v>57.100000000000009</v>
      </c>
      <c r="L5">
        <f t="shared" si="3"/>
        <v>20</v>
      </c>
      <c r="M5" s="83" t="e">
        <f t="shared" si="1"/>
        <v>#REF!</v>
      </c>
      <c r="N5">
        <v>0.49199999999999999</v>
      </c>
    </row>
    <row r="6" spans="1:16" ht="19.8" customHeight="1" x14ac:dyDescent="0.25">
      <c r="A6" s="33">
        <v>5</v>
      </c>
      <c r="B6" s="34" t="s">
        <v>21</v>
      </c>
      <c r="C6" s="34" t="s">
        <v>22</v>
      </c>
      <c r="D6" s="34" t="s">
        <v>23</v>
      </c>
      <c r="E6" s="77" t="e">
        <f>#REF!</f>
        <v>#REF!</v>
      </c>
      <c r="F6" s="79">
        <f>待料加工!T31</f>
        <v>0.12</v>
      </c>
      <c r="G6" s="77">
        <f>待料加工!O31</f>
        <v>1.7499999999999988E-2</v>
      </c>
      <c r="H6" s="78">
        <f t="shared" si="2"/>
        <v>0.11690000000000003</v>
      </c>
      <c r="I6" s="84">
        <v>9.3002500000000002E-2</v>
      </c>
      <c r="J6" s="33">
        <v>3000</v>
      </c>
      <c r="K6">
        <f t="shared" si="0"/>
        <v>350.7000000000001</v>
      </c>
      <c r="L6">
        <f t="shared" si="3"/>
        <v>279.00749999999999</v>
      </c>
      <c r="M6" s="83" t="e">
        <f t="shared" si="1"/>
        <v>#REF!</v>
      </c>
      <c r="N6">
        <v>0.72299999999999998</v>
      </c>
      <c r="P6">
        <f>(K6+K5)/J6</f>
        <v>0.13593333333333338</v>
      </c>
    </row>
    <row r="7" spans="1:16" ht="19.8" customHeight="1" x14ac:dyDescent="0.25">
      <c r="A7" s="33">
        <v>6</v>
      </c>
      <c r="B7" s="34" t="s">
        <v>24</v>
      </c>
      <c r="C7" s="34" t="s">
        <v>25</v>
      </c>
      <c r="D7" s="34" t="s">
        <v>26</v>
      </c>
      <c r="E7" s="77" t="e">
        <f>#REF!</f>
        <v>#REF!</v>
      </c>
      <c r="F7" s="34">
        <f>待料加工!T38</f>
        <v>0.08</v>
      </c>
      <c r="G7" s="77">
        <f>待料加工!O38</f>
        <v>1.4E-2</v>
      </c>
      <c r="H7" s="78">
        <f t="shared" si="2"/>
        <v>7.5600000000000014E-2</v>
      </c>
      <c r="I7" s="78">
        <v>7.5600000000000001E-2</v>
      </c>
      <c r="J7" s="33">
        <v>2000</v>
      </c>
      <c r="K7">
        <f t="shared" si="0"/>
        <v>151.20000000000002</v>
      </c>
      <c r="L7">
        <f t="shared" si="3"/>
        <v>151.19999999999999</v>
      </c>
      <c r="M7" s="83" t="e">
        <f t="shared" si="1"/>
        <v>#REF!</v>
      </c>
      <c r="N7">
        <v>0.72299999999999998</v>
      </c>
    </row>
    <row r="8" spans="1:16" ht="24" customHeight="1" x14ac:dyDescent="0.25">
      <c r="A8" s="33">
        <v>7</v>
      </c>
      <c r="B8" s="80" t="s">
        <v>27</v>
      </c>
      <c r="C8" s="34" t="s">
        <v>28</v>
      </c>
      <c r="D8" s="34" t="s">
        <v>29</v>
      </c>
      <c r="E8" s="77" t="e">
        <f>#REF!</f>
        <v>#REF!</v>
      </c>
      <c r="F8" s="34">
        <f>待料加工!T45</f>
        <v>0.08</v>
      </c>
      <c r="G8" s="77">
        <f>待料加工!O45</f>
        <v>4.5000000000000075E-3</v>
      </c>
      <c r="H8" s="78">
        <f t="shared" si="2"/>
        <v>8.5100000000000009E-2</v>
      </c>
      <c r="I8" s="78">
        <v>6.9599999999999995E-2</v>
      </c>
      <c r="J8" s="85">
        <v>8000</v>
      </c>
      <c r="K8">
        <f t="shared" si="0"/>
        <v>680.80000000000007</v>
      </c>
      <c r="L8">
        <f t="shared" si="3"/>
        <v>556.79999999999995</v>
      </c>
      <c r="M8" s="83" t="e">
        <f t="shared" si="1"/>
        <v>#REF!</v>
      </c>
      <c r="N8">
        <v>0.62</v>
      </c>
    </row>
    <row r="9" spans="1:16" ht="24" customHeight="1" x14ac:dyDescent="0.25">
      <c r="A9" s="33">
        <v>8</v>
      </c>
      <c r="B9" s="34" t="s">
        <v>30</v>
      </c>
      <c r="C9" s="34" t="s">
        <v>31</v>
      </c>
      <c r="D9" s="34" t="s">
        <v>29</v>
      </c>
      <c r="E9" s="77" t="e">
        <f>#REF!</f>
        <v>#REF!</v>
      </c>
      <c r="F9" s="34">
        <f>待料加工!T52</f>
        <v>0.08</v>
      </c>
      <c r="G9" s="77">
        <f>待料加工!O52</f>
        <v>4.5000000000000075E-3</v>
      </c>
      <c r="H9" s="78">
        <f t="shared" si="2"/>
        <v>8.5100000000000009E-2</v>
      </c>
      <c r="I9" s="78">
        <v>6.9599999999999995E-2</v>
      </c>
      <c r="J9" s="85">
        <v>2000</v>
      </c>
      <c r="K9">
        <f t="shared" si="0"/>
        <v>170.20000000000002</v>
      </c>
      <c r="L9">
        <f t="shared" si="3"/>
        <v>139.19999999999999</v>
      </c>
      <c r="M9" s="83" t="e">
        <f t="shared" si="1"/>
        <v>#REF!</v>
      </c>
      <c r="N9">
        <v>0.71399999999999997</v>
      </c>
    </row>
    <row r="10" spans="1:16" x14ac:dyDescent="0.25">
      <c r="K10" s="83">
        <f>SUM(K3:K9)</f>
        <v>5381.2</v>
      </c>
      <c r="L10" s="83">
        <f>SUM(L3:L9)</f>
        <v>4579.8074999999999</v>
      </c>
      <c r="M10" s="83" t="e">
        <f>SUM(M3:M9)</f>
        <v>#REF!</v>
      </c>
      <c r="N10">
        <f>L10*1.03</f>
        <v>4717.2017249999999</v>
      </c>
    </row>
  </sheetData>
  <mergeCells count="7">
    <mergeCell ref="J1:J2"/>
    <mergeCell ref="F1:I1"/>
    <mergeCell ref="A1:A2"/>
    <mergeCell ref="B1:B2"/>
    <mergeCell ref="C1:C2"/>
    <mergeCell ref="D1:D2"/>
    <mergeCell ref="E1:E2"/>
  </mergeCells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C6" sqref="C5:C6"/>
    </sheetView>
  </sheetViews>
  <sheetFormatPr defaultColWidth="8.88671875" defaultRowHeight="14.4" x14ac:dyDescent="0.25"/>
  <cols>
    <col min="1" max="1" width="10.33203125" style="69" customWidth="1"/>
    <col min="2" max="2" width="11.21875" style="69" customWidth="1"/>
    <col min="3" max="3" width="13.109375" style="69" customWidth="1"/>
    <col min="4" max="17" width="7" style="70" customWidth="1"/>
    <col min="18" max="16384" width="8.88671875" style="70"/>
  </cols>
  <sheetData>
    <row r="1" spans="1:3" x14ac:dyDescent="0.25">
      <c r="A1" s="71" t="s">
        <v>32</v>
      </c>
      <c r="B1" s="71" t="s">
        <v>33</v>
      </c>
      <c r="C1" s="71" t="s">
        <v>34</v>
      </c>
    </row>
    <row r="2" spans="1:3" ht="13.5" customHeight="1" x14ac:dyDescent="0.25">
      <c r="A2" s="72" t="s">
        <v>35</v>
      </c>
      <c r="B2" s="72" t="s">
        <v>36</v>
      </c>
      <c r="C2" s="73">
        <v>0.03</v>
      </c>
    </row>
    <row r="3" spans="1:3" ht="13.5" customHeight="1" x14ac:dyDescent="0.25">
      <c r="A3" s="72" t="s">
        <v>35</v>
      </c>
      <c r="B3" s="72" t="s">
        <v>37</v>
      </c>
      <c r="C3" s="73">
        <v>0.03</v>
      </c>
    </row>
    <row r="4" spans="1:3" ht="13.5" customHeight="1" x14ac:dyDescent="0.25">
      <c r="A4" s="72" t="s">
        <v>35</v>
      </c>
      <c r="B4" s="72" t="s">
        <v>38</v>
      </c>
      <c r="C4" s="73">
        <v>0.03</v>
      </c>
    </row>
    <row r="5" spans="1:3" ht="13.5" customHeight="1" x14ac:dyDescent="0.25">
      <c r="A5" s="72" t="s">
        <v>35</v>
      </c>
      <c r="B5" s="72" t="s">
        <v>39</v>
      </c>
      <c r="C5" s="73">
        <v>0.04</v>
      </c>
    </row>
    <row r="6" spans="1:3" ht="13.5" customHeight="1" x14ac:dyDescent="0.25">
      <c r="A6" s="72" t="s">
        <v>35</v>
      </c>
      <c r="B6" s="72" t="s">
        <v>40</v>
      </c>
      <c r="C6" s="73">
        <v>0.04</v>
      </c>
    </row>
    <row r="7" spans="1:3" ht="13.5" customHeight="1" x14ac:dyDescent="0.25">
      <c r="A7" s="72" t="s">
        <v>35</v>
      </c>
      <c r="B7" s="72" t="s">
        <v>41</v>
      </c>
      <c r="C7" s="73">
        <v>0.04</v>
      </c>
    </row>
    <row r="8" spans="1:3" ht="13.5" customHeight="1" x14ac:dyDescent="0.25">
      <c r="A8" s="72" t="s">
        <v>35</v>
      </c>
      <c r="B8" s="72" t="s">
        <v>42</v>
      </c>
      <c r="C8" s="73">
        <v>0.04</v>
      </c>
    </row>
    <row r="9" spans="1:3" ht="13.5" customHeight="1" x14ac:dyDescent="0.25">
      <c r="A9" s="72" t="s">
        <v>35</v>
      </c>
      <c r="B9" s="72" t="s">
        <v>43</v>
      </c>
      <c r="C9" s="73">
        <v>0.05</v>
      </c>
    </row>
    <row r="10" spans="1:3" ht="13.5" customHeight="1" x14ac:dyDescent="0.25">
      <c r="A10" s="72" t="s">
        <v>35</v>
      </c>
      <c r="B10" s="72" t="s">
        <v>44</v>
      </c>
      <c r="C10" s="73">
        <v>7.0000000000000007E-2</v>
      </c>
    </row>
    <row r="11" spans="1:3" ht="13.5" customHeight="1" x14ac:dyDescent="0.25">
      <c r="A11" s="72" t="s">
        <v>35</v>
      </c>
      <c r="B11" s="72" t="s">
        <v>45</v>
      </c>
      <c r="C11" s="73">
        <v>7.4999999999999997E-2</v>
      </c>
    </row>
    <row r="12" spans="1:3" ht="13.5" customHeight="1" x14ac:dyDescent="0.25">
      <c r="A12" s="72" t="s">
        <v>35</v>
      </c>
      <c r="B12" s="72" t="s">
        <v>46</v>
      </c>
      <c r="C12" s="73">
        <v>0.08</v>
      </c>
    </row>
    <row r="13" spans="1:3" ht="13.5" customHeight="1" x14ac:dyDescent="0.25">
      <c r="A13" s="72" t="s">
        <v>35</v>
      </c>
      <c r="B13" s="72" t="s">
        <v>47</v>
      </c>
      <c r="C13" s="73">
        <v>0.1</v>
      </c>
    </row>
    <row r="14" spans="1:3" ht="13.5" customHeight="1" x14ac:dyDescent="0.25">
      <c r="A14" s="72" t="s">
        <v>35</v>
      </c>
      <c r="B14" s="72" t="s">
        <v>48</v>
      </c>
      <c r="C14" s="74">
        <v>0.15</v>
      </c>
    </row>
    <row r="15" spans="1:3" ht="13.5" customHeight="1" x14ac:dyDescent="0.25">
      <c r="A15" s="72" t="s">
        <v>35</v>
      </c>
      <c r="B15" s="72" t="s">
        <v>49</v>
      </c>
      <c r="C15" s="73">
        <v>0.18</v>
      </c>
    </row>
    <row r="16" spans="1:3" ht="13.5" customHeight="1" x14ac:dyDescent="0.25">
      <c r="A16" s="72" t="s">
        <v>35</v>
      </c>
      <c r="B16" s="72" t="s">
        <v>50</v>
      </c>
      <c r="C16" s="74">
        <v>0.2</v>
      </c>
    </row>
    <row r="17" spans="1:3" ht="13.5" customHeight="1" x14ac:dyDescent="0.25">
      <c r="A17" s="72" t="s">
        <v>35</v>
      </c>
      <c r="B17" s="72" t="s">
        <v>51</v>
      </c>
      <c r="C17" s="74">
        <v>0.28000000000000003</v>
      </c>
    </row>
    <row r="18" spans="1:3" ht="13.5" customHeight="1" x14ac:dyDescent="0.25">
      <c r="A18" s="72" t="s">
        <v>35</v>
      </c>
      <c r="B18" s="72" t="s">
        <v>52</v>
      </c>
      <c r="C18" s="74"/>
    </row>
    <row r="19" spans="1:3" ht="13.5" customHeight="1" x14ac:dyDescent="0.25">
      <c r="A19" s="72" t="s">
        <v>53</v>
      </c>
      <c r="B19" s="72" t="s">
        <v>47</v>
      </c>
      <c r="C19" s="74"/>
    </row>
    <row r="20" spans="1:3" x14ac:dyDescent="0.25">
      <c r="A20" s="72" t="s">
        <v>53</v>
      </c>
      <c r="B20" s="72" t="s">
        <v>48</v>
      </c>
      <c r="C20" s="74">
        <v>0.2</v>
      </c>
    </row>
    <row r="21" spans="1:3" x14ac:dyDescent="0.25">
      <c r="A21" s="72" t="s">
        <v>53</v>
      </c>
      <c r="B21" s="72" t="s">
        <v>50</v>
      </c>
      <c r="C21" s="74">
        <v>0.25</v>
      </c>
    </row>
    <row r="22" spans="1:3" x14ac:dyDescent="0.25">
      <c r="A22" s="72" t="s">
        <v>53</v>
      </c>
      <c r="B22" s="72" t="s">
        <v>54</v>
      </c>
      <c r="C22" s="74">
        <v>0.53</v>
      </c>
    </row>
    <row r="23" spans="1:3" x14ac:dyDescent="0.25">
      <c r="A23" s="72" t="s">
        <v>55</v>
      </c>
      <c r="B23" s="72" t="s">
        <v>56</v>
      </c>
      <c r="C23" s="74">
        <v>0.04</v>
      </c>
    </row>
    <row r="24" spans="1:3" x14ac:dyDescent="0.25">
      <c r="A24" s="72" t="s">
        <v>57</v>
      </c>
      <c r="B24" s="72" t="s">
        <v>58</v>
      </c>
      <c r="C24" s="72">
        <v>7.0000000000000007E-2</v>
      </c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84"/>
  <sheetViews>
    <sheetView zoomScale="90" zoomScaleNormal="90" workbookViewId="0">
      <pane xSplit="8" ySplit="3" topLeftCell="I70" activePane="bottomRight" state="frozen"/>
      <selection pane="topRight"/>
      <selection pane="bottomLeft"/>
      <selection pane="bottomRight" activeCell="L48" sqref="L48"/>
    </sheetView>
  </sheetViews>
  <sheetFormatPr defaultColWidth="9" defaultRowHeight="14.4" x14ac:dyDescent="0.25"/>
  <cols>
    <col min="1" max="1" width="3.33203125" customWidth="1"/>
    <col min="2" max="2" width="13.77734375" customWidth="1"/>
    <col min="3" max="3" width="16.77734375" customWidth="1"/>
    <col min="4" max="4" width="12" customWidth="1"/>
    <col min="6" max="7" width="8" customWidth="1"/>
    <col min="8" max="8" width="5.44140625" customWidth="1"/>
    <col min="9" max="9" width="7.6640625" style="18" customWidth="1"/>
    <col min="10" max="10" width="10.5546875" style="19" customWidth="1"/>
    <col min="11" max="11" width="7.77734375" customWidth="1"/>
    <col min="12" max="12" width="6.77734375" customWidth="1"/>
    <col min="13" max="13" width="7.77734375" customWidth="1"/>
    <col min="14" max="15" width="9.21875" customWidth="1"/>
    <col min="16" max="16" width="8.88671875" customWidth="1"/>
    <col min="17" max="17" width="9.21875" customWidth="1"/>
    <col min="18" max="19" width="7.109375" customWidth="1"/>
    <col min="20" max="20" width="9.21875" customWidth="1"/>
    <col min="21" max="21" width="8.33203125" customWidth="1"/>
    <col min="22" max="22" width="13.109375" style="20" customWidth="1"/>
    <col min="23" max="23" width="6.5546875" customWidth="1"/>
    <col min="24" max="24" width="5.44140625" customWidth="1"/>
    <col min="28" max="28" width="9.88671875" customWidth="1"/>
    <col min="33" max="33" width="10.5546875" customWidth="1"/>
  </cols>
  <sheetData>
    <row r="1" spans="1:33" s="17" customFormat="1" ht="17.399999999999999" x14ac:dyDescent="0.25">
      <c r="A1" s="124" t="s">
        <v>59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Z1" s="64"/>
    </row>
    <row r="2" spans="1:33" s="17" customFormat="1" ht="13.5" customHeight="1" x14ac:dyDescent="0.25">
      <c r="A2" s="21" t="s">
        <v>60</v>
      </c>
      <c r="B2" s="135" t="s">
        <v>1</v>
      </c>
      <c r="C2" s="155" t="s">
        <v>61</v>
      </c>
      <c r="D2" s="137" t="s">
        <v>62</v>
      </c>
      <c r="E2" s="137" t="s">
        <v>63</v>
      </c>
      <c r="F2" s="125" t="s">
        <v>64</v>
      </c>
      <c r="G2" s="125"/>
      <c r="H2" s="125"/>
      <c r="I2" s="126" t="s">
        <v>65</v>
      </c>
      <c r="J2" s="127"/>
      <c r="K2" s="128" t="s">
        <v>66</v>
      </c>
      <c r="L2" s="129"/>
      <c r="M2" s="130"/>
      <c r="N2" s="142" t="s">
        <v>67</v>
      </c>
      <c r="O2" s="142" t="s">
        <v>8</v>
      </c>
      <c r="P2" s="126" t="s">
        <v>68</v>
      </c>
      <c r="Q2" s="131"/>
      <c r="R2" s="131"/>
      <c r="S2" s="131"/>
      <c r="T2" s="127"/>
      <c r="U2" s="142" t="s">
        <v>69</v>
      </c>
      <c r="V2" s="166" t="s">
        <v>97</v>
      </c>
      <c r="W2" s="155" t="s">
        <v>70</v>
      </c>
      <c r="X2" s="132" t="s">
        <v>71</v>
      </c>
      <c r="Y2" s="155" t="s">
        <v>72</v>
      </c>
      <c r="Z2" s="135" t="s">
        <v>98</v>
      </c>
    </row>
    <row r="3" spans="1:33" s="17" customFormat="1" ht="30.6" customHeight="1" x14ac:dyDescent="0.25">
      <c r="A3" s="23" t="s">
        <v>73</v>
      </c>
      <c r="B3" s="136"/>
      <c r="C3" s="156"/>
      <c r="D3" s="138"/>
      <c r="E3" s="162"/>
      <c r="F3" s="22" t="s">
        <v>74</v>
      </c>
      <c r="G3" s="22" t="s">
        <v>75</v>
      </c>
      <c r="H3" s="22" t="s">
        <v>76</v>
      </c>
      <c r="I3" s="35" t="s">
        <v>77</v>
      </c>
      <c r="J3" s="35" t="s">
        <v>78</v>
      </c>
      <c r="K3" s="36" t="s">
        <v>79</v>
      </c>
      <c r="L3" s="36" t="s">
        <v>80</v>
      </c>
      <c r="M3" s="36" t="s">
        <v>78</v>
      </c>
      <c r="N3" s="143"/>
      <c r="O3" s="144"/>
      <c r="P3" s="35" t="s">
        <v>81</v>
      </c>
      <c r="Q3" s="35" t="s">
        <v>82</v>
      </c>
      <c r="R3" s="35" t="s">
        <v>34</v>
      </c>
      <c r="S3" s="56" t="s">
        <v>83</v>
      </c>
      <c r="T3" s="57" t="s">
        <v>84</v>
      </c>
      <c r="U3" s="144"/>
      <c r="V3" s="167"/>
      <c r="W3" s="156"/>
      <c r="X3" s="155"/>
      <c r="Y3" s="156"/>
      <c r="Z3" s="136"/>
    </row>
    <row r="4" spans="1:33" s="17" customFormat="1" x14ac:dyDescent="0.25">
      <c r="A4" s="135">
        <v>1</v>
      </c>
      <c r="B4" s="139" t="s">
        <v>13</v>
      </c>
      <c r="C4" s="139" t="s">
        <v>14</v>
      </c>
      <c r="D4" s="139"/>
      <c r="E4" s="24" t="s">
        <v>85</v>
      </c>
      <c r="F4" s="25"/>
      <c r="G4" s="25"/>
      <c r="H4" s="25">
        <v>1</v>
      </c>
      <c r="I4" s="37">
        <v>4.5</v>
      </c>
      <c r="J4" s="38">
        <v>2.5</v>
      </c>
      <c r="K4" s="39">
        <v>1.6E-2</v>
      </c>
      <c r="L4" s="40">
        <v>0.01</v>
      </c>
      <c r="M4" s="41">
        <f>K4-L4</f>
        <v>6.0000000000000001E-3</v>
      </c>
      <c r="N4" s="42">
        <f>I4*K4-J4*M4</f>
        <v>5.7000000000000002E-2</v>
      </c>
      <c r="O4" s="42">
        <f>J4*M4</f>
        <v>1.4999999999999999E-2</v>
      </c>
      <c r="P4" s="43" t="s">
        <v>86</v>
      </c>
      <c r="Q4" s="58" t="s">
        <v>43</v>
      </c>
      <c r="R4" s="59">
        <f>VLOOKUP(Q4,冲压工序费!B:C,2,0)</f>
        <v>0.05</v>
      </c>
      <c r="S4" s="60">
        <v>2</v>
      </c>
      <c r="T4" s="59">
        <f>R4/S4</f>
        <v>2.5000000000000001E-2</v>
      </c>
      <c r="U4" s="145">
        <v>1.1200000000000001</v>
      </c>
      <c r="V4" s="168">
        <f>T10*U4-O10</f>
        <v>0.2482</v>
      </c>
      <c r="W4" s="165">
        <v>0</v>
      </c>
      <c r="X4" s="175">
        <v>0</v>
      </c>
      <c r="Y4" s="168">
        <f>V4+IF(W4=0,0,W4/X4)</f>
        <v>0.2482</v>
      </c>
      <c r="Z4" s="60" t="s">
        <v>99</v>
      </c>
    </row>
    <row r="5" spans="1:33" s="17" customFormat="1" x14ac:dyDescent="0.25">
      <c r="A5" s="146"/>
      <c r="B5" s="140"/>
      <c r="C5" s="140"/>
      <c r="D5" s="140"/>
      <c r="E5" s="26"/>
      <c r="F5" s="27"/>
      <c r="G5" s="27"/>
      <c r="H5" s="28"/>
      <c r="I5" s="44"/>
      <c r="J5" s="45"/>
      <c r="K5" s="46"/>
      <c r="L5" s="26"/>
      <c r="M5" s="47"/>
      <c r="N5" s="48"/>
      <c r="O5" s="48"/>
      <c r="P5" s="43" t="s">
        <v>87</v>
      </c>
      <c r="Q5" s="58" t="s">
        <v>88</v>
      </c>
      <c r="R5" s="59">
        <v>0.2</v>
      </c>
      <c r="S5" s="60">
        <v>2</v>
      </c>
      <c r="T5" s="59">
        <f t="shared" ref="T5:T9" si="0">R5/S5</f>
        <v>0.1</v>
      </c>
      <c r="U5" s="145"/>
      <c r="V5" s="169"/>
      <c r="W5" s="165"/>
      <c r="X5" s="176"/>
      <c r="Y5" s="169"/>
      <c r="Z5" s="60" t="s">
        <v>99</v>
      </c>
      <c r="AB5" s="65"/>
      <c r="AF5" s="66"/>
      <c r="AG5" s="65"/>
    </row>
    <row r="6" spans="1:33" s="17" customFormat="1" x14ac:dyDescent="0.25">
      <c r="A6" s="146"/>
      <c r="B6" s="140"/>
      <c r="C6" s="140"/>
      <c r="D6" s="140"/>
      <c r="E6" s="26"/>
      <c r="F6" s="27"/>
      <c r="G6" s="27"/>
      <c r="H6" s="28"/>
      <c r="I6" s="49"/>
      <c r="J6" s="45"/>
      <c r="K6" s="46"/>
      <c r="L6" s="26"/>
      <c r="M6" s="47"/>
      <c r="N6" s="42"/>
      <c r="O6" s="42"/>
      <c r="P6" s="43" t="s">
        <v>89</v>
      </c>
      <c r="Q6" s="58" t="s">
        <v>39</v>
      </c>
      <c r="R6" s="59">
        <f>VLOOKUP(Q6,冲压工序费!B:C,2,0)</f>
        <v>0.04</v>
      </c>
      <c r="S6" s="60">
        <v>2</v>
      </c>
      <c r="T6" s="59">
        <f t="shared" si="0"/>
        <v>0.02</v>
      </c>
      <c r="U6" s="145"/>
      <c r="V6" s="169"/>
      <c r="W6" s="165"/>
      <c r="X6" s="176"/>
      <c r="Y6" s="169"/>
      <c r="Z6" s="60" t="s">
        <v>99</v>
      </c>
    </row>
    <row r="7" spans="1:33" s="17" customFormat="1" x14ac:dyDescent="0.25">
      <c r="A7" s="146"/>
      <c r="B7" s="140"/>
      <c r="C7" s="140"/>
      <c r="D7" s="140"/>
      <c r="E7" s="26"/>
      <c r="F7" s="27"/>
      <c r="G7" s="27"/>
      <c r="H7" s="28"/>
      <c r="I7" s="49"/>
      <c r="J7" s="45"/>
      <c r="K7" s="46"/>
      <c r="L7" s="26"/>
      <c r="M7" s="47"/>
      <c r="N7" s="42"/>
      <c r="O7" s="42"/>
      <c r="P7" s="43" t="s">
        <v>90</v>
      </c>
      <c r="Q7" s="58" t="s">
        <v>39</v>
      </c>
      <c r="R7" s="59">
        <f>VLOOKUP(Q7,冲压工序费!B:C,2,0)</f>
        <v>0.04</v>
      </c>
      <c r="S7" s="60">
        <v>2</v>
      </c>
      <c r="T7" s="59">
        <f t="shared" si="0"/>
        <v>0.02</v>
      </c>
      <c r="U7" s="145"/>
      <c r="V7" s="169"/>
      <c r="W7" s="165"/>
      <c r="X7" s="176"/>
      <c r="Y7" s="169"/>
      <c r="Z7" s="60" t="s">
        <v>99</v>
      </c>
    </row>
    <row r="8" spans="1:33" s="17" customFormat="1" x14ac:dyDescent="0.25">
      <c r="A8" s="146"/>
      <c r="B8" s="140"/>
      <c r="C8" s="140"/>
      <c r="D8" s="140"/>
      <c r="E8" s="26"/>
      <c r="F8" s="27"/>
      <c r="G8" s="27"/>
      <c r="H8" s="28"/>
      <c r="I8" s="49"/>
      <c r="J8" s="45"/>
      <c r="K8" s="46"/>
      <c r="L8" s="26"/>
      <c r="M8" s="47"/>
      <c r="N8" s="42"/>
      <c r="O8" s="42"/>
      <c r="P8" s="43" t="s">
        <v>91</v>
      </c>
      <c r="Q8" s="58" t="s">
        <v>39</v>
      </c>
      <c r="R8" s="59">
        <f>VLOOKUP(Q8,冲压工序费!B:C,2,0)</f>
        <v>0.04</v>
      </c>
      <c r="S8" s="60">
        <v>2</v>
      </c>
      <c r="T8" s="59">
        <f t="shared" si="0"/>
        <v>0.02</v>
      </c>
      <c r="U8" s="145"/>
      <c r="V8" s="169"/>
      <c r="W8" s="165"/>
      <c r="X8" s="176"/>
      <c r="Y8" s="169"/>
      <c r="Z8" s="60" t="s">
        <v>99</v>
      </c>
    </row>
    <row r="9" spans="1:33" s="17" customFormat="1" x14ac:dyDescent="0.25">
      <c r="A9" s="146"/>
      <c r="B9" s="140"/>
      <c r="C9" s="140"/>
      <c r="D9" s="140"/>
      <c r="E9" s="26"/>
      <c r="F9" s="27"/>
      <c r="G9" s="27"/>
      <c r="H9" s="28"/>
      <c r="I9" s="49"/>
      <c r="J9" s="45"/>
      <c r="K9" s="46"/>
      <c r="L9" s="26"/>
      <c r="M9" s="47"/>
      <c r="N9" s="42"/>
      <c r="O9" s="42"/>
      <c r="P9" s="43" t="s">
        <v>92</v>
      </c>
      <c r="Q9" s="61" t="s">
        <v>39</v>
      </c>
      <c r="R9" s="62">
        <v>0.1</v>
      </c>
      <c r="S9" s="60">
        <v>2</v>
      </c>
      <c r="T9" s="59">
        <f t="shared" si="0"/>
        <v>0.05</v>
      </c>
      <c r="U9" s="145"/>
      <c r="V9" s="169"/>
      <c r="W9" s="165"/>
      <c r="X9" s="176"/>
      <c r="Y9" s="169"/>
      <c r="Z9" s="155" t="s">
        <v>100</v>
      </c>
    </row>
    <row r="10" spans="1:33" s="17" customFormat="1" x14ac:dyDescent="0.25">
      <c r="A10" s="136"/>
      <c r="B10" s="141"/>
      <c r="C10" s="141"/>
      <c r="D10" s="141"/>
      <c r="E10" s="132" t="s">
        <v>93</v>
      </c>
      <c r="F10" s="132"/>
      <c r="G10" s="132"/>
      <c r="H10" s="132"/>
      <c r="I10" s="132"/>
      <c r="J10" s="132"/>
      <c r="K10" s="132"/>
      <c r="L10" s="132"/>
      <c r="M10" s="132"/>
      <c r="N10" s="50">
        <f>SUM(N4:N9)</f>
        <v>5.7000000000000002E-2</v>
      </c>
      <c r="O10" s="50">
        <f>SUM(O4:O9)</f>
        <v>1.4999999999999999E-2</v>
      </c>
      <c r="P10" s="133" t="s">
        <v>94</v>
      </c>
      <c r="Q10" s="133"/>
      <c r="R10" s="133"/>
      <c r="S10" s="133"/>
      <c r="T10" s="63">
        <f>SUM(T4:T9)</f>
        <v>0.23499999999999999</v>
      </c>
      <c r="U10" s="145"/>
      <c r="V10" s="170"/>
      <c r="W10" s="165"/>
      <c r="X10" s="177"/>
      <c r="Y10" s="170"/>
      <c r="Z10" s="178"/>
    </row>
    <row r="11" spans="1:33" s="17" customFormat="1" x14ac:dyDescent="0.25">
      <c r="A11" s="135">
        <v>2</v>
      </c>
      <c r="B11" s="139" t="s">
        <v>16</v>
      </c>
      <c r="C11" s="139" t="s">
        <v>17</v>
      </c>
      <c r="D11" s="139"/>
      <c r="E11" s="24" t="s">
        <v>85</v>
      </c>
      <c r="F11" s="25"/>
      <c r="G11" s="25"/>
      <c r="H11" s="25">
        <v>1</v>
      </c>
      <c r="I11" s="37">
        <v>4.5</v>
      </c>
      <c r="J11" s="38">
        <v>2.5</v>
      </c>
      <c r="K11" s="39">
        <v>1.6E-2</v>
      </c>
      <c r="L11" s="40">
        <v>0.01</v>
      </c>
      <c r="M11" s="41">
        <f>K11-L11</f>
        <v>6.0000000000000001E-3</v>
      </c>
      <c r="N11" s="42">
        <f>I11*K11-J11*M11</f>
        <v>5.7000000000000002E-2</v>
      </c>
      <c r="O11" s="42">
        <f>J11*M11</f>
        <v>1.4999999999999999E-2</v>
      </c>
      <c r="P11" s="43" t="s">
        <v>86</v>
      </c>
      <c r="Q11" s="58" t="s">
        <v>43</v>
      </c>
      <c r="R11" s="59">
        <f>VLOOKUP(Q11,冲压工序费!B:C,2,0)</f>
        <v>0.05</v>
      </c>
      <c r="S11" s="60">
        <v>2</v>
      </c>
      <c r="T11" s="59">
        <f>R11/S11</f>
        <v>2.5000000000000001E-2</v>
      </c>
      <c r="U11" s="145">
        <v>1.1200000000000001</v>
      </c>
      <c r="V11" s="168">
        <f>T17*U11-O17</f>
        <v>0.2482</v>
      </c>
      <c r="W11" s="165">
        <v>0</v>
      </c>
      <c r="X11" s="175">
        <v>0</v>
      </c>
      <c r="Y11" s="168">
        <f>V11+IF(W11=0,0,W11/X11)</f>
        <v>0.2482</v>
      </c>
      <c r="Z11" s="60" t="s">
        <v>99</v>
      </c>
    </row>
    <row r="12" spans="1:33" s="17" customFormat="1" x14ac:dyDescent="0.25">
      <c r="A12" s="146"/>
      <c r="B12" s="140"/>
      <c r="C12" s="140"/>
      <c r="D12" s="140"/>
      <c r="E12" s="26"/>
      <c r="F12" s="27"/>
      <c r="G12" s="27"/>
      <c r="H12" s="28"/>
      <c r="I12" s="44"/>
      <c r="J12" s="45"/>
      <c r="K12" s="46"/>
      <c r="L12" s="26"/>
      <c r="M12" s="47"/>
      <c r="N12" s="48"/>
      <c r="O12" s="48"/>
      <c r="P12" s="43" t="s">
        <v>87</v>
      </c>
      <c r="Q12" s="58" t="s">
        <v>88</v>
      </c>
      <c r="R12" s="59">
        <v>0.2</v>
      </c>
      <c r="S12" s="60">
        <v>2</v>
      </c>
      <c r="T12" s="59">
        <f t="shared" ref="T12:T16" si="1">R12/S12</f>
        <v>0.1</v>
      </c>
      <c r="U12" s="145"/>
      <c r="V12" s="169"/>
      <c r="W12" s="165"/>
      <c r="X12" s="176"/>
      <c r="Y12" s="169"/>
      <c r="Z12" s="60" t="s">
        <v>99</v>
      </c>
      <c r="AB12" s="65"/>
      <c r="AF12" s="66"/>
      <c r="AG12" s="65"/>
    </row>
    <row r="13" spans="1:33" s="17" customFormat="1" x14ac:dyDescent="0.25">
      <c r="A13" s="146"/>
      <c r="B13" s="140"/>
      <c r="C13" s="140"/>
      <c r="D13" s="140"/>
      <c r="E13" s="26"/>
      <c r="F13" s="27"/>
      <c r="G13" s="27"/>
      <c r="H13" s="28"/>
      <c r="I13" s="49"/>
      <c r="J13" s="45"/>
      <c r="K13" s="46"/>
      <c r="L13" s="26"/>
      <c r="M13" s="47"/>
      <c r="N13" s="42"/>
      <c r="O13" s="42"/>
      <c r="P13" s="43" t="s">
        <v>89</v>
      </c>
      <c r="Q13" s="58" t="s">
        <v>39</v>
      </c>
      <c r="R13" s="59">
        <f>VLOOKUP(Q13,冲压工序费!B:C,2,0)</f>
        <v>0.04</v>
      </c>
      <c r="S13" s="60">
        <v>2</v>
      </c>
      <c r="T13" s="59">
        <f t="shared" si="1"/>
        <v>0.02</v>
      </c>
      <c r="U13" s="145"/>
      <c r="V13" s="169"/>
      <c r="W13" s="165"/>
      <c r="X13" s="176"/>
      <c r="Y13" s="169"/>
      <c r="Z13" s="60" t="s">
        <v>99</v>
      </c>
    </row>
    <row r="14" spans="1:33" s="17" customFormat="1" x14ac:dyDescent="0.25">
      <c r="A14" s="146"/>
      <c r="B14" s="140"/>
      <c r="C14" s="140"/>
      <c r="D14" s="140"/>
      <c r="E14" s="26"/>
      <c r="F14" s="27"/>
      <c r="G14" s="27"/>
      <c r="H14" s="28"/>
      <c r="I14" s="49"/>
      <c r="J14" s="45"/>
      <c r="K14" s="46"/>
      <c r="L14" s="26"/>
      <c r="M14" s="47"/>
      <c r="N14" s="42"/>
      <c r="O14" s="42"/>
      <c r="P14" s="43" t="s">
        <v>90</v>
      </c>
      <c r="Q14" s="58" t="s">
        <v>39</v>
      </c>
      <c r="R14" s="59">
        <f>VLOOKUP(Q14,冲压工序费!B:C,2,0)</f>
        <v>0.04</v>
      </c>
      <c r="S14" s="60">
        <v>2</v>
      </c>
      <c r="T14" s="59">
        <f t="shared" si="1"/>
        <v>0.02</v>
      </c>
      <c r="U14" s="145"/>
      <c r="V14" s="169"/>
      <c r="W14" s="165"/>
      <c r="X14" s="176"/>
      <c r="Y14" s="169"/>
      <c r="Z14" s="60" t="s">
        <v>99</v>
      </c>
    </row>
    <row r="15" spans="1:33" s="17" customFormat="1" x14ac:dyDescent="0.25">
      <c r="A15" s="146"/>
      <c r="B15" s="140"/>
      <c r="C15" s="140"/>
      <c r="D15" s="140"/>
      <c r="E15" s="26"/>
      <c r="F15" s="27"/>
      <c r="G15" s="27"/>
      <c r="H15" s="28"/>
      <c r="I15" s="49"/>
      <c r="J15" s="45"/>
      <c r="K15" s="46"/>
      <c r="L15" s="26"/>
      <c r="M15" s="47"/>
      <c r="N15" s="42"/>
      <c r="O15" s="42"/>
      <c r="P15" s="43" t="s">
        <v>91</v>
      </c>
      <c r="Q15" s="58" t="s">
        <v>39</v>
      </c>
      <c r="R15" s="59">
        <f>VLOOKUP(Q15,冲压工序费!B:C,2,0)</f>
        <v>0.04</v>
      </c>
      <c r="S15" s="60">
        <v>2</v>
      </c>
      <c r="T15" s="59">
        <f t="shared" si="1"/>
        <v>0.02</v>
      </c>
      <c r="U15" s="145"/>
      <c r="V15" s="169"/>
      <c r="W15" s="165"/>
      <c r="X15" s="176"/>
      <c r="Y15" s="169"/>
      <c r="Z15" s="60" t="s">
        <v>99</v>
      </c>
    </row>
    <row r="16" spans="1:33" s="17" customFormat="1" x14ac:dyDescent="0.25">
      <c r="A16" s="146"/>
      <c r="B16" s="140"/>
      <c r="C16" s="140"/>
      <c r="D16" s="140"/>
      <c r="E16" s="26"/>
      <c r="F16" s="27"/>
      <c r="G16" s="27"/>
      <c r="H16" s="28"/>
      <c r="I16" s="49"/>
      <c r="J16" s="45"/>
      <c r="K16" s="46"/>
      <c r="L16" s="26"/>
      <c r="M16" s="47"/>
      <c r="N16" s="42"/>
      <c r="O16" s="42"/>
      <c r="P16" s="43" t="s">
        <v>92</v>
      </c>
      <c r="Q16" s="61" t="s">
        <v>39</v>
      </c>
      <c r="R16" s="62">
        <v>0.1</v>
      </c>
      <c r="S16" s="60">
        <v>2</v>
      </c>
      <c r="T16" s="59">
        <f t="shared" si="1"/>
        <v>0.05</v>
      </c>
      <c r="U16" s="145"/>
      <c r="V16" s="169"/>
      <c r="W16" s="165"/>
      <c r="X16" s="176"/>
      <c r="Y16" s="169"/>
      <c r="Z16" s="155" t="s">
        <v>100</v>
      </c>
    </row>
    <row r="17" spans="1:33" s="17" customFormat="1" x14ac:dyDescent="0.25">
      <c r="A17" s="136"/>
      <c r="B17" s="141"/>
      <c r="C17" s="141"/>
      <c r="D17" s="141"/>
      <c r="E17" s="134" t="s">
        <v>93</v>
      </c>
      <c r="F17" s="134"/>
      <c r="G17" s="134"/>
      <c r="H17" s="134"/>
      <c r="I17" s="134"/>
      <c r="J17" s="134"/>
      <c r="K17" s="134"/>
      <c r="L17" s="134"/>
      <c r="M17" s="134"/>
      <c r="N17" s="50">
        <f>SUM(N11:N16)</f>
        <v>5.7000000000000002E-2</v>
      </c>
      <c r="O17" s="50">
        <f>SUM(O11:O16)</f>
        <v>1.4999999999999999E-2</v>
      </c>
      <c r="P17" s="133" t="s">
        <v>94</v>
      </c>
      <c r="Q17" s="133"/>
      <c r="R17" s="133"/>
      <c r="S17" s="133"/>
      <c r="T17" s="63">
        <f>SUM(T11:T16)</f>
        <v>0.23499999999999999</v>
      </c>
      <c r="U17" s="145"/>
      <c r="V17" s="170"/>
      <c r="W17" s="165"/>
      <c r="X17" s="177"/>
      <c r="Y17" s="170"/>
      <c r="Z17" s="178"/>
    </row>
    <row r="18" spans="1:33" s="17" customFormat="1" x14ac:dyDescent="0.25">
      <c r="A18" s="135">
        <v>3</v>
      </c>
      <c r="B18" s="139" t="s">
        <v>18</v>
      </c>
      <c r="C18" s="139" t="s">
        <v>19</v>
      </c>
      <c r="D18" s="139"/>
      <c r="E18" s="24" t="s">
        <v>95</v>
      </c>
      <c r="F18" s="25">
        <v>74</v>
      </c>
      <c r="G18" s="25">
        <v>65</v>
      </c>
      <c r="H18" s="25">
        <v>2</v>
      </c>
      <c r="I18" s="37">
        <v>4.5999999999999996</v>
      </c>
      <c r="J18" s="38">
        <v>2.5</v>
      </c>
      <c r="K18" s="96">
        <v>3.4000000000000002E-2</v>
      </c>
      <c r="L18" s="97">
        <v>2.1000000000000001E-2</v>
      </c>
      <c r="M18" s="98">
        <f>K18-L18</f>
        <v>1.3000000000000001E-2</v>
      </c>
      <c r="N18" s="42">
        <f>I18*K18-J18*M18</f>
        <v>0.12390000000000001</v>
      </c>
      <c r="O18" s="42">
        <f>J18*M18</f>
        <v>3.2500000000000001E-2</v>
      </c>
      <c r="P18" s="43" t="s">
        <v>86</v>
      </c>
      <c r="Q18" s="58" t="s">
        <v>41</v>
      </c>
      <c r="R18" s="59">
        <f>VLOOKUP(Q18,冲压工序费!B:C,2,0)</f>
        <v>0.04</v>
      </c>
      <c r="S18" s="60">
        <v>1</v>
      </c>
      <c r="T18" s="59">
        <f>R18/S18</f>
        <v>0.04</v>
      </c>
      <c r="U18" s="145">
        <v>1.1200000000000001</v>
      </c>
      <c r="V18" s="168">
        <f t="shared" ref="V18" si="2">T24*U18-O24</f>
        <v>5.7100000000000012E-2</v>
      </c>
      <c r="W18" s="165">
        <v>0</v>
      </c>
      <c r="X18" s="175">
        <v>0</v>
      </c>
      <c r="Y18" s="168">
        <f>V18+IF(W18=0,0,W18/X18)</f>
        <v>5.7100000000000012E-2</v>
      </c>
      <c r="Z18" s="60" t="s">
        <v>99</v>
      </c>
    </row>
    <row r="19" spans="1:33" s="17" customFormat="1" x14ac:dyDescent="0.25">
      <c r="A19" s="146"/>
      <c r="B19" s="140"/>
      <c r="C19" s="140"/>
      <c r="D19" s="140"/>
      <c r="E19" s="26"/>
      <c r="F19" s="27"/>
      <c r="G19" s="27"/>
      <c r="H19" s="28"/>
      <c r="I19" s="44"/>
      <c r="J19" s="45"/>
      <c r="K19" s="46"/>
      <c r="L19" s="26"/>
      <c r="M19" s="47"/>
      <c r="N19" s="88"/>
      <c r="O19" s="89"/>
      <c r="P19" s="43" t="s">
        <v>87</v>
      </c>
      <c r="Q19" s="58" t="s">
        <v>39</v>
      </c>
      <c r="R19" s="59">
        <f>VLOOKUP(Q19,冲压工序费!B:C,2,0)</f>
        <v>0.04</v>
      </c>
      <c r="S19" s="60">
        <v>1</v>
      </c>
      <c r="T19" s="59">
        <f t="shared" ref="T19" si="3">R19/S19</f>
        <v>0.04</v>
      </c>
      <c r="U19" s="145"/>
      <c r="V19" s="169"/>
      <c r="W19" s="165"/>
      <c r="X19" s="176"/>
      <c r="Y19" s="169"/>
      <c r="Z19" s="60" t="s">
        <v>99</v>
      </c>
      <c r="AB19" s="65"/>
      <c r="AF19" s="66"/>
      <c r="AG19" s="65"/>
    </row>
    <row r="20" spans="1:33" s="17" customFormat="1" x14ac:dyDescent="0.25">
      <c r="A20" s="146"/>
      <c r="B20" s="140"/>
      <c r="C20" s="140"/>
      <c r="D20" s="140"/>
      <c r="E20" s="26"/>
      <c r="F20" s="27"/>
      <c r="G20" s="27"/>
      <c r="H20" s="28"/>
      <c r="I20" s="49"/>
      <c r="J20" s="45"/>
      <c r="K20" s="46"/>
      <c r="L20" s="26"/>
      <c r="M20" s="47"/>
      <c r="N20" s="42"/>
      <c r="O20" s="42"/>
      <c r="P20" s="43"/>
      <c r="Q20" s="58"/>
      <c r="R20" s="59"/>
      <c r="S20" s="60"/>
      <c r="T20" s="59"/>
      <c r="U20" s="145"/>
      <c r="V20" s="169"/>
      <c r="W20" s="165"/>
      <c r="X20" s="176"/>
      <c r="Y20" s="169"/>
      <c r="Z20" s="60" t="s">
        <v>99</v>
      </c>
    </row>
    <row r="21" spans="1:33" s="17" customFormat="1" x14ac:dyDescent="0.25">
      <c r="A21" s="146"/>
      <c r="B21" s="140"/>
      <c r="C21" s="140"/>
      <c r="D21" s="140"/>
      <c r="E21" s="26"/>
      <c r="F21" s="27"/>
      <c r="G21" s="27"/>
      <c r="H21" s="28"/>
      <c r="I21" s="49"/>
      <c r="J21" s="45"/>
      <c r="K21" s="46"/>
      <c r="L21" s="26"/>
      <c r="M21" s="47"/>
      <c r="N21" s="42"/>
      <c r="O21" s="42"/>
      <c r="P21" s="43"/>
      <c r="Q21" s="58"/>
      <c r="R21" s="59"/>
      <c r="S21" s="60"/>
      <c r="T21" s="59"/>
      <c r="U21" s="145"/>
      <c r="V21" s="169"/>
      <c r="W21" s="165"/>
      <c r="X21" s="176"/>
      <c r="Y21" s="169"/>
      <c r="Z21" s="60" t="s">
        <v>99</v>
      </c>
    </row>
    <row r="22" spans="1:33" s="17" customFormat="1" x14ac:dyDescent="0.25">
      <c r="A22" s="146"/>
      <c r="B22" s="140"/>
      <c r="C22" s="140"/>
      <c r="D22" s="140"/>
      <c r="E22" s="26"/>
      <c r="F22" s="27"/>
      <c r="G22" s="27"/>
      <c r="H22" s="28"/>
      <c r="I22" s="49"/>
      <c r="J22" s="45"/>
      <c r="K22" s="46"/>
      <c r="L22" s="26"/>
      <c r="M22" s="47"/>
      <c r="N22" s="42"/>
      <c r="O22" s="42"/>
      <c r="P22" s="43"/>
      <c r="Q22" s="58"/>
      <c r="R22" s="59"/>
      <c r="S22" s="60"/>
      <c r="T22" s="59"/>
      <c r="U22" s="145"/>
      <c r="V22" s="169"/>
      <c r="W22" s="165"/>
      <c r="X22" s="176"/>
      <c r="Y22" s="169"/>
      <c r="Z22" s="60" t="s">
        <v>99</v>
      </c>
    </row>
    <row r="23" spans="1:33" s="17" customFormat="1" x14ac:dyDescent="0.25">
      <c r="A23" s="146"/>
      <c r="B23" s="140"/>
      <c r="C23" s="140"/>
      <c r="D23" s="140"/>
      <c r="E23" s="26"/>
      <c r="F23" s="27"/>
      <c r="G23" s="27"/>
      <c r="H23" s="28"/>
      <c r="I23" s="49"/>
      <c r="J23" s="45"/>
      <c r="K23" s="46"/>
      <c r="L23" s="26"/>
      <c r="M23" s="47"/>
      <c r="N23" s="42"/>
      <c r="O23" s="42"/>
      <c r="P23" s="43"/>
      <c r="Q23" s="58"/>
      <c r="R23" s="59"/>
      <c r="S23" s="60"/>
      <c r="T23" s="59"/>
      <c r="U23" s="145"/>
      <c r="V23" s="169"/>
      <c r="W23" s="165"/>
      <c r="X23" s="176"/>
      <c r="Y23" s="169"/>
      <c r="Z23" s="60" t="s">
        <v>99</v>
      </c>
    </row>
    <row r="24" spans="1:33" s="17" customFormat="1" x14ac:dyDescent="0.25">
      <c r="A24" s="136"/>
      <c r="B24" s="141"/>
      <c r="C24" s="141"/>
      <c r="D24" s="141"/>
      <c r="E24" s="134" t="s">
        <v>93</v>
      </c>
      <c r="F24" s="134"/>
      <c r="G24" s="134"/>
      <c r="H24" s="134"/>
      <c r="I24" s="134"/>
      <c r="J24" s="134"/>
      <c r="K24" s="134"/>
      <c r="L24" s="134"/>
      <c r="M24" s="134"/>
      <c r="N24" s="50">
        <f>SUM(N18:N23)</f>
        <v>0.12390000000000001</v>
      </c>
      <c r="O24" s="50">
        <f>SUM(O18:O23)</f>
        <v>3.2500000000000001E-2</v>
      </c>
      <c r="P24" s="133" t="s">
        <v>94</v>
      </c>
      <c r="Q24" s="133"/>
      <c r="R24" s="133"/>
      <c r="S24" s="133"/>
      <c r="T24" s="63">
        <f>SUM(T18:T23)</f>
        <v>0.08</v>
      </c>
      <c r="U24" s="145"/>
      <c r="V24" s="170"/>
      <c r="W24" s="165"/>
      <c r="X24" s="177"/>
      <c r="Y24" s="170"/>
      <c r="Z24" s="60" t="s">
        <v>99</v>
      </c>
    </row>
    <row r="25" spans="1:33" s="17" customFormat="1" x14ac:dyDescent="0.25">
      <c r="A25" s="135">
        <v>5</v>
      </c>
      <c r="B25" s="139" t="s">
        <v>21</v>
      </c>
      <c r="C25" s="139" t="s">
        <v>22</v>
      </c>
      <c r="D25" s="139"/>
      <c r="E25" s="24" t="s">
        <v>96</v>
      </c>
      <c r="F25" s="25"/>
      <c r="G25" s="25"/>
      <c r="H25" s="25">
        <v>2</v>
      </c>
      <c r="I25" s="37">
        <v>4.9000000000000004</v>
      </c>
      <c r="J25" s="38">
        <v>2.5</v>
      </c>
      <c r="K25" s="68">
        <v>3.5999999999999997E-2</v>
      </c>
      <c r="L25" s="99">
        <v>2.9000000000000001E-2</v>
      </c>
      <c r="M25" s="100">
        <f>K25-L25</f>
        <v>6.9999999999999958E-3</v>
      </c>
      <c r="N25" s="42">
        <f>I25*K25-J25*M25</f>
        <v>0.15890000000000001</v>
      </c>
      <c r="O25" s="42">
        <f>J25*M25</f>
        <v>1.7499999999999988E-2</v>
      </c>
      <c r="P25" s="43" t="s">
        <v>86</v>
      </c>
      <c r="Q25" s="58" t="s">
        <v>41</v>
      </c>
      <c r="R25" s="59">
        <f>VLOOKUP(Q25,冲压工序费!B:C,2,0)</f>
        <v>0.04</v>
      </c>
      <c r="S25" s="60">
        <v>1</v>
      </c>
      <c r="T25" s="59">
        <f>R25/S25</f>
        <v>0.04</v>
      </c>
      <c r="U25" s="145">
        <v>1.1200000000000001</v>
      </c>
      <c r="V25" s="168">
        <f t="shared" ref="V25" si="4">T31*U25-O31</f>
        <v>0.11690000000000003</v>
      </c>
      <c r="W25" s="165">
        <v>0</v>
      </c>
      <c r="X25" s="175">
        <v>0</v>
      </c>
      <c r="Y25" s="168">
        <f>V25+IF(W25=0,0,W25/X25)</f>
        <v>0.11690000000000003</v>
      </c>
      <c r="Z25" s="60" t="s">
        <v>99</v>
      </c>
    </row>
    <row r="26" spans="1:33" s="17" customFormat="1" x14ac:dyDescent="0.25">
      <c r="A26" s="146"/>
      <c r="B26" s="140"/>
      <c r="C26" s="140"/>
      <c r="D26" s="140"/>
      <c r="E26" s="26"/>
      <c r="F26" s="27"/>
      <c r="G26" s="27"/>
      <c r="H26" s="28"/>
      <c r="I26" s="44"/>
      <c r="J26" s="45"/>
      <c r="K26" s="46"/>
      <c r="L26" s="26"/>
      <c r="M26" s="47"/>
      <c r="N26" s="48"/>
      <c r="O26" s="48">
        <f>J26*M26</f>
        <v>0</v>
      </c>
      <c r="P26" s="43" t="s">
        <v>87</v>
      </c>
      <c r="Q26" s="58" t="s">
        <v>39</v>
      </c>
      <c r="R26" s="59">
        <f>VLOOKUP(Q26,冲压工序费!B:C,2,0)</f>
        <v>0.04</v>
      </c>
      <c r="S26" s="60">
        <v>1</v>
      </c>
      <c r="T26" s="59">
        <f t="shared" ref="T26:T27" si="5">R26/S26</f>
        <v>0.04</v>
      </c>
      <c r="U26" s="145"/>
      <c r="V26" s="169"/>
      <c r="W26" s="165"/>
      <c r="X26" s="176"/>
      <c r="Y26" s="169"/>
      <c r="Z26" s="60" t="s">
        <v>99</v>
      </c>
      <c r="AB26" s="65"/>
      <c r="AF26" s="66"/>
      <c r="AG26" s="65"/>
    </row>
    <row r="27" spans="1:33" s="17" customFormat="1" x14ac:dyDescent="0.25">
      <c r="A27" s="146"/>
      <c r="B27" s="140"/>
      <c r="C27" s="140"/>
      <c r="D27" s="140"/>
      <c r="E27" s="26"/>
      <c r="F27" s="27"/>
      <c r="G27" s="27"/>
      <c r="H27" s="28"/>
      <c r="I27" s="49"/>
      <c r="J27" s="45"/>
      <c r="K27" s="46"/>
      <c r="L27" s="26"/>
      <c r="M27" s="47"/>
      <c r="N27" s="42"/>
      <c r="O27" s="42"/>
      <c r="P27" s="43" t="s">
        <v>91</v>
      </c>
      <c r="Q27" s="58" t="s">
        <v>39</v>
      </c>
      <c r="R27" s="59">
        <f>VLOOKUP(Q27,冲压工序费!B:C,2,0)</f>
        <v>0.04</v>
      </c>
      <c r="S27" s="60">
        <v>1</v>
      </c>
      <c r="T27" s="59">
        <f t="shared" si="5"/>
        <v>0.04</v>
      </c>
      <c r="U27" s="145"/>
      <c r="V27" s="169"/>
      <c r="W27" s="165"/>
      <c r="X27" s="176"/>
      <c r="Y27" s="169"/>
      <c r="Z27" s="60" t="s">
        <v>99</v>
      </c>
    </row>
    <row r="28" spans="1:33" s="17" customFormat="1" x14ac:dyDescent="0.25">
      <c r="A28" s="146"/>
      <c r="B28" s="140"/>
      <c r="C28" s="140"/>
      <c r="D28" s="140"/>
      <c r="E28" s="26"/>
      <c r="F28" s="27"/>
      <c r="G28" s="27"/>
      <c r="H28" s="28"/>
      <c r="I28" s="49"/>
      <c r="J28" s="45"/>
      <c r="K28" s="46"/>
      <c r="L28" s="26"/>
      <c r="M28" s="47"/>
      <c r="N28" s="42"/>
      <c r="O28" s="42"/>
      <c r="P28" s="43"/>
      <c r="Q28" s="58"/>
      <c r="R28" s="59"/>
      <c r="S28" s="60"/>
      <c r="T28" s="59"/>
      <c r="U28" s="145"/>
      <c r="V28" s="169"/>
      <c r="W28" s="165"/>
      <c r="X28" s="176"/>
      <c r="Y28" s="169"/>
      <c r="Z28" s="60" t="s">
        <v>99</v>
      </c>
    </row>
    <row r="29" spans="1:33" s="17" customFormat="1" x14ac:dyDescent="0.25">
      <c r="A29" s="146"/>
      <c r="B29" s="140"/>
      <c r="C29" s="140"/>
      <c r="D29" s="140"/>
      <c r="E29" s="26"/>
      <c r="F29" s="27"/>
      <c r="G29" s="27"/>
      <c r="H29" s="28"/>
      <c r="I29" s="49"/>
      <c r="J29" s="45"/>
      <c r="K29" s="46"/>
      <c r="L29" s="26"/>
      <c r="M29" s="47"/>
      <c r="N29" s="42"/>
      <c r="O29" s="42"/>
      <c r="P29" s="43"/>
      <c r="Q29" s="58"/>
      <c r="R29" s="59"/>
      <c r="S29" s="60"/>
      <c r="T29" s="59"/>
      <c r="U29" s="145"/>
      <c r="V29" s="169"/>
      <c r="W29" s="165"/>
      <c r="X29" s="176"/>
      <c r="Y29" s="169"/>
      <c r="Z29" s="60" t="s">
        <v>99</v>
      </c>
    </row>
    <row r="30" spans="1:33" s="17" customFormat="1" x14ac:dyDescent="0.25">
      <c r="A30" s="146"/>
      <c r="B30" s="140"/>
      <c r="C30" s="140"/>
      <c r="D30" s="140"/>
      <c r="E30" s="26"/>
      <c r="F30" s="27"/>
      <c r="G30" s="27"/>
      <c r="H30" s="28"/>
      <c r="I30" s="49"/>
      <c r="J30" s="45"/>
      <c r="K30" s="46"/>
      <c r="L30" s="26"/>
      <c r="M30" s="47"/>
      <c r="N30" s="42"/>
      <c r="O30" s="42"/>
      <c r="P30" s="43"/>
      <c r="Q30" s="58"/>
      <c r="R30" s="59"/>
      <c r="S30" s="60"/>
      <c r="T30" s="59"/>
      <c r="U30" s="145"/>
      <c r="V30" s="169"/>
      <c r="W30" s="165"/>
      <c r="X30" s="176"/>
      <c r="Y30" s="169"/>
      <c r="Z30" s="60" t="s">
        <v>99</v>
      </c>
    </row>
    <row r="31" spans="1:33" s="17" customFormat="1" x14ac:dyDescent="0.25">
      <c r="A31" s="136"/>
      <c r="B31" s="141"/>
      <c r="C31" s="141"/>
      <c r="D31" s="141"/>
      <c r="E31" s="134" t="s">
        <v>93</v>
      </c>
      <c r="F31" s="134"/>
      <c r="G31" s="134"/>
      <c r="H31" s="134"/>
      <c r="I31" s="134"/>
      <c r="J31" s="134"/>
      <c r="K31" s="134"/>
      <c r="L31" s="134"/>
      <c r="M31" s="134"/>
      <c r="N31" s="50">
        <f>SUM(N25:N30)</f>
        <v>0.15890000000000001</v>
      </c>
      <c r="O31" s="50">
        <f>SUM(O25:O30)</f>
        <v>1.7499999999999988E-2</v>
      </c>
      <c r="P31" s="133" t="s">
        <v>94</v>
      </c>
      <c r="Q31" s="133"/>
      <c r="R31" s="133"/>
      <c r="S31" s="133"/>
      <c r="T31" s="63">
        <f>SUM(T25:T30)</f>
        <v>0.12</v>
      </c>
      <c r="U31" s="145"/>
      <c r="V31" s="170"/>
      <c r="W31" s="165"/>
      <c r="X31" s="177"/>
      <c r="Y31" s="170"/>
      <c r="Z31" s="60" t="s">
        <v>99</v>
      </c>
    </row>
    <row r="32" spans="1:33" s="17" customFormat="1" x14ac:dyDescent="0.25">
      <c r="A32" s="135">
        <v>6</v>
      </c>
      <c r="B32" s="139" t="s">
        <v>24</v>
      </c>
      <c r="C32" s="139" t="s">
        <v>25</v>
      </c>
      <c r="D32" s="139"/>
      <c r="E32" s="24" t="s">
        <v>95</v>
      </c>
      <c r="F32" s="29">
        <f>65+H32*1.5</f>
        <v>68.75</v>
      </c>
      <c r="G32" s="29">
        <f>54+H32*1.5</f>
        <v>57.75</v>
      </c>
      <c r="H32" s="25">
        <v>2.5</v>
      </c>
      <c r="I32" s="37">
        <v>4.5999999999999996</v>
      </c>
      <c r="J32" s="38">
        <v>2.5</v>
      </c>
      <c r="K32" s="39">
        <v>4.8000000000000001E-2</v>
      </c>
      <c r="L32" s="51">
        <v>4.24E-2</v>
      </c>
      <c r="M32" s="41">
        <f>K32-L32</f>
        <v>5.5999999999999999E-3</v>
      </c>
      <c r="N32" s="42">
        <f>I32*K32-J32*M32</f>
        <v>0.20680000000000001</v>
      </c>
      <c r="O32" s="42">
        <f>J32*M32</f>
        <v>1.4E-2</v>
      </c>
      <c r="P32" s="43" t="s">
        <v>86</v>
      </c>
      <c r="Q32" s="58" t="s">
        <v>41</v>
      </c>
      <c r="R32" s="59">
        <f>VLOOKUP(Q32,冲压工序费!B:C,2,0)</f>
        <v>0.04</v>
      </c>
      <c r="S32" s="60">
        <v>1</v>
      </c>
      <c r="T32" s="59">
        <f>R32/S32</f>
        <v>0.04</v>
      </c>
      <c r="U32" s="145">
        <v>1.1200000000000001</v>
      </c>
      <c r="V32" s="168">
        <f t="shared" ref="V32" si="6">T38*U32-O38</f>
        <v>7.5600000000000001E-2</v>
      </c>
      <c r="W32" s="165">
        <v>0</v>
      </c>
      <c r="X32" s="175">
        <v>0</v>
      </c>
      <c r="Y32" s="168">
        <f>V32+IF(W32=0,0,W32/X32)</f>
        <v>7.5600000000000001E-2</v>
      </c>
      <c r="Z32" s="60" t="s">
        <v>99</v>
      </c>
    </row>
    <row r="33" spans="1:33" s="17" customFormat="1" x14ac:dyDescent="0.25">
      <c r="A33" s="146"/>
      <c r="B33" s="140"/>
      <c r="C33" s="140"/>
      <c r="D33" s="140"/>
      <c r="E33" s="26"/>
      <c r="F33" s="27"/>
      <c r="G33" s="27"/>
      <c r="H33" s="28"/>
      <c r="I33" s="44"/>
      <c r="J33" s="45"/>
      <c r="K33" s="46"/>
      <c r="L33" s="26"/>
      <c r="M33" s="47"/>
      <c r="N33" s="48"/>
      <c r="O33" s="48"/>
      <c r="P33" s="43" t="s">
        <v>87</v>
      </c>
      <c r="Q33" s="58" t="s">
        <v>39</v>
      </c>
      <c r="R33" s="59">
        <f>VLOOKUP(Q33,冲压工序费!B:C,2,0)</f>
        <v>0.04</v>
      </c>
      <c r="S33" s="60">
        <v>1</v>
      </c>
      <c r="T33" s="59">
        <f t="shared" ref="T33" si="7">R33/S33</f>
        <v>0.04</v>
      </c>
      <c r="U33" s="145"/>
      <c r="V33" s="169"/>
      <c r="W33" s="165"/>
      <c r="X33" s="176"/>
      <c r="Y33" s="169"/>
      <c r="Z33" s="60" t="s">
        <v>99</v>
      </c>
      <c r="AB33" s="65"/>
      <c r="AF33" s="66"/>
      <c r="AG33" s="65"/>
    </row>
    <row r="34" spans="1:33" s="17" customFormat="1" x14ac:dyDescent="0.25">
      <c r="A34" s="146"/>
      <c r="B34" s="140"/>
      <c r="C34" s="140"/>
      <c r="D34" s="140"/>
      <c r="E34" s="26"/>
      <c r="F34" s="27"/>
      <c r="G34" s="27"/>
      <c r="H34" s="28"/>
      <c r="I34" s="49"/>
      <c r="J34" s="45"/>
      <c r="K34" s="46"/>
      <c r="L34" s="26"/>
      <c r="M34" s="47"/>
      <c r="N34" s="42"/>
      <c r="O34" s="42"/>
      <c r="P34" s="43"/>
      <c r="Q34" s="58"/>
      <c r="R34" s="59"/>
      <c r="S34" s="60"/>
      <c r="T34" s="59"/>
      <c r="U34" s="145"/>
      <c r="V34" s="169"/>
      <c r="W34" s="165"/>
      <c r="X34" s="176"/>
      <c r="Y34" s="169"/>
      <c r="Z34" s="60" t="s">
        <v>99</v>
      </c>
    </row>
    <row r="35" spans="1:33" s="17" customFormat="1" x14ac:dyDescent="0.25">
      <c r="A35" s="146"/>
      <c r="B35" s="140"/>
      <c r="C35" s="140"/>
      <c r="D35" s="140"/>
      <c r="E35" s="26"/>
      <c r="F35" s="27"/>
      <c r="G35" s="27"/>
      <c r="H35" s="28"/>
      <c r="I35" s="49"/>
      <c r="J35" s="45"/>
      <c r="K35" s="46"/>
      <c r="L35" s="26"/>
      <c r="M35" s="47"/>
      <c r="N35" s="42"/>
      <c r="O35" s="42"/>
      <c r="P35" s="43"/>
      <c r="Q35" s="58"/>
      <c r="R35" s="59"/>
      <c r="S35" s="60"/>
      <c r="T35" s="59"/>
      <c r="U35" s="145"/>
      <c r="V35" s="169"/>
      <c r="W35" s="165"/>
      <c r="X35" s="176"/>
      <c r="Y35" s="169"/>
      <c r="Z35" s="60" t="s">
        <v>99</v>
      </c>
    </row>
    <row r="36" spans="1:33" s="17" customFormat="1" x14ac:dyDescent="0.25">
      <c r="A36" s="146"/>
      <c r="B36" s="140"/>
      <c r="C36" s="140"/>
      <c r="D36" s="140"/>
      <c r="E36" s="26"/>
      <c r="F36" s="27"/>
      <c r="G36" s="27"/>
      <c r="H36" s="28"/>
      <c r="I36" s="49"/>
      <c r="J36" s="45"/>
      <c r="K36" s="46"/>
      <c r="L36" s="26"/>
      <c r="M36" s="47"/>
      <c r="N36" s="42"/>
      <c r="O36" s="42"/>
      <c r="P36" s="43"/>
      <c r="Q36" s="58"/>
      <c r="R36" s="59"/>
      <c r="S36" s="60"/>
      <c r="T36" s="59"/>
      <c r="U36" s="145"/>
      <c r="V36" s="169"/>
      <c r="W36" s="165"/>
      <c r="X36" s="176"/>
      <c r="Y36" s="169"/>
      <c r="Z36" s="60" t="s">
        <v>99</v>
      </c>
    </row>
    <row r="37" spans="1:33" s="17" customFormat="1" x14ac:dyDescent="0.25">
      <c r="A37" s="146"/>
      <c r="B37" s="140"/>
      <c r="C37" s="140"/>
      <c r="D37" s="140"/>
      <c r="E37" s="26"/>
      <c r="F37" s="27"/>
      <c r="G37" s="27"/>
      <c r="H37" s="28"/>
      <c r="I37" s="49"/>
      <c r="J37" s="45"/>
      <c r="K37" s="46"/>
      <c r="L37" s="26"/>
      <c r="M37" s="47"/>
      <c r="N37" s="42"/>
      <c r="O37" s="42"/>
      <c r="P37" s="43"/>
      <c r="Q37" s="58"/>
      <c r="R37" s="59"/>
      <c r="S37" s="60"/>
      <c r="T37" s="59"/>
      <c r="U37" s="145"/>
      <c r="V37" s="169"/>
      <c r="W37" s="165"/>
      <c r="X37" s="176"/>
      <c r="Y37" s="169"/>
      <c r="Z37" s="60" t="s">
        <v>99</v>
      </c>
    </row>
    <row r="38" spans="1:33" s="17" customFormat="1" x14ac:dyDescent="0.25">
      <c r="A38" s="136"/>
      <c r="B38" s="141"/>
      <c r="C38" s="141"/>
      <c r="D38" s="141"/>
      <c r="E38" s="134" t="s">
        <v>93</v>
      </c>
      <c r="F38" s="134"/>
      <c r="G38" s="134"/>
      <c r="H38" s="134"/>
      <c r="I38" s="134"/>
      <c r="J38" s="134"/>
      <c r="K38" s="134"/>
      <c r="L38" s="134"/>
      <c r="M38" s="134"/>
      <c r="N38" s="50">
        <f>SUM(N32:N37)</f>
        <v>0.20680000000000001</v>
      </c>
      <c r="O38" s="50">
        <f>SUM(O32:O37)</f>
        <v>1.4E-2</v>
      </c>
      <c r="P38" s="133" t="s">
        <v>94</v>
      </c>
      <c r="Q38" s="133"/>
      <c r="R38" s="133"/>
      <c r="S38" s="133"/>
      <c r="T38" s="63">
        <f>SUM(T32:T37)</f>
        <v>0.08</v>
      </c>
      <c r="U38" s="145"/>
      <c r="V38" s="170"/>
      <c r="W38" s="165"/>
      <c r="X38" s="177"/>
      <c r="Y38" s="170"/>
      <c r="Z38" s="60" t="s">
        <v>99</v>
      </c>
    </row>
    <row r="39" spans="1:33" s="17" customFormat="1" ht="14.4" customHeight="1" x14ac:dyDescent="0.25">
      <c r="A39" s="135">
        <v>6</v>
      </c>
      <c r="B39" s="139" t="s">
        <v>27</v>
      </c>
      <c r="C39" s="139" t="s">
        <v>28</v>
      </c>
      <c r="D39" s="139"/>
      <c r="E39" s="24" t="s">
        <v>96</v>
      </c>
      <c r="F39" s="29">
        <f>67+H39*1.5</f>
        <v>70.75</v>
      </c>
      <c r="G39" s="29">
        <f>53+H39*1.5</f>
        <v>56.75</v>
      </c>
      <c r="H39" s="25">
        <v>2.5</v>
      </c>
      <c r="I39" s="37">
        <v>4.5999999999999996</v>
      </c>
      <c r="J39" s="38">
        <v>2.5</v>
      </c>
      <c r="K39" s="68">
        <v>3.8800000000000001E-2</v>
      </c>
      <c r="L39" s="99">
        <v>3.6999999999999998E-2</v>
      </c>
      <c r="M39" s="100">
        <f>K39-L39</f>
        <v>1.800000000000003E-3</v>
      </c>
      <c r="N39" s="42">
        <f>I39*K39-J39*M39</f>
        <v>0.17398</v>
      </c>
      <c r="O39" s="42">
        <f>J39*M39</f>
        <v>4.5000000000000075E-3</v>
      </c>
      <c r="P39" s="43" t="s">
        <v>86</v>
      </c>
      <c r="Q39" s="58" t="s">
        <v>41</v>
      </c>
      <c r="R39" s="59">
        <f>VLOOKUP(Q39,冲压工序费!B:C,2,0)</f>
        <v>0.04</v>
      </c>
      <c r="S39" s="60">
        <v>1</v>
      </c>
      <c r="T39" s="59">
        <f>R39/S39</f>
        <v>0.04</v>
      </c>
      <c r="U39" s="145">
        <v>1.1200000000000001</v>
      </c>
      <c r="V39" s="168">
        <f t="shared" ref="V39" si="8">T45*U39-O45</f>
        <v>8.5100000000000009E-2</v>
      </c>
      <c r="W39" s="165">
        <v>0</v>
      </c>
      <c r="X39" s="175">
        <v>0</v>
      </c>
      <c r="Y39" s="168">
        <f>V39+IF(W39=0,0,W39/X39)</f>
        <v>8.5100000000000009E-2</v>
      </c>
      <c r="Z39" s="60" t="s">
        <v>99</v>
      </c>
    </row>
    <row r="40" spans="1:33" s="17" customFormat="1" x14ac:dyDescent="0.25">
      <c r="A40" s="146"/>
      <c r="B40" s="140"/>
      <c r="C40" s="140"/>
      <c r="D40" s="140"/>
      <c r="E40" s="26"/>
      <c r="F40" s="27"/>
      <c r="G40" s="27"/>
      <c r="H40" s="28"/>
      <c r="I40" s="44"/>
      <c r="J40" s="38"/>
      <c r="K40" s="46"/>
      <c r="L40" s="26"/>
      <c r="M40" s="47"/>
      <c r="N40" s="88"/>
      <c r="O40" s="89"/>
      <c r="P40" s="43" t="s">
        <v>87</v>
      </c>
      <c r="Q40" s="58" t="s">
        <v>39</v>
      </c>
      <c r="R40" s="59">
        <f>VLOOKUP(Q40,冲压工序费!B:C,2,0)</f>
        <v>0.04</v>
      </c>
      <c r="S40" s="60">
        <v>1</v>
      </c>
      <c r="T40" s="59">
        <f t="shared" ref="T40" si="9">R40/S40</f>
        <v>0.04</v>
      </c>
      <c r="U40" s="145"/>
      <c r="V40" s="169"/>
      <c r="W40" s="165"/>
      <c r="X40" s="176"/>
      <c r="Y40" s="169"/>
      <c r="Z40" s="60" t="s">
        <v>99</v>
      </c>
      <c r="AB40" s="65"/>
      <c r="AF40" s="66"/>
      <c r="AG40" s="65"/>
    </row>
    <row r="41" spans="1:33" s="17" customFormat="1" x14ac:dyDescent="0.25">
      <c r="A41" s="146"/>
      <c r="B41" s="140"/>
      <c r="C41" s="140"/>
      <c r="D41" s="140"/>
      <c r="E41" s="26"/>
      <c r="F41" s="27"/>
      <c r="G41" s="27"/>
      <c r="H41" s="28"/>
      <c r="I41" s="49"/>
      <c r="J41" s="45"/>
      <c r="K41" s="46"/>
      <c r="L41" s="26"/>
      <c r="M41" s="47"/>
      <c r="N41" s="42"/>
      <c r="O41" s="42"/>
      <c r="P41" s="43"/>
      <c r="Q41" s="58"/>
      <c r="R41" s="59"/>
      <c r="S41" s="60"/>
      <c r="T41" s="59"/>
      <c r="U41" s="145"/>
      <c r="V41" s="169"/>
      <c r="W41" s="165"/>
      <c r="X41" s="176"/>
      <c r="Y41" s="169"/>
      <c r="Z41" s="60" t="s">
        <v>99</v>
      </c>
    </row>
    <row r="42" spans="1:33" s="17" customFormat="1" x14ac:dyDescent="0.25">
      <c r="A42" s="146"/>
      <c r="B42" s="140"/>
      <c r="C42" s="140"/>
      <c r="D42" s="140"/>
      <c r="E42" s="26"/>
      <c r="F42" s="27"/>
      <c r="G42" s="27"/>
      <c r="H42" s="28"/>
      <c r="I42" s="49"/>
      <c r="J42" s="45"/>
      <c r="K42" s="46"/>
      <c r="L42" s="26"/>
      <c r="M42" s="47"/>
      <c r="N42" s="42"/>
      <c r="O42" s="42"/>
      <c r="P42" s="43"/>
      <c r="Q42" s="58"/>
      <c r="R42" s="59"/>
      <c r="S42" s="60"/>
      <c r="T42" s="59"/>
      <c r="U42" s="145"/>
      <c r="V42" s="169"/>
      <c r="W42" s="165"/>
      <c r="X42" s="176"/>
      <c r="Y42" s="169"/>
      <c r="Z42" s="60" t="s">
        <v>99</v>
      </c>
    </row>
    <row r="43" spans="1:33" s="17" customFormat="1" x14ac:dyDescent="0.25">
      <c r="A43" s="146"/>
      <c r="B43" s="140"/>
      <c r="C43" s="140"/>
      <c r="D43" s="140"/>
      <c r="E43" s="26"/>
      <c r="F43" s="27"/>
      <c r="G43" s="27"/>
      <c r="H43" s="28"/>
      <c r="I43" s="49"/>
      <c r="J43" s="45"/>
      <c r="K43" s="46"/>
      <c r="L43" s="26"/>
      <c r="M43" s="47"/>
      <c r="N43" s="42"/>
      <c r="O43" s="42"/>
      <c r="P43" s="43"/>
      <c r="Q43" s="58"/>
      <c r="R43" s="59"/>
      <c r="S43" s="60"/>
      <c r="T43" s="59"/>
      <c r="U43" s="145"/>
      <c r="V43" s="169"/>
      <c r="W43" s="165"/>
      <c r="X43" s="176"/>
      <c r="Y43" s="169"/>
      <c r="Z43" s="60" t="s">
        <v>99</v>
      </c>
    </row>
    <row r="44" spans="1:33" s="17" customFormat="1" x14ac:dyDescent="0.25">
      <c r="A44" s="146"/>
      <c r="B44" s="140"/>
      <c r="C44" s="140"/>
      <c r="D44" s="140"/>
      <c r="E44" s="26"/>
      <c r="F44" s="27"/>
      <c r="G44" s="27"/>
      <c r="H44" s="28"/>
      <c r="I44" s="49"/>
      <c r="J44" s="45"/>
      <c r="K44" s="46"/>
      <c r="L44" s="26"/>
      <c r="M44" s="47"/>
      <c r="N44" s="42"/>
      <c r="O44" s="42"/>
      <c r="P44" s="43"/>
      <c r="Q44" s="58"/>
      <c r="R44" s="59"/>
      <c r="S44" s="60"/>
      <c r="T44" s="59"/>
      <c r="U44" s="145"/>
      <c r="V44" s="169"/>
      <c r="W44" s="165"/>
      <c r="X44" s="176"/>
      <c r="Y44" s="169"/>
      <c r="Z44" s="60" t="s">
        <v>99</v>
      </c>
    </row>
    <row r="45" spans="1:33" s="17" customFormat="1" x14ac:dyDescent="0.25">
      <c r="A45" s="136"/>
      <c r="B45" s="141"/>
      <c r="C45" s="141"/>
      <c r="D45" s="141"/>
      <c r="E45" s="134" t="s">
        <v>93</v>
      </c>
      <c r="F45" s="134"/>
      <c r="G45" s="134"/>
      <c r="H45" s="134"/>
      <c r="I45" s="134"/>
      <c r="J45" s="134"/>
      <c r="K45" s="134"/>
      <c r="L45" s="134"/>
      <c r="M45" s="134"/>
      <c r="N45" s="50">
        <f>SUM(N39:N44)</f>
        <v>0.17398</v>
      </c>
      <c r="O45" s="50">
        <f>SUM(O39:O44)</f>
        <v>4.5000000000000075E-3</v>
      </c>
      <c r="P45" s="133" t="s">
        <v>94</v>
      </c>
      <c r="Q45" s="133"/>
      <c r="R45" s="133"/>
      <c r="S45" s="133"/>
      <c r="T45" s="63">
        <f>SUM(T39:T44)</f>
        <v>0.08</v>
      </c>
      <c r="U45" s="145"/>
      <c r="V45" s="170"/>
      <c r="W45" s="165"/>
      <c r="X45" s="177"/>
      <c r="Y45" s="170"/>
      <c r="Z45" s="60" t="s">
        <v>99</v>
      </c>
    </row>
    <row r="46" spans="1:33" s="17" customFormat="1" ht="14.4" customHeight="1" x14ac:dyDescent="0.25">
      <c r="A46" s="135">
        <v>6</v>
      </c>
      <c r="B46" s="139" t="s">
        <v>30</v>
      </c>
      <c r="C46" s="139" t="s">
        <v>31</v>
      </c>
      <c r="D46" s="139"/>
      <c r="E46" s="24" t="s">
        <v>96</v>
      </c>
      <c r="F46" s="29">
        <f>67+H46*1.5</f>
        <v>70.75</v>
      </c>
      <c r="G46" s="29">
        <f>53+H46*1.5</f>
        <v>56.75</v>
      </c>
      <c r="H46" s="25">
        <v>2.5</v>
      </c>
      <c r="I46" s="37">
        <v>4.5999999999999996</v>
      </c>
      <c r="J46" s="38">
        <v>2.5</v>
      </c>
      <c r="K46" s="68">
        <v>3.8800000000000001E-2</v>
      </c>
      <c r="L46" s="99">
        <v>3.6999999999999998E-2</v>
      </c>
      <c r="M46" s="41">
        <f>K46-L46</f>
        <v>1.800000000000003E-3</v>
      </c>
      <c r="N46" s="42">
        <f>I46*K46-J46*M46</f>
        <v>0.17398</v>
      </c>
      <c r="O46" s="42">
        <f>J46*M46</f>
        <v>4.5000000000000075E-3</v>
      </c>
      <c r="P46" s="43" t="s">
        <v>86</v>
      </c>
      <c r="Q46" s="58" t="s">
        <v>41</v>
      </c>
      <c r="R46" s="59">
        <f>VLOOKUP(Q46,冲压工序费!B:C,2,0)</f>
        <v>0.04</v>
      </c>
      <c r="S46" s="60">
        <v>1</v>
      </c>
      <c r="T46" s="59">
        <f>R46/S46</f>
        <v>0.04</v>
      </c>
      <c r="U46" s="145">
        <v>1.1200000000000001</v>
      </c>
      <c r="V46" s="168">
        <f t="shared" ref="V46" si="10">T52*U46-O52</f>
        <v>8.5100000000000009E-2</v>
      </c>
      <c r="W46" s="165">
        <v>0</v>
      </c>
      <c r="X46" s="175">
        <v>0</v>
      </c>
      <c r="Y46" s="168">
        <f>V46+IF(W46=0,0,W46/X46)</f>
        <v>8.5100000000000009E-2</v>
      </c>
      <c r="Z46" s="60" t="s">
        <v>99</v>
      </c>
    </row>
    <row r="47" spans="1:33" s="17" customFormat="1" x14ac:dyDescent="0.25">
      <c r="A47" s="146"/>
      <c r="B47" s="140"/>
      <c r="C47" s="140"/>
      <c r="D47" s="140"/>
      <c r="E47" s="26"/>
      <c r="F47" s="27"/>
      <c r="G47" s="27"/>
      <c r="H47" s="28"/>
      <c r="I47" s="44"/>
      <c r="J47" s="38"/>
      <c r="K47" s="46"/>
      <c r="L47" s="26"/>
      <c r="M47" s="47"/>
      <c r="N47" s="88"/>
      <c r="O47" s="89"/>
      <c r="P47" s="43" t="s">
        <v>87</v>
      </c>
      <c r="Q47" s="58" t="s">
        <v>39</v>
      </c>
      <c r="R47" s="59">
        <f>VLOOKUP(Q47,冲压工序费!B:C,2,0)</f>
        <v>0.04</v>
      </c>
      <c r="S47" s="60">
        <v>1</v>
      </c>
      <c r="T47" s="59">
        <f t="shared" ref="T47" si="11">R47/S47</f>
        <v>0.04</v>
      </c>
      <c r="U47" s="145"/>
      <c r="V47" s="169"/>
      <c r="W47" s="165"/>
      <c r="X47" s="176"/>
      <c r="Y47" s="169"/>
      <c r="Z47" s="60" t="s">
        <v>99</v>
      </c>
      <c r="AB47" s="65"/>
      <c r="AF47" s="66"/>
      <c r="AG47" s="65"/>
    </row>
    <row r="48" spans="1:33" s="17" customFormat="1" x14ac:dyDescent="0.25">
      <c r="A48" s="146"/>
      <c r="B48" s="140"/>
      <c r="C48" s="140"/>
      <c r="D48" s="140"/>
      <c r="E48" s="26"/>
      <c r="F48" s="27"/>
      <c r="G48" s="27"/>
      <c r="H48" s="28"/>
      <c r="I48" s="49"/>
      <c r="J48" s="45"/>
      <c r="K48" s="46"/>
      <c r="L48" s="26"/>
      <c r="M48" s="47"/>
      <c r="N48" s="42"/>
      <c r="O48" s="42"/>
      <c r="P48" s="43"/>
      <c r="Q48" s="58"/>
      <c r="R48" s="59"/>
      <c r="S48" s="60"/>
      <c r="T48" s="59"/>
      <c r="U48" s="145"/>
      <c r="V48" s="169"/>
      <c r="W48" s="165"/>
      <c r="X48" s="176"/>
      <c r="Y48" s="169"/>
      <c r="Z48" s="60" t="s">
        <v>99</v>
      </c>
    </row>
    <row r="49" spans="1:26" s="17" customFormat="1" x14ac:dyDescent="0.25">
      <c r="A49" s="146"/>
      <c r="B49" s="140"/>
      <c r="C49" s="140"/>
      <c r="D49" s="140"/>
      <c r="E49" s="26"/>
      <c r="F49" s="27"/>
      <c r="G49" s="27"/>
      <c r="H49" s="28"/>
      <c r="I49" s="49"/>
      <c r="J49" s="45"/>
      <c r="K49" s="46"/>
      <c r="L49" s="26"/>
      <c r="M49" s="47"/>
      <c r="N49" s="42"/>
      <c r="O49" s="42"/>
      <c r="P49" s="43"/>
      <c r="Q49" s="58"/>
      <c r="R49" s="59"/>
      <c r="S49" s="60"/>
      <c r="T49" s="59"/>
      <c r="U49" s="145"/>
      <c r="V49" s="169"/>
      <c r="W49" s="165"/>
      <c r="X49" s="176"/>
      <c r="Y49" s="169"/>
      <c r="Z49" s="60" t="s">
        <v>99</v>
      </c>
    </row>
    <row r="50" spans="1:26" s="17" customFormat="1" x14ac:dyDescent="0.25">
      <c r="A50" s="146"/>
      <c r="B50" s="140"/>
      <c r="C50" s="140"/>
      <c r="D50" s="140"/>
      <c r="E50" s="26"/>
      <c r="F50" s="27"/>
      <c r="G50" s="27"/>
      <c r="H50" s="28"/>
      <c r="I50" s="49"/>
      <c r="J50" s="45"/>
      <c r="K50" s="46"/>
      <c r="L50" s="26"/>
      <c r="M50" s="47"/>
      <c r="N50" s="42"/>
      <c r="O50" s="42"/>
      <c r="P50" s="43"/>
      <c r="Q50" s="58"/>
      <c r="R50" s="59"/>
      <c r="S50" s="60"/>
      <c r="T50" s="59"/>
      <c r="U50" s="145"/>
      <c r="V50" s="169"/>
      <c r="W50" s="165"/>
      <c r="X50" s="176"/>
      <c r="Y50" s="169"/>
      <c r="Z50" s="60" t="s">
        <v>99</v>
      </c>
    </row>
    <row r="51" spans="1:26" s="17" customFormat="1" x14ac:dyDescent="0.25">
      <c r="A51" s="146"/>
      <c r="B51" s="140"/>
      <c r="C51" s="140"/>
      <c r="D51" s="140"/>
      <c r="E51" s="26"/>
      <c r="F51" s="27"/>
      <c r="G51" s="27"/>
      <c r="H51" s="28"/>
      <c r="I51" s="49"/>
      <c r="J51" s="45"/>
      <c r="K51" s="46"/>
      <c r="L51" s="26"/>
      <c r="M51" s="47"/>
      <c r="N51" s="42"/>
      <c r="O51" s="42"/>
      <c r="P51" s="43"/>
      <c r="Q51" s="58"/>
      <c r="R51" s="59"/>
      <c r="S51" s="60"/>
      <c r="T51" s="59"/>
      <c r="U51" s="145"/>
      <c r="V51" s="169"/>
      <c r="W51" s="165"/>
      <c r="X51" s="176"/>
      <c r="Y51" s="169"/>
      <c r="Z51" s="60" t="s">
        <v>99</v>
      </c>
    </row>
    <row r="52" spans="1:26" s="17" customFormat="1" x14ac:dyDescent="0.25">
      <c r="A52" s="136"/>
      <c r="B52" s="141"/>
      <c r="C52" s="141"/>
      <c r="D52" s="141"/>
      <c r="E52" s="134" t="s">
        <v>93</v>
      </c>
      <c r="F52" s="134"/>
      <c r="G52" s="134"/>
      <c r="H52" s="134"/>
      <c r="I52" s="134"/>
      <c r="J52" s="134"/>
      <c r="K52" s="134"/>
      <c r="L52" s="134"/>
      <c r="M52" s="134"/>
      <c r="N52" s="50">
        <f>SUM(N46:N51)</f>
        <v>0.17398</v>
      </c>
      <c r="O52" s="50">
        <f>SUM(O46:O51)</f>
        <v>4.5000000000000075E-3</v>
      </c>
      <c r="P52" s="133" t="s">
        <v>94</v>
      </c>
      <c r="Q52" s="133"/>
      <c r="R52" s="133"/>
      <c r="S52" s="133"/>
      <c r="T52" s="63">
        <f>SUM(T46:T51)</f>
        <v>0.08</v>
      </c>
      <c r="U52" s="145"/>
      <c r="V52" s="170"/>
      <c r="W52" s="165"/>
      <c r="X52" s="177"/>
      <c r="Y52" s="170"/>
      <c r="Z52" s="60" t="s">
        <v>99</v>
      </c>
    </row>
    <row r="53" spans="1:26" x14ac:dyDescent="0.25">
      <c r="B53" s="147" t="s">
        <v>101</v>
      </c>
      <c r="C53" s="147" t="s">
        <v>102</v>
      </c>
      <c r="D53" s="147"/>
      <c r="E53" s="147" t="s">
        <v>95</v>
      </c>
      <c r="F53" s="147">
        <v>1260</v>
      </c>
      <c r="G53" s="147">
        <v>147</v>
      </c>
      <c r="H53" s="147">
        <v>2</v>
      </c>
      <c r="I53" s="52"/>
      <c r="J53" s="53">
        <v>2.5</v>
      </c>
      <c r="K53" s="34">
        <f>L53+M53</f>
        <v>5.3999999999999999E-2</v>
      </c>
      <c r="L53" s="34">
        <v>4.3999999999999997E-2</v>
      </c>
      <c r="M53" s="34">
        <v>0.01</v>
      </c>
      <c r="N53" s="34"/>
      <c r="O53" s="42">
        <f>J53*M53</f>
        <v>2.5000000000000001E-2</v>
      </c>
      <c r="P53" s="54" t="s">
        <v>86</v>
      </c>
      <c r="Q53" s="33" t="s">
        <v>41</v>
      </c>
      <c r="R53" s="34">
        <v>0.04</v>
      </c>
      <c r="S53" s="34"/>
      <c r="T53" s="33">
        <f>SUM(R53:R56)</f>
        <v>0.16</v>
      </c>
      <c r="U53" s="164">
        <v>1.1200000000000001</v>
      </c>
      <c r="V53" s="171">
        <f>T57*U53-O57</f>
        <v>0.15420000000000003</v>
      </c>
      <c r="W53" s="163"/>
      <c r="X53" s="163"/>
      <c r="Y53" s="163">
        <f>V53</f>
        <v>0.15420000000000003</v>
      </c>
      <c r="Z53" s="60" t="s">
        <v>99</v>
      </c>
    </row>
    <row r="54" spans="1:26" x14ac:dyDescent="0.25">
      <c r="B54" s="148"/>
      <c r="C54" s="148"/>
      <c r="D54" s="148"/>
      <c r="E54" s="148"/>
      <c r="F54" s="148"/>
      <c r="G54" s="148"/>
      <c r="H54" s="148"/>
      <c r="I54" s="52"/>
      <c r="J54" s="53"/>
      <c r="K54" s="34"/>
      <c r="L54" s="34"/>
      <c r="M54" s="34"/>
      <c r="N54" s="34"/>
      <c r="O54" s="33"/>
      <c r="P54" s="54" t="s">
        <v>87</v>
      </c>
      <c r="Q54" s="33" t="s">
        <v>39</v>
      </c>
      <c r="R54" s="34">
        <v>0.04</v>
      </c>
      <c r="S54" s="34"/>
      <c r="T54" s="33"/>
      <c r="U54" s="163"/>
      <c r="V54" s="171"/>
      <c r="W54" s="163"/>
      <c r="X54" s="163"/>
      <c r="Y54" s="163"/>
      <c r="Z54" s="60" t="s">
        <v>99</v>
      </c>
    </row>
    <row r="55" spans="1:26" x14ac:dyDescent="0.25">
      <c r="B55" s="148"/>
      <c r="C55" s="148"/>
      <c r="D55" s="148"/>
      <c r="E55" s="148"/>
      <c r="F55" s="148"/>
      <c r="G55" s="148"/>
      <c r="H55" s="148"/>
      <c r="I55" s="52"/>
      <c r="J55" s="53"/>
      <c r="K55" s="34"/>
      <c r="L55" s="34"/>
      <c r="M55" s="34"/>
      <c r="N55" s="34"/>
      <c r="O55" s="33"/>
      <c r="P55" s="54" t="s">
        <v>87</v>
      </c>
      <c r="Q55" s="33">
        <v>45</v>
      </c>
      <c r="R55" s="34">
        <v>0.04</v>
      </c>
      <c r="S55" s="34"/>
      <c r="T55" s="33"/>
      <c r="U55" s="163"/>
      <c r="V55" s="171"/>
      <c r="W55" s="163"/>
      <c r="X55" s="163"/>
      <c r="Y55" s="163"/>
      <c r="Z55" s="60" t="s">
        <v>99</v>
      </c>
    </row>
    <row r="56" spans="1:26" x14ac:dyDescent="0.25">
      <c r="B56" s="148"/>
      <c r="C56" s="148"/>
      <c r="D56" s="148"/>
      <c r="E56" s="148"/>
      <c r="F56" s="148"/>
      <c r="G56" s="148"/>
      <c r="H56" s="148"/>
      <c r="I56" s="52"/>
      <c r="J56" s="53"/>
      <c r="K56" s="34"/>
      <c r="L56" s="34"/>
      <c r="M56" s="34"/>
      <c r="N56" s="34"/>
      <c r="O56" s="33"/>
      <c r="P56" s="54" t="s">
        <v>91</v>
      </c>
      <c r="Q56" s="33">
        <v>45</v>
      </c>
      <c r="R56" s="34">
        <v>0.04</v>
      </c>
      <c r="S56" s="34"/>
      <c r="T56" s="33"/>
      <c r="U56" s="163"/>
      <c r="V56" s="171"/>
      <c r="W56" s="163"/>
      <c r="X56" s="163"/>
      <c r="Y56" s="163"/>
      <c r="Z56" s="60" t="s">
        <v>99</v>
      </c>
    </row>
    <row r="57" spans="1:26" s="91" customFormat="1" x14ac:dyDescent="0.25">
      <c r="B57" s="118"/>
      <c r="C57" s="118"/>
      <c r="D57" s="118"/>
      <c r="E57" s="148"/>
      <c r="F57" s="148"/>
      <c r="G57" s="148"/>
      <c r="H57" s="148"/>
      <c r="I57" s="92"/>
      <c r="J57" s="93"/>
      <c r="K57" s="94"/>
      <c r="L57" s="94"/>
      <c r="M57" s="94"/>
      <c r="N57" s="50"/>
      <c r="O57" s="50">
        <f>SUM(O53:O56)</f>
        <v>2.5000000000000001E-2</v>
      </c>
      <c r="P57" s="133" t="s">
        <v>94</v>
      </c>
      <c r="Q57" s="133"/>
      <c r="R57" s="133"/>
      <c r="S57" s="133"/>
      <c r="T57" s="63">
        <f>SUM(T53:T56)</f>
        <v>0.16</v>
      </c>
      <c r="U57" s="163"/>
      <c r="V57" s="171"/>
      <c r="W57" s="163"/>
      <c r="X57" s="163"/>
      <c r="Y57" s="163"/>
      <c r="Z57" s="95" t="s">
        <v>99</v>
      </c>
    </row>
    <row r="58" spans="1:26" x14ac:dyDescent="0.25">
      <c r="B58" s="147" t="s">
        <v>103</v>
      </c>
      <c r="C58" s="147" t="s">
        <v>104</v>
      </c>
      <c r="D58" s="147"/>
      <c r="E58" s="147" t="s">
        <v>95</v>
      </c>
      <c r="F58" s="147">
        <v>1260</v>
      </c>
      <c r="G58" s="147">
        <v>215</v>
      </c>
      <c r="H58" s="147">
        <v>2</v>
      </c>
      <c r="I58" s="52"/>
      <c r="J58" s="53">
        <v>2.5</v>
      </c>
      <c r="K58" s="34">
        <f>L58+M58</f>
        <v>0.20799999999999999</v>
      </c>
      <c r="L58" s="34">
        <v>0.104</v>
      </c>
      <c r="M58" s="34">
        <v>0.104</v>
      </c>
      <c r="N58" s="34"/>
      <c r="O58" s="42">
        <f>J58*M58</f>
        <v>0.26</v>
      </c>
      <c r="P58" s="54" t="s">
        <v>86</v>
      </c>
      <c r="Q58" s="33">
        <v>80</v>
      </c>
      <c r="R58" s="34">
        <v>0.05</v>
      </c>
      <c r="S58" s="34"/>
      <c r="T58" s="33">
        <f>SUM(R58:R62)</f>
        <v>0.41</v>
      </c>
      <c r="U58" s="164">
        <v>1.1200000000000001</v>
      </c>
      <c r="V58" s="163">
        <f>T63*U58-O63</f>
        <v>0.19919999999999999</v>
      </c>
      <c r="W58" s="163"/>
      <c r="X58" s="163"/>
      <c r="Y58" s="163">
        <f>V58</f>
        <v>0.19919999999999999</v>
      </c>
      <c r="Z58" s="60" t="s">
        <v>99</v>
      </c>
    </row>
    <row r="59" spans="1:26" x14ac:dyDescent="0.25">
      <c r="B59" s="148"/>
      <c r="C59" s="148"/>
      <c r="D59" s="148"/>
      <c r="E59" s="148"/>
      <c r="F59" s="148"/>
      <c r="G59" s="148"/>
      <c r="H59" s="148"/>
      <c r="I59" s="52"/>
      <c r="J59" s="53"/>
      <c r="K59" s="34"/>
      <c r="L59" s="34"/>
      <c r="M59" s="34"/>
      <c r="N59" s="34"/>
      <c r="O59" s="33"/>
      <c r="P59" s="54" t="s">
        <v>91</v>
      </c>
      <c r="Q59" s="33" t="s">
        <v>41</v>
      </c>
      <c r="R59" s="34">
        <v>0.04</v>
      </c>
      <c r="S59" s="34"/>
      <c r="T59" s="33"/>
      <c r="U59" s="163"/>
      <c r="V59" s="163"/>
      <c r="W59" s="163"/>
      <c r="X59" s="163"/>
      <c r="Y59" s="163"/>
      <c r="Z59" s="60" t="s">
        <v>99</v>
      </c>
    </row>
    <row r="60" spans="1:26" x14ac:dyDescent="0.25">
      <c r="B60" s="148"/>
      <c r="C60" s="148"/>
      <c r="D60" s="148"/>
      <c r="E60" s="148"/>
      <c r="F60" s="148"/>
      <c r="G60" s="148"/>
      <c r="H60" s="148"/>
      <c r="I60" s="52"/>
      <c r="J60" s="53"/>
      <c r="K60" s="34"/>
      <c r="L60" s="34"/>
      <c r="M60" s="34"/>
      <c r="N60" s="34"/>
      <c r="O60" s="33"/>
      <c r="P60" s="54" t="s">
        <v>87</v>
      </c>
      <c r="Q60" s="33" t="s">
        <v>41</v>
      </c>
      <c r="R60" s="34">
        <v>0.04</v>
      </c>
      <c r="S60" s="34"/>
      <c r="T60" s="33"/>
      <c r="U60" s="163"/>
      <c r="V60" s="163"/>
      <c r="W60" s="163"/>
      <c r="X60" s="163"/>
      <c r="Y60" s="163"/>
      <c r="Z60" s="60" t="s">
        <v>99</v>
      </c>
    </row>
    <row r="61" spans="1:26" x14ac:dyDescent="0.25">
      <c r="B61" s="148"/>
      <c r="C61" s="148"/>
      <c r="D61" s="148"/>
      <c r="E61" s="148"/>
      <c r="F61" s="148"/>
      <c r="G61" s="148"/>
      <c r="H61" s="148"/>
      <c r="I61" s="52"/>
      <c r="J61" s="53"/>
      <c r="K61" s="34"/>
      <c r="L61" s="34"/>
      <c r="M61" s="34"/>
      <c r="N61" s="34"/>
      <c r="O61" s="33"/>
      <c r="P61" s="54" t="s">
        <v>87</v>
      </c>
      <c r="Q61" s="33">
        <v>110</v>
      </c>
      <c r="R61" s="34">
        <v>0.08</v>
      </c>
      <c r="S61" s="34"/>
      <c r="T61" s="33"/>
      <c r="U61" s="163"/>
      <c r="V61" s="163"/>
      <c r="W61" s="163"/>
      <c r="X61" s="163"/>
      <c r="Y61" s="163"/>
      <c r="Z61" s="60" t="s">
        <v>99</v>
      </c>
    </row>
    <row r="62" spans="1:26" x14ac:dyDescent="0.25">
      <c r="B62" s="148"/>
      <c r="C62" s="148"/>
      <c r="D62" s="148"/>
      <c r="E62" s="118"/>
      <c r="F62" s="118"/>
      <c r="G62" s="118"/>
      <c r="H62" s="118"/>
      <c r="I62" s="52"/>
      <c r="J62" s="53"/>
      <c r="K62" s="34"/>
      <c r="L62" s="34"/>
      <c r="M62" s="34"/>
      <c r="N62" s="34"/>
      <c r="O62" s="33"/>
      <c r="P62" s="54" t="s">
        <v>87</v>
      </c>
      <c r="Q62" s="33" t="s">
        <v>88</v>
      </c>
      <c r="R62" s="34">
        <v>0.2</v>
      </c>
      <c r="S62" s="34"/>
      <c r="T62" s="33"/>
      <c r="U62" s="163"/>
      <c r="V62" s="163"/>
      <c r="W62" s="163"/>
      <c r="X62" s="163"/>
      <c r="Y62" s="163"/>
      <c r="Z62" s="60" t="s">
        <v>99</v>
      </c>
    </row>
    <row r="63" spans="1:26" ht="19.95" customHeight="1" x14ac:dyDescent="0.25">
      <c r="B63" s="118"/>
      <c r="C63" s="118"/>
      <c r="D63" s="118"/>
      <c r="E63" s="31"/>
      <c r="F63" s="32"/>
      <c r="G63" s="32"/>
      <c r="H63" s="31"/>
      <c r="I63" s="52"/>
      <c r="J63" s="53"/>
      <c r="K63" s="55"/>
      <c r="L63" s="55"/>
      <c r="M63" s="33"/>
      <c r="N63" s="50"/>
      <c r="O63" s="50">
        <f>SUM(O58:O62)</f>
        <v>0.26</v>
      </c>
      <c r="P63" s="133" t="s">
        <v>94</v>
      </c>
      <c r="Q63" s="133"/>
      <c r="R63" s="133"/>
      <c r="S63" s="133"/>
      <c r="T63" s="63">
        <f>SUM(T58:T62)</f>
        <v>0.41</v>
      </c>
      <c r="U63" s="163"/>
      <c r="V63" s="163"/>
      <c r="W63" s="163"/>
      <c r="X63" s="163"/>
      <c r="Y63" s="163"/>
      <c r="Z63" s="60" t="s">
        <v>99</v>
      </c>
    </row>
    <row r="64" spans="1:26" ht="25.05" customHeight="1" x14ac:dyDescent="0.25">
      <c r="B64" s="149" t="s">
        <v>105</v>
      </c>
      <c r="C64" s="149" t="s">
        <v>106</v>
      </c>
      <c r="D64" s="147"/>
      <c r="E64" s="163" t="s">
        <v>96</v>
      </c>
      <c r="F64" s="34"/>
      <c r="G64" s="34"/>
      <c r="H64" s="163">
        <v>3</v>
      </c>
      <c r="I64" s="52"/>
      <c r="J64" s="53">
        <v>2.5</v>
      </c>
      <c r="K64" s="55">
        <v>0.128</v>
      </c>
      <c r="L64" s="55">
        <v>5.8000000000000003E-2</v>
      </c>
      <c r="M64" s="33">
        <f>K64-L64</f>
        <v>7.0000000000000007E-2</v>
      </c>
      <c r="N64" s="33"/>
      <c r="O64" s="42">
        <f>J64*M64</f>
        <v>0.17499999999999999</v>
      </c>
      <c r="P64" s="54" t="s">
        <v>86</v>
      </c>
      <c r="Q64" s="33">
        <v>110</v>
      </c>
      <c r="R64" s="33">
        <v>0.08</v>
      </c>
      <c r="S64" s="33"/>
      <c r="T64" s="33">
        <f>R64+R65</f>
        <v>0.13</v>
      </c>
      <c r="U64" s="164">
        <v>1.1200000000000001</v>
      </c>
      <c r="V64" s="163">
        <f>T66*U64-O66</f>
        <v>-2.9399999999999999E-2</v>
      </c>
      <c r="W64" s="163"/>
      <c r="X64" s="163"/>
      <c r="Y64" s="163">
        <f>V64</f>
        <v>-2.9399999999999999E-2</v>
      </c>
      <c r="Z64" s="33" t="s">
        <v>107</v>
      </c>
    </row>
    <row r="65" spans="2:26" ht="25.05" customHeight="1" x14ac:dyDescent="0.25">
      <c r="B65" s="150"/>
      <c r="C65" s="150"/>
      <c r="D65" s="148"/>
      <c r="E65" s="163"/>
      <c r="F65" s="34"/>
      <c r="G65" s="34"/>
      <c r="H65" s="163"/>
      <c r="I65" s="52"/>
      <c r="J65" s="53"/>
      <c r="K65" s="33"/>
      <c r="L65" s="33"/>
      <c r="M65" s="33"/>
      <c r="N65" s="33"/>
      <c r="O65" s="33"/>
      <c r="P65" s="33" t="s">
        <v>108</v>
      </c>
      <c r="Q65" s="33">
        <v>80</v>
      </c>
      <c r="R65" s="33">
        <v>0.05</v>
      </c>
      <c r="S65" s="33"/>
      <c r="T65" s="33"/>
      <c r="U65" s="163"/>
      <c r="V65" s="163"/>
      <c r="W65" s="163"/>
      <c r="X65" s="163"/>
      <c r="Y65" s="163"/>
      <c r="Z65" s="33" t="s">
        <v>107</v>
      </c>
    </row>
    <row r="66" spans="2:26" ht="25.05" customHeight="1" x14ac:dyDescent="0.25">
      <c r="B66" s="151"/>
      <c r="C66" s="151"/>
      <c r="D66" s="118"/>
      <c r="E66" s="33"/>
      <c r="F66" s="34"/>
      <c r="G66" s="34"/>
      <c r="H66" s="33"/>
      <c r="I66" s="52"/>
      <c r="J66" s="53"/>
      <c r="K66" s="67"/>
      <c r="L66" s="67"/>
      <c r="M66" s="33"/>
      <c r="N66" s="50"/>
      <c r="O66" s="50">
        <f>SUM(O64:O65)</f>
        <v>0.17499999999999999</v>
      </c>
      <c r="P66" s="133" t="s">
        <v>94</v>
      </c>
      <c r="Q66" s="133"/>
      <c r="R66" s="133"/>
      <c r="S66" s="133"/>
      <c r="T66" s="63">
        <f>SUM(T64:T65)</f>
        <v>0.13</v>
      </c>
      <c r="U66" s="163"/>
      <c r="V66" s="163"/>
      <c r="W66" s="163"/>
      <c r="X66" s="163"/>
      <c r="Y66" s="163"/>
      <c r="Z66" s="33"/>
    </row>
    <row r="67" spans="2:26" ht="25.05" customHeight="1" x14ac:dyDescent="0.25">
      <c r="B67" s="152" t="s">
        <v>109</v>
      </c>
      <c r="C67" s="157" t="s">
        <v>110</v>
      </c>
      <c r="D67" s="147"/>
      <c r="E67" s="163" t="s">
        <v>95</v>
      </c>
      <c r="F67" s="34"/>
      <c r="G67" s="34"/>
      <c r="H67" s="163">
        <v>2</v>
      </c>
      <c r="I67" s="52"/>
      <c r="J67" s="53">
        <v>2.5</v>
      </c>
      <c r="K67" s="67">
        <v>5.8000000000000003E-2</v>
      </c>
      <c r="L67" s="67">
        <v>4.2999999999999997E-2</v>
      </c>
      <c r="M67" s="33">
        <f>K67-L67</f>
        <v>1.4999999999999999E-2</v>
      </c>
      <c r="N67" s="33"/>
      <c r="O67" s="42">
        <f>J67*M67</f>
        <v>3.7499999999999999E-2</v>
      </c>
      <c r="P67" s="54" t="s">
        <v>86</v>
      </c>
      <c r="Q67" s="33">
        <v>110</v>
      </c>
      <c r="R67" s="33">
        <v>0.08</v>
      </c>
      <c r="S67" s="33"/>
      <c r="T67" s="33">
        <f>R67+R68+R69</f>
        <v>0.17</v>
      </c>
      <c r="U67" s="164">
        <v>1.1200000000000001</v>
      </c>
      <c r="V67" s="171">
        <f>T70*U67-O70</f>
        <v>0.15290000000000001</v>
      </c>
      <c r="W67" s="163"/>
      <c r="X67" s="163"/>
      <c r="Y67" s="163">
        <f>V67</f>
        <v>0.15290000000000001</v>
      </c>
      <c r="Z67" s="33" t="s">
        <v>107</v>
      </c>
    </row>
    <row r="68" spans="2:26" ht="25.05" customHeight="1" x14ac:dyDescent="0.25">
      <c r="B68" s="153"/>
      <c r="C68" s="158"/>
      <c r="D68" s="148"/>
      <c r="E68" s="163"/>
      <c r="F68" s="34"/>
      <c r="G68" s="34"/>
      <c r="H68" s="163"/>
      <c r="I68" s="52"/>
      <c r="J68" s="53"/>
      <c r="K68" s="33"/>
      <c r="L68" s="33"/>
      <c r="M68" s="33"/>
      <c r="N68" s="33"/>
      <c r="O68" s="33"/>
      <c r="P68" s="33" t="s">
        <v>108</v>
      </c>
      <c r="Q68" s="33">
        <v>80</v>
      </c>
      <c r="R68" s="33">
        <v>0.05</v>
      </c>
      <c r="S68" s="33"/>
      <c r="T68" s="33"/>
      <c r="U68" s="163"/>
      <c r="V68" s="171"/>
      <c r="W68" s="163"/>
      <c r="X68" s="163"/>
      <c r="Y68" s="163"/>
      <c r="Z68" s="33" t="s">
        <v>107</v>
      </c>
    </row>
    <row r="69" spans="2:26" ht="25.05" customHeight="1" x14ac:dyDescent="0.25">
      <c r="B69" s="153"/>
      <c r="C69" s="158"/>
      <c r="D69" s="148"/>
      <c r="E69" s="163"/>
      <c r="F69" s="34"/>
      <c r="G69" s="34"/>
      <c r="H69" s="163"/>
      <c r="I69" s="52"/>
      <c r="J69" s="53"/>
      <c r="K69" s="33"/>
      <c r="L69" s="33"/>
      <c r="M69" s="33"/>
      <c r="N69" s="33"/>
      <c r="O69" s="33"/>
      <c r="P69" s="33" t="s">
        <v>108</v>
      </c>
      <c r="Q69" s="33" t="s">
        <v>41</v>
      </c>
      <c r="R69" s="33">
        <v>0.04</v>
      </c>
      <c r="S69" s="33"/>
      <c r="T69" s="33"/>
      <c r="U69" s="163"/>
      <c r="V69" s="171"/>
      <c r="W69" s="163"/>
      <c r="X69" s="163"/>
      <c r="Y69" s="163"/>
      <c r="Z69" s="33" t="s">
        <v>107</v>
      </c>
    </row>
    <row r="70" spans="2:26" ht="25.05" customHeight="1" x14ac:dyDescent="0.25">
      <c r="B70" s="154"/>
      <c r="C70" s="158"/>
      <c r="D70" s="118"/>
      <c r="E70" s="34"/>
      <c r="F70" s="34"/>
      <c r="G70" s="34"/>
      <c r="H70" s="30"/>
      <c r="I70" s="52"/>
      <c r="J70" s="53"/>
      <c r="K70" s="33"/>
      <c r="L70" s="33"/>
      <c r="M70" s="33"/>
      <c r="N70" s="50"/>
      <c r="O70" s="50">
        <f>SUM(O67:O69)</f>
        <v>3.7499999999999999E-2</v>
      </c>
      <c r="P70" s="133" t="s">
        <v>94</v>
      </c>
      <c r="Q70" s="133"/>
      <c r="R70" s="133"/>
      <c r="S70" s="133"/>
      <c r="T70" s="63">
        <f>SUM(T67:T69)</f>
        <v>0.17</v>
      </c>
      <c r="U70" s="163"/>
      <c r="V70" s="171"/>
      <c r="W70" s="163"/>
      <c r="X70" s="163"/>
      <c r="Y70" s="163"/>
      <c r="Z70" s="33" t="s">
        <v>107</v>
      </c>
    </row>
    <row r="71" spans="2:26" ht="25.05" customHeight="1" x14ac:dyDescent="0.25">
      <c r="B71" s="147"/>
      <c r="C71" s="147" t="s">
        <v>111</v>
      </c>
      <c r="D71" s="147"/>
      <c r="E71" s="34" t="s">
        <v>95</v>
      </c>
      <c r="F71" s="34">
        <v>1260</v>
      </c>
      <c r="G71" s="34">
        <v>215</v>
      </c>
      <c r="H71" s="147">
        <v>2.5</v>
      </c>
      <c r="I71" s="52"/>
      <c r="J71" s="53">
        <v>2.5</v>
      </c>
      <c r="K71" s="33">
        <v>0.05</v>
      </c>
      <c r="L71" s="33">
        <v>3.6999999999999998E-2</v>
      </c>
      <c r="M71" s="33">
        <v>1.2999999999999999E-2</v>
      </c>
      <c r="N71" s="33"/>
      <c r="O71" s="33">
        <f>J71*M71</f>
        <v>3.2500000000000001E-2</v>
      </c>
      <c r="P71" s="33" t="s">
        <v>86</v>
      </c>
      <c r="Q71" s="33" t="s">
        <v>43</v>
      </c>
      <c r="R71" s="33">
        <v>0.05</v>
      </c>
      <c r="S71" s="33"/>
      <c r="T71" s="33">
        <f>R71+R72</f>
        <v>0.09</v>
      </c>
      <c r="U71" s="164">
        <v>1.1200000000000001</v>
      </c>
      <c r="V71" s="171">
        <f>T73*U71-O73</f>
        <v>6.83E-2</v>
      </c>
      <c r="W71" s="163"/>
      <c r="X71" s="163"/>
      <c r="Y71" s="163">
        <f>V71</f>
        <v>6.83E-2</v>
      </c>
      <c r="Z71" s="33" t="s">
        <v>107</v>
      </c>
    </row>
    <row r="72" spans="2:26" ht="25.05" customHeight="1" x14ac:dyDescent="0.25">
      <c r="B72" s="148"/>
      <c r="C72" s="148"/>
      <c r="D72" s="148"/>
      <c r="E72" s="34"/>
      <c r="F72" s="34"/>
      <c r="G72" s="34"/>
      <c r="H72" s="148"/>
      <c r="I72" s="52"/>
      <c r="J72" s="53"/>
      <c r="K72" s="33"/>
      <c r="L72" s="33"/>
      <c r="M72" s="33"/>
      <c r="N72" s="33"/>
      <c r="O72" s="33"/>
      <c r="P72" s="33" t="s">
        <v>87</v>
      </c>
      <c r="Q72" s="33" t="s">
        <v>39</v>
      </c>
      <c r="R72" s="33">
        <v>0.04</v>
      </c>
      <c r="S72" s="33"/>
      <c r="T72" s="33"/>
      <c r="U72" s="163"/>
      <c r="V72" s="171"/>
      <c r="W72" s="163"/>
      <c r="X72" s="163"/>
      <c r="Y72" s="163"/>
      <c r="Z72" s="33" t="s">
        <v>107</v>
      </c>
    </row>
    <row r="73" spans="2:26" ht="25.05" customHeight="1" x14ac:dyDescent="0.25">
      <c r="B73" s="118"/>
      <c r="C73" s="118"/>
      <c r="D73" s="118"/>
      <c r="E73" s="33"/>
      <c r="F73" s="34"/>
      <c r="G73" s="34"/>
      <c r="H73" s="118"/>
      <c r="I73" s="52"/>
      <c r="J73" s="53"/>
      <c r="K73" s="67"/>
      <c r="L73" s="67"/>
      <c r="M73" s="34"/>
      <c r="N73" s="50"/>
      <c r="O73" s="50">
        <f>SUM(O71:O72)</f>
        <v>3.2500000000000001E-2</v>
      </c>
      <c r="P73" s="133" t="s">
        <v>94</v>
      </c>
      <c r="Q73" s="133"/>
      <c r="R73" s="133"/>
      <c r="S73" s="133"/>
      <c r="T73" s="63">
        <f>SUM(T71:T72)</f>
        <v>0.09</v>
      </c>
      <c r="U73" s="163"/>
      <c r="V73" s="171"/>
      <c r="W73" s="163"/>
      <c r="X73" s="163"/>
      <c r="Y73" s="163"/>
      <c r="Z73" s="33" t="s">
        <v>107</v>
      </c>
    </row>
    <row r="74" spans="2:26" ht="25.05" customHeight="1" x14ac:dyDescent="0.25">
      <c r="B74" s="152" t="s">
        <v>112</v>
      </c>
      <c r="C74" s="159" t="s">
        <v>113</v>
      </c>
      <c r="D74" s="147"/>
      <c r="E74" s="147" t="s">
        <v>96</v>
      </c>
      <c r="F74" s="34"/>
      <c r="G74" s="34"/>
      <c r="H74" s="147">
        <v>2</v>
      </c>
      <c r="I74" s="52"/>
      <c r="J74" s="53">
        <v>2.5</v>
      </c>
      <c r="K74" s="67">
        <v>7.0099999999999996E-2</v>
      </c>
      <c r="L74" s="67">
        <v>0.05</v>
      </c>
      <c r="M74" s="34">
        <f>K74-L74</f>
        <v>2.01E-2</v>
      </c>
      <c r="N74" s="34"/>
      <c r="O74" s="33">
        <f>J74*M74</f>
        <v>5.0250000000000003E-2</v>
      </c>
      <c r="P74" s="54" t="s">
        <v>86</v>
      </c>
      <c r="Q74" s="33">
        <v>110</v>
      </c>
      <c r="R74" s="34">
        <v>0.08</v>
      </c>
      <c r="S74" s="34"/>
      <c r="T74" s="33">
        <f>R74+R75+R76+R77</f>
        <v>0.21</v>
      </c>
      <c r="U74" s="164">
        <v>1.1200000000000001</v>
      </c>
      <c r="V74" s="172">
        <f>T78*U74-O78</f>
        <v>0.18495</v>
      </c>
      <c r="W74" s="34"/>
      <c r="X74" s="34"/>
      <c r="Y74" s="147">
        <f>V74</f>
        <v>0.18495</v>
      </c>
      <c r="Z74" s="33" t="s">
        <v>107</v>
      </c>
    </row>
    <row r="75" spans="2:26" ht="25.05" customHeight="1" x14ac:dyDescent="0.25">
      <c r="B75" s="153"/>
      <c r="C75" s="160"/>
      <c r="D75" s="148"/>
      <c r="E75" s="148"/>
      <c r="F75" s="34"/>
      <c r="G75" s="34"/>
      <c r="H75" s="148"/>
      <c r="I75" s="52"/>
      <c r="J75" s="53"/>
      <c r="K75" s="34"/>
      <c r="L75" s="34"/>
      <c r="M75" s="34"/>
      <c r="N75" s="34"/>
      <c r="O75" s="33"/>
      <c r="P75" s="33" t="s">
        <v>108</v>
      </c>
      <c r="Q75" s="33">
        <v>80</v>
      </c>
      <c r="R75" s="34">
        <v>0.05</v>
      </c>
      <c r="S75" s="34"/>
      <c r="T75" s="33"/>
      <c r="U75" s="163"/>
      <c r="V75" s="173"/>
      <c r="W75" s="34"/>
      <c r="X75" s="34"/>
      <c r="Y75" s="148"/>
      <c r="Z75" s="33" t="s">
        <v>107</v>
      </c>
    </row>
    <row r="76" spans="2:26" ht="25.05" customHeight="1" x14ac:dyDescent="0.25">
      <c r="B76" s="153"/>
      <c r="C76" s="160"/>
      <c r="D76" s="148"/>
      <c r="E76" s="148"/>
      <c r="F76" s="34"/>
      <c r="G76" s="34"/>
      <c r="H76" s="148"/>
      <c r="I76" s="52"/>
      <c r="J76" s="53"/>
      <c r="K76" s="34"/>
      <c r="L76" s="34"/>
      <c r="M76" s="34"/>
      <c r="N76" s="34"/>
      <c r="O76" s="33"/>
      <c r="P76" s="33" t="s">
        <v>108</v>
      </c>
      <c r="Q76" s="33" t="s">
        <v>41</v>
      </c>
      <c r="R76" s="34">
        <v>0.04</v>
      </c>
      <c r="S76" s="34"/>
      <c r="T76" s="33"/>
      <c r="U76" s="163"/>
      <c r="V76" s="173"/>
      <c r="W76" s="34"/>
      <c r="X76" s="34"/>
      <c r="Y76" s="148"/>
      <c r="Z76" s="33" t="s">
        <v>107</v>
      </c>
    </row>
    <row r="77" spans="2:26" ht="25.05" customHeight="1" x14ac:dyDescent="0.25">
      <c r="B77" s="153"/>
      <c r="C77" s="160"/>
      <c r="D77" s="148"/>
      <c r="E77" s="148"/>
      <c r="F77" s="34"/>
      <c r="G77" s="34"/>
      <c r="H77" s="148"/>
      <c r="I77" s="52"/>
      <c r="J77" s="53"/>
      <c r="K77" s="34"/>
      <c r="L77" s="34"/>
      <c r="M77" s="34"/>
      <c r="N77" s="34"/>
      <c r="O77" s="33"/>
      <c r="P77" s="33" t="s">
        <v>91</v>
      </c>
      <c r="Q77" s="33" t="s">
        <v>41</v>
      </c>
      <c r="R77" s="34">
        <v>0.04</v>
      </c>
      <c r="S77" s="34"/>
      <c r="T77" s="33"/>
      <c r="U77" s="163"/>
      <c r="V77" s="173"/>
      <c r="W77" s="34"/>
      <c r="X77" s="34"/>
      <c r="Y77" s="148"/>
      <c r="Z77" s="33" t="s">
        <v>107</v>
      </c>
    </row>
    <row r="78" spans="2:26" ht="25.05" customHeight="1" x14ac:dyDescent="0.25">
      <c r="B78" s="154"/>
      <c r="C78" s="161"/>
      <c r="D78" s="118"/>
      <c r="E78" s="118"/>
      <c r="F78" s="33"/>
      <c r="G78" s="33"/>
      <c r="H78" s="118"/>
      <c r="I78" s="53"/>
      <c r="J78" s="53"/>
      <c r="K78" s="67"/>
      <c r="L78" s="67"/>
      <c r="M78" s="33"/>
      <c r="N78" s="50"/>
      <c r="O78" s="50">
        <f>SUM(O74:O77)</f>
        <v>5.0250000000000003E-2</v>
      </c>
      <c r="P78" s="133" t="s">
        <v>94</v>
      </c>
      <c r="Q78" s="133"/>
      <c r="R78" s="133"/>
      <c r="S78" s="133"/>
      <c r="T78" s="63">
        <f>SUM(T74:T77)</f>
        <v>0.21</v>
      </c>
      <c r="U78" s="163"/>
      <c r="V78" s="174"/>
      <c r="W78" s="34"/>
      <c r="X78" s="34"/>
      <c r="Y78" s="118"/>
      <c r="Z78" s="33" t="s">
        <v>107</v>
      </c>
    </row>
    <row r="79" spans="2:26" ht="25.05" customHeight="1" x14ac:dyDescent="0.25">
      <c r="B79" s="152" t="s">
        <v>114</v>
      </c>
      <c r="C79" s="159" t="s">
        <v>115</v>
      </c>
      <c r="D79" s="147"/>
      <c r="E79" s="147" t="s">
        <v>95</v>
      </c>
      <c r="F79" s="163">
        <v>1260</v>
      </c>
      <c r="G79" s="163">
        <v>250</v>
      </c>
      <c r="H79" s="147">
        <v>4</v>
      </c>
      <c r="I79" s="53"/>
      <c r="J79" s="53">
        <v>2.5</v>
      </c>
      <c r="K79" s="67">
        <v>0.60499999999999998</v>
      </c>
      <c r="L79" s="67">
        <v>0.41</v>
      </c>
      <c r="M79" s="33">
        <f>K79-0.41</f>
        <v>0.19500000000000001</v>
      </c>
      <c r="N79" s="33"/>
      <c r="O79" s="33">
        <f>J79*M79</f>
        <v>0.48749999999999999</v>
      </c>
      <c r="P79" s="54" t="s">
        <v>86</v>
      </c>
      <c r="Q79" s="33">
        <v>160</v>
      </c>
      <c r="R79" s="34">
        <v>0.1</v>
      </c>
      <c r="S79" s="34"/>
      <c r="T79" s="33">
        <f>R79+R80</f>
        <v>0.12</v>
      </c>
      <c r="U79" s="164">
        <v>1.1200000000000001</v>
      </c>
      <c r="V79" s="172">
        <f>T81*U79-O81</f>
        <v>-0.35310000000000002</v>
      </c>
      <c r="W79" s="34"/>
      <c r="X79" s="34"/>
      <c r="Y79" s="147">
        <f>V79</f>
        <v>-0.35310000000000002</v>
      </c>
      <c r="Z79" s="33" t="s">
        <v>107</v>
      </c>
    </row>
    <row r="80" spans="2:26" ht="25.05" customHeight="1" x14ac:dyDescent="0.25">
      <c r="B80" s="153"/>
      <c r="C80" s="160"/>
      <c r="D80" s="148"/>
      <c r="E80" s="148"/>
      <c r="F80" s="163"/>
      <c r="G80" s="163"/>
      <c r="H80" s="148"/>
      <c r="I80" s="53"/>
      <c r="J80" s="53"/>
      <c r="K80" s="33"/>
      <c r="L80" s="33"/>
      <c r="M80" s="33"/>
      <c r="N80" s="33"/>
      <c r="O80" s="33"/>
      <c r="P80" s="33" t="s">
        <v>108</v>
      </c>
      <c r="Q80" s="33">
        <v>80</v>
      </c>
      <c r="R80" s="34">
        <v>0.02</v>
      </c>
      <c r="S80" s="34"/>
      <c r="T80" s="33"/>
      <c r="U80" s="163"/>
      <c r="V80" s="173"/>
      <c r="W80" s="34"/>
      <c r="X80" s="34"/>
      <c r="Y80" s="148"/>
      <c r="Z80" s="33" t="s">
        <v>107</v>
      </c>
    </row>
    <row r="81" spans="2:26" ht="25.05" customHeight="1" x14ac:dyDescent="0.25">
      <c r="B81" s="154"/>
      <c r="C81" s="161"/>
      <c r="D81" s="118"/>
      <c r="E81" s="118"/>
      <c r="F81" s="33"/>
      <c r="G81" s="33"/>
      <c r="H81" s="118"/>
      <c r="I81" s="53"/>
      <c r="J81" s="53"/>
      <c r="K81" s="33"/>
      <c r="L81" s="33"/>
      <c r="M81" s="33"/>
      <c r="N81" s="50"/>
      <c r="O81" s="50">
        <f>SUM(O79:O80)</f>
        <v>0.48749999999999999</v>
      </c>
      <c r="P81" s="133" t="s">
        <v>94</v>
      </c>
      <c r="Q81" s="133"/>
      <c r="R81" s="133"/>
      <c r="S81" s="133"/>
      <c r="T81" s="63">
        <f>SUM(T79:T80)</f>
        <v>0.12</v>
      </c>
      <c r="U81" s="163"/>
      <c r="V81" s="174"/>
      <c r="W81" s="34"/>
      <c r="X81" s="34"/>
      <c r="Y81" s="118"/>
      <c r="Z81" s="33" t="s">
        <v>107</v>
      </c>
    </row>
    <row r="82" spans="2:26" ht="25.05" customHeight="1" x14ac:dyDescent="0.25">
      <c r="B82" s="149" t="s">
        <v>116</v>
      </c>
      <c r="C82" s="149" t="s">
        <v>117</v>
      </c>
      <c r="D82" s="147"/>
      <c r="E82" s="147" t="s">
        <v>95</v>
      </c>
      <c r="F82" s="163">
        <v>1260</v>
      </c>
      <c r="G82" s="163">
        <v>147</v>
      </c>
      <c r="H82" s="147">
        <v>4</v>
      </c>
      <c r="I82" s="53"/>
      <c r="J82" s="53">
        <v>2.5</v>
      </c>
      <c r="K82" s="33">
        <v>0.307</v>
      </c>
      <c r="L82" s="33">
        <v>0.25</v>
      </c>
      <c r="M82" s="33">
        <f>K82-0.25</f>
        <v>5.7000000000000002E-2</v>
      </c>
      <c r="N82" s="33"/>
      <c r="O82" s="33">
        <f>J82*M82</f>
        <v>0.14249999999999999</v>
      </c>
      <c r="P82" s="54" t="s">
        <v>86</v>
      </c>
      <c r="Q82" s="33">
        <v>160</v>
      </c>
      <c r="R82" s="34">
        <v>0.1</v>
      </c>
      <c r="S82" s="34"/>
      <c r="T82" s="33">
        <f>R82+R83</f>
        <v>0.15</v>
      </c>
      <c r="U82" s="164">
        <v>1.1200000000000001</v>
      </c>
      <c r="V82" s="172">
        <f>T84*U82-O84</f>
        <v>2.5500000000000099E-2</v>
      </c>
      <c r="W82" s="34"/>
      <c r="X82" s="34"/>
      <c r="Y82" s="147">
        <f>V82</f>
        <v>2.5500000000000099E-2</v>
      </c>
      <c r="Z82" s="33" t="s">
        <v>107</v>
      </c>
    </row>
    <row r="83" spans="2:26" ht="25.05" customHeight="1" x14ac:dyDescent="0.25">
      <c r="B83" s="150"/>
      <c r="C83" s="150"/>
      <c r="D83" s="148"/>
      <c r="E83" s="148"/>
      <c r="F83" s="163"/>
      <c r="G83" s="163"/>
      <c r="H83" s="148"/>
      <c r="I83" s="53"/>
      <c r="J83" s="53"/>
      <c r="K83" s="33"/>
      <c r="L83" s="33"/>
      <c r="M83" s="33"/>
      <c r="N83" s="33"/>
      <c r="O83" s="33"/>
      <c r="P83" s="54" t="s">
        <v>91</v>
      </c>
      <c r="Q83" s="33">
        <v>80</v>
      </c>
      <c r="R83" s="34">
        <v>0.05</v>
      </c>
      <c r="S83" s="34"/>
      <c r="T83" s="33"/>
      <c r="U83" s="163"/>
      <c r="V83" s="173"/>
      <c r="W83" s="34"/>
      <c r="X83" s="34"/>
      <c r="Y83" s="118"/>
      <c r="Z83" s="33" t="s">
        <v>107</v>
      </c>
    </row>
    <row r="84" spans="2:26" x14ac:dyDescent="0.25">
      <c r="B84" s="151"/>
      <c r="C84" s="151"/>
      <c r="D84" s="118"/>
      <c r="E84" s="118"/>
      <c r="F84" s="34"/>
      <c r="G84" s="34"/>
      <c r="H84" s="118"/>
      <c r="I84" s="52"/>
      <c r="J84" s="53"/>
      <c r="K84" s="34"/>
      <c r="L84" s="34"/>
      <c r="M84" s="34"/>
      <c r="N84" s="50"/>
      <c r="O84" s="50">
        <f>SUM(O82:O83)</f>
        <v>0.14249999999999999</v>
      </c>
      <c r="P84" s="133" t="s">
        <v>94</v>
      </c>
      <c r="Q84" s="133"/>
      <c r="R84" s="133"/>
      <c r="S84" s="133"/>
      <c r="T84" s="63">
        <f>SUM(T82:T83)</f>
        <v>0.15</v>
      </c>
      <c r="U84" s="163"/>
      <c r="V84" s="174"/>
      <c r="W84" s="34"/>
      <c r="X84" s="34"/>
      <c r="Y84" s="34"/>
      <c r="Z84" s="33" t="s">
        <v>107</v>
      </c>
    </row>
  </sheetData>
  <mergeCells count="185">
    <mergeCell ref="Y58:Y63"/>
    <mergeCell ref="Y64:Y66"/>
    <mergeCell ref="Y67:Y70"/>
    <mergeCell ref="Y71:Y73"/>
    <mergeCell ref="Y74:Y78"/>
    <mergeCell ref="Y79:Y81"/>
    <mergeCell ref="Y82:Y83"/>
    <mergeCell ref="Z2:Z3"/>
    <mergeCell ref="Z9:Z10"/>
    <mergeCell ref="Z16:Z17"/>
    <mergeCell ref="Y2:Y3"/>
    <mergeCell ref="Y4:Y10"/>
    <mergeCell ref="Y11:Y17"/>
    <mergeCell ref="Y18:Y24"/>
    <mergeCell ref="Y25:Y31"/>
    <mergeCell ref="Y32:Y38"/>
    <mergeCell ref="Y39:Y45"/>
    <mergeCell ref="Y46:Y52"/>
    <mergeCell ref="Y53:Y57"/>
    <mergeCell ref="W58:W63"/>
    <mergeCell ref="W64:W66"/>
    <mergeCell ref="W67:W70"/>
    <mergeCell ref="W71:W73"/>
    <mergeCell ref="X2:X3"/>
    <mergeCell ref="X4:X10"/>
    <mergeCell ref="X11:X17"/>
    <mergeCell ref="X18:X24"/>
    <mergeCell ref="X25:X31"/>
    <mergeCell ref="X32:X38"/>
    <mergeCell ref="X39:X45"/>
    <mergeCell ref="X46:X52"/>
    <mergeCell ref="X53:X57"/>
    <mergeCell ref="X58:X63"/>
    <mergeCell ref="X64:X66"/>
    <mergeCell ref="X67:X70"/>
    <mergeCell ref="X71:X73"/>
    <mergeCell ref="W2:W3"/>
    <mergeCell ref="W4:W10"/>
    <mergeCell ref="W11:W17"/>
    <mergeCell ref="W18:W24"/>
    <mergeCell ref="W25:W31"/>
    <mergeCell ref="W32:W38"/>
    <mergeCell ref="W39:W45"/>
    <mergeCell ref="W46:W52"/>
    <mergeCell ref="W53:W57"/>
    <mergeCell ref="U71:U73"/>
    <mergeCell ref="U74:U78"/>
    <mergeCell ref="U79:U81"/>
    <mergeCell ref="U82:U84"/>
    <mergeCell ref="V2:V3"/>
    <mergeCell ref="V4:V10"/>
    <mergeCell ref="V11:V17"/>
    <mergeCell ref="V18:V24"/>
    <mergeCell ref="V25:V31"/>
    <mergeCell ref="V32:V38"/>
    <mergeCell ref="V39:V45"/>
    <mergeCell ref="V46:V52"/>
    <mergeCell ref="V53:V57"/>
    <mergeCell ref="V58:V63"/>
    <mergeCell ref="V64:V66"/>
    <mergeCell ref="V67:V70"/>
    <mergeCell ref="V71:V73"/>
    <mergeCell ref="V74:V78"/>
    <mergeCell ref="V79:V81"/>
    <mergeCell ref="V82:V84"/>
    <mergeCell ref="U18:U24"/>
    <mergeCell ref="U25:U31"/>
    <mergeCell ref="U32:U38"/>
    <mergeCell ref="U39:U45"/>
    <mergeCell ref="U46:U52"/>
    <mergeCell ref="U53:U57"/>
    <mergeCell ref="U58:U63"/>
    <mergeCell ref="U64:U66"/>
    <mergeCell ref="U67:U70"/>
    <mergeCell ref="F53:F57"/>
    <mergeCell ref="F58:F62"/>
    <mergeCell ref="P57:S57"/>
    <mergeCell ref="P63:S63"/>
    <mergeCell ref="P66:S66"/>
    <mergeCell ref="P70:S70"/>
    <mergeCell ref="P38:S38"/>
    <mergeCell ref="P45:S45"/>
    <mergeCell ref="P52:S52"/>
    <mergeCell ref="F79:F80"/>
    <mergeCell ref="F82:F83"/>
    <mergeCell ref="G53:G57"/>
    <mergeCell ref="G58:G62"/>
    <mergeCell ref="G79:G80"/>
    <mergeCell ref="G82:G83"/>
    <mergeCell ref="H53:H57"/>
    <mergeCell ref="H58:H62"/>
    <mergeCell ref="H64:H65"/>
    <mergeCell ref="H67:H69"/>
    <mergeCell ref="H71:H73"/>
    <mergeCell ref="H74:H78"/>
    <mergeCell ref="H79:H81"/>
    <mergeCell ref="H82:H84"/>
    <mergeCell ref="D71:D73"/>
    <mergeCell ref="D74:D78"/>
    <mergeCell ref="D79:D81"/>
    <mergeCell ref="D82:D84"/>
    <mergeCell ref="E2:E3"/>
    <mergeCell ref="E53:E57"/>
    <mergeCell ref="E58:E62"/>
    <mergeCell ref="E64:E65"/>
    <mergeCell ref="E67:E69"/>
    <mergeCell ref="E74:E78"/>
    <mergeCell ref="E79:E81"/>
    <mergeCell ref="E82:E84"/>
    <mergeCell ref="D18:D24"/>
    <mergeCell ref="D25:D31"/>
    <mergeCell ref="D32:D38"/>
    <mergeCell ref="D39:D45"/>
    <mergeCell ref="D46:D52"/>
    <mergeCell ref="D53:D57"/>
    <mergeCell ref="D58:D63"/>
    <mergeCell ref="D64:D66"/>
    <mergeCell ref="D67:D70"/>
    <mergeCell ref="E38:M38"/>
    <mergeCell ref="E45:M45"/>
    <mergeCell ref="E52:M52"/>
    <mergeCell ref="B64:B66"/>
    <mergeCell ref="B67:B70"/>
    <mergeCell ref="B71:B73"/>
    <mergeCell ref="B74:B78"/>
    <mergeCell ref="B79:B81"/>
    <mergeCell ref="B82:B84"/>
    <mergeCell ref="C2:C3"/>
    <mergeCell ref="C4:C10"/>
    <mergeCell ref="C11:C17"/>
    <mergeCell ref="C18:C24"/>
    <mergeCell ref="C25:C31"/>
    <mergeCell ref="C32:C38"/>
    <mergeCell ref="C39:C45"/>
    <mergeCell ref="C46:C52"/>
    <mergeCell ref="C53:C57"/>
    <mergeCell ref="C58:C63"/>
    <mergeCell ref="C64:C66"/>
    <mergeCell ref="C67:C70"/>
    <mergeCell ref="C71:C73"/>
    <mergeCell ref="C74:C78"/>
    <mergeCell ref="C79:C81"/>
    <mergeCell ref="C82:C84"/>
    <mergeCell ref="P73:S73"/>
    <mergeCell ref="P78:S78"/>
    <mergeCell ref="P81:S81"/>
    <mergeCell ref="P84:S84"/>
    <mergeCell ref="A4:A10"/>
    <mergeCell ref="A11:A17"/>
    <mergeCell ref="A18:A24"/>
    <mergeCell ref="A25:A31"/>
    <mergeCell ref="A32:A38"/>
    <mergeCell ref="A39:A45"/>
    <mergeCell ref="A46:A52"/>
    <mergeCell ref="B4:B10"/>
    <mergeCell ref="B11:B17"/>
    <mergeCell ref="B18:B24"/>
    <mergeCell ref="B25:B31"/>
    <mergeCell ref="B32:B38"/>
    <mergeCell ref="B39:B45"/>
    <mergeCell ref="B46:B52"/>
    <mergeCell ref="B53:B57"/>
    <mergeCell ref="B58:B63"/>
    <mergeCell ref="E24:M24"/>
    <mergeCell ref="P24:S24"/>
    <mergeCell ref="E31:M31"/>
    <mergeCell ref="P31:S31"/>
    <mergeCell ref="A1:V1"/>
    <mergeCell ref="F2:H2"/>
    <mergeCell ref="I2:J2"/>
    <mergeCell ref="K2:M2"/>
    <mergeCell ref="P2:T2"/>
    <mergeCell ref="E10:M10"/>
    <mergeCell ref="P10:S10"/>
    <mergeCell ref="E17:M17"/>
    <mergeCell ref="P17:S17"/>
    <mergeCell ref="B2:B3"/>
    <mergeCell ref="D2:D3"/>
    <mergeCell ref="D4:D10"/>
    <mergeCell ref="D11:D17"/>
    <mergeCell ref="N2:N3"/>
    <mergeCell ref="O2:O3"/>
    <mergeCell ref="U2:U3"/>
    <mergeCell ref="U4:U10"/>
    <mergeCell ref="U11:U17"/>
  </mergeCells>
  <phoneticPr fontId="27" type="noConversion"/>
  <conditionalFormatting sqref="B1">
    <cfRule type="duplicateValues" dxfId="4" priority="3"/>
  </conditionalFormatting>
  <conditionalFormatting sqref="B4:B38">
    <cfRule type="duplicateValues" dxfId="3" priority="7"/>
  </conditionalFormatting>
  <conditionalFormatting sqref="B39:B45">
    <cfRule type="duplicateValues" dxfId="2" priority="2"/>
  </conditionalFormatting>
  <conditionalFormatting sqref="B46:B52">
    <cfRule type="duplicateValues" dxfId="1" priority="1"/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2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"/>
  <sheetViews>
    <sheetView topLeftCell="B1" workbookViewId="0">
      <selection activeCell="K21" sqref="K21"/>
    </sheetView>
  </sheetViews>
  <sheetFormatPr defaultColWidth="9" defaultRowHeight="14.4" x14ac:dyDescent="0.25"/>
  <cols>
    <col min="1" max="1" width="9.44140625" hidden="1" customWidth="1"/>
    <col min="2" max="2" width="9.21875" customWidth="1"/>
    <col min="3" max="3" width="14.77734375" customWidth="1"/>
    <col min="4" max="4" width="3.6640625" customWidth="1"/>
    <col min="5" max="5" width="10.44140625" hidden="1" customWidth="1"/>
    <col min="6" max="6" width="8.44140625" customWidth="1"/>
    <col min="7" max="7" width="7.33203125" customWidth="1"/>
    <col min="8" max="8" width="6.77734375" customWidth="1"/>
    <col min="9" max="9" width="7.44140625" customWidth="1"/>
    <col min="10" max="10" width="7.21875" customWidth="1"/>
    <col min="11" max="11" width="7.109375" customWidth="1"/>
    <col min="12" max="12" width="7.44140625" customWidth="1"/>
    <col min="13" max="13" width="10.44140625" customWidth="1"/>
    <col min="14" max="14" width="15.109375" customWidth="1"/>
  </cols>
  <sheetData>
    <row r="1" spans="1:14" x14ac:dyDescent="0.25">
      <c r="B1" s="179" t="s">
        <v>118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182" t="s">
        <v>119</v>
      </c>
      <c r="B2" s="183" t="s">
        <v>120</v>
      </c>
      <c r="C2" s="183" t="s">
        <v>121</v>
      </c>
      <c r="D2" s="184" t="s">
        <v>122</v>
      </c>
      <c r="E2" s="183" t="s">
        <v>63</v>
      </c>
      <c r="F2" s="183" t="s">
        <v>123</v>
      </c>
      <c r="G2" s="181" t="s">
        <v>124</v>
      </c>
      <c r="H2" s="181"/>
      <c r="I2" s="181"/>
      <c r="J2" s="181" t="s">
        <v>125</v>
      </c>
      <c r="K2" s="181"/>
      <c r="L2" s="181"/>
      <c r="M2" s="185" t="s">
        <v>126</v>
      </c>
      <c r="N2" s="185" t="s">
        <v>127</v>
      </c>
    </row>
    <row r="3" spans="1:14" x14ac:dyDescent="0.25">
      <c r="A3" s="182"/>
      <c r="B3" s="183"/>
      <c r="C3" s="183"/>
      <c r="D3" s="184"/>
      <c r="E3" s="183"/>
      <c r="F3" s="183"/>
      <c r="G3" s="1" t="s">
        <v>128</v>
      </c>
      <c r="H3" s="1" t="s">
        <v>129</v>
      </c>
      <c r="I3" s="1" t="s">
        <v>130</v>
      </c>
      <c r="J3" s="1" t="s">
        <v>128</v>
      </c>
      <c r="K3" s="1" t="s">
        <v>129</v>
      </c>
      <c r="L3" s="1" t="s">
        <v>130</v>
      </c>
      <c r="M3" s="185"/>
      <c r="N3" s="185"/>
    </row>
    <row r="4" spans="1:14" ht="22.2" customHeight="1" x14ac:dyDescent="0.25">
      <c r="A4" s="2" t="s">
        <v>131</v>
      </c>
      <c r="B4" s="3" t="s">
        <v>132</v>
      </c>
      <c r="C4" s="3" t="s">
        <v>133</v>
      </c>
      <c r="D4" s="4">
        <v>1</v>
      </c>
      <c r="E4" s="5" t="s">
        <v>134</v>
      </c>
      <c r="F4" s="5" t="s">
        <v>135</v>
      </c>
      <c r="G4" s="6">
        <v>32.729999999999997</v>
      </c>
      <c r="H4" s="6">
        <v>1.72</v>
      </c>
      <c r="I4" s="6">
        <v>34.450000000000003</v>
      </c>
      <c r="J4" s="6">
        <v>30</v>
      </c>
      <c r="K4" s="6">
        <v>1.72</v>
      </c>
      <c r="L4" s="15">
        <v>31.72</v>
      </c>
      <c r="M4" s="16">
        <v>245000</v>
      </c>
      <c r="N4" s="2" t="s">
        <v>136</v>
      </c>
    </row>
    <row r="5" spans="1:14" ht="22.2" customHeight="1" x14ac:dyDescent="0.25">
      <c r="A5" s="2" t="s">
        <v>131</v>
      </c>
      <c r="B5" s="3" t="s">
        <v>137</v>
      </c>
      <c r="C5" s="3" t="s">
        <v>138</v>
      </c>
      <c r="D5" s="4">
        <v>1</v>
      </c>
      <c r="E5" s="5" t="s">
        <v>134</v>
      </c>
      <c r="F5" s="5" t="s">
        <v>135</v>
      </c>
      <c r="G5" s="6">
        <v>34.24</v>
      </c>
      <c r="H5" s="6">
        <v>1.72</v>
      </c>
      <c r="I5" s="6">
        <v>35.96</v>
      </c>
      <c r="J5" s="6">
        <v>31</v>
      </c>
      <c r="K5" s="6">
        <v>1.72</v>
      </c>
      <c r="L5" s="15">
        <v>32.72</v>
      </c>
      <c r="M5" s="16">
        <v>245000</v>
      </c>
      <c r="N5" s="2" t="s">
        <v>136</v>
      </c>
    </row>
    <row r="6" spans="1:14" ht="20.399999999999999" x14ac:dyDescent="0.25">
      <c r="A6" s="2" t="s">
        <v>139</v>
      </c>
      <c r="B6" s="7" t="s">
        <v>140</v>
      </c>
      <c r="C6" s="7" t="s">
        <v>141</v>
      </c>
      <c r="D6" s="4">
        <v>1</v>
      </c>
      <c r="E6" s="8" t="s">
        <v>142</v>
      </c>
      <c r="F6" s="8" t="s">
        <v>143</v>
      </c>
      <c r="G6" s="6">
        <v>8.2799999999999994</v>
      </c>
      <c r="H6" s="6">
        <v>0.31</v>
      </c>
      <c r="I6" s="6">
        <v>8.59</v>
      </c>
      <c r="J6" s="6">
        <v>6.6</v>
      </c>
      <c r="K6" s="6">
        <v>0.31</v>
      </c>
      <c r="L6" s="15">
        <v>6.91</v>
      </c>
      <c r="M6" s="16">
        <v>31000</v>
      </c>
      <c r="N6" s="2" t="s">
        <v>144</v>
      </c>
    </row>
    <row r="7" spans="1:14" ht="20.399999999999999" x14ac:dyDescent="0.25">
      <c r="A7" s="2" t="s">
        <v>145</v>
      </c>
      <c r="B7" s="9" t="s">
        <v>146</v>
      </c>
      <c r="C7" s="7" t="s">
        <v>147</v>
      </c>
      <c r="D7" s="4">
        <v>1</v>
      </c>
      <c r="E7" s="8" t="s">
        <v>142</v>
      </c>
      <c r="F7" s="8" t="s">
        <v>143</v>
      </c>
      <c r="G7" s="6">
        <v>14.04</v>
      </c>
      <c r="H7" s="6">
        <v>0.36299999999999999</v>
      </c>
      <c r="I7" s="6">
        <v>14.403</v>
      </c>
      <c r="J7" s="6">
        <v>12.24</v>
      </c>
      <c r="K7" s="6">
        <v>0.36299999999999999</v>
      </c>
      <c r="L7" s="15">
        <v>12.603</v>
      </c>
      <c r="M7" s="16">
        <v>36300</v>
      </c>
      <c r="N7" s="2" t="s">
        <v>144</v>
      </c>
    </row>
    <row r="8" spans="1:14" ht="20.399999999999999" x14ac:dyDescent="0.25">
      <c r="A8" s="2" t="s">
        <v>145</v>
      </c>
      <c r="B8" s="9" t="s">
        <v>148</v>
      </c>
      <c r="C8" s="10" t="s">
        <v>149</v>
      </c>
      <c r="D8" s="4">
        <v>1</v>
      </c>
      <c r="E8" s="8" t="s">
        <v>150</v>
      </c>
      <c r="F8" s="8" t="s">
        <v>143</v>
      </c>
      <c r="G8" s="6">
        <v>15.3</v>
      </c>
      <c r="H8" s="6">
        <v>0.41099999999999998</v>
      </c>
      <c r="I8" s="6">
        <v>15.711</v>
      </c>
      <c r="J8" s="6">
        <v>13.98</v>
      </c>
      <c r="K8" s="6">
        <v>0.41099999999999998</v>
      </c>
      <c r="L8" s="15">
        <v>14.391</v>
      </c>
      <c r="M8" s="16">
        <v>41100</v>
      </c>
      <c r="N8" s="2" t="s">
        <v>144</v>
      </c>
    </row>
    <row r="9" spans="1:14" ht="19.2" x14ac:dyDescent="0.25">
      <c r="A9" s="2" t="s">
        <v>131</v>
      </c>
      <c r="B9" s="3" t="s">
        <v>151</v>
      </c>
      <c r="C9" s="3" t="s">
        <v>152</v>
      </c>
      <c r="D9" s="4">
        <v>1</v>
      </c>
      <c r="E9" s="3" t="s">
        <v>153</v>
      </c>
      <c r="F9" s="8" t="s">
        <v>143</v>
      </c>
      <c r="G9" s="6">
        <v>15.48</v>
      </c>
      <c r="H9" s="6">
        <v>0.44</v>
      </c>
      <c r="I9" s="6">
        <v>15.92</v>
      </c>
      <c r="J9" s="6">
        <v>12.97</v>
      </c>
      <c r="K9" s="6">
        <v>0.44</v>
      </c>
      <c r="L9" s="15">
        <v>13.41</v>
      </c>
      <c r="M9" s="16">
        <v>44000</v>
      </c>
      <c r="N9" s="2" t="s">
        <v>144</v>
      </c>
    </row>
    <row r="10" spans="1:14" ht="19.2" x14ac:dyDescent="0.25">
      <c r="A10" s="2" t="s">
        <v>131</v>
      </c>
      <c r="B10" s="11" t="s">
        <v>154</v>
      </c>
      <c r="C10" s="12" t="s">
        <v>155</v>
      </c>
      <c r="D10" s="4">
        <v>1</v>
      </c>
      <c r="E10" s="5" t="s">
        <v>156</v>
      </c>
      <c r="F10" s="8" t="s">
        <v>157</v>
      </c>
      <c r="G10" s="6">
        <v>1.1858407079646001</v>
      </c>
      <c r="H10" s="6">
        <v>0.08</v>
      </c>
      <c r="I10" s="6">
        <v>1.2658407079645999</v>
      </c>
      <c r="J10" s="6">
        <v>1.04</v>
      </c>
      <c r="K10" s="6">
        <v>0.08</v>
      </c>
      <c r="L10" s="15">
        <v>1.1200000000000001</v>
      </c>
      <c r="M10" s="16">
        <v>8000</v>
      </c>
      <c r="N10" s="2" t="s">
        <v>144</v>
      </c>
    </row>
    <row r="11" spans="1:14" ht="25.2" customHeight="1" x14ac:dyDescent="0.25">
      <c r="A11" s="2" t="s">
        <v>131</v>
      </c>
      <c r="B11" s="11" t="s">
        <v>158</v>
      </c>
      <c r="C11" s="12" t="s">
        <v>159</v>
      </c>
      <c r="D11" s="4">
        <v>1</v>
      </c>
      <c r="E11" s="5" t="s">
        <v>160</v>
      </c>
      <c r="F11" s="8" t="s">
        <v>157</v>
      </c>
      <c r="G11" s="6">
        <v>14.9469026548673</v>
      </c>
      <c r="H11" s="6">
        <v>0.08</v>
      </c>
      <c r="I11" s="6">
        <v>15.0269026548673</v>
      </c>
      <c r="J11" s="6">
        <v>12.56</v>
      </c>
      <c r="K11" s="6">
        <v>0.08</v>
      </c>
      <c r="L11" s="15">
        <v>12.64</v>
      </c>
      <c r="M11" s="16">
        <v>8000</v>
      </c>
      <c r="N11" s="2" t="s">
        <v>144</v>
      </c>
    </row>
    <row r="12" spans="1:14" ht="25.2" customHeight="1" x14ac:dyDescent="0.25">
      <c r="A12" s="2" t="s">
        <v>131</v>
      </c>
      <c r="B12" s="13" t="s">
        <v>161</v>
      </c>
      <c r="C12" s="14" t="s">
        <v>162</v>
      </c>
      <c r="D12" s="4">
        <v>1</v>
      </c>
      <c r="E12" s="5" t="s">
        <v>160</v>
      </c>
      <c r="F12" s="8" t="s">
        <v>157</v>
      </c>
      <c r="G12" s="6">
        <v>9.0265486725663706</v>
      </c>
      <c r="H12" s="6">
        <v>7.0796460176991205E-2</v>
      </c>
      <c r="I12" s="6">
        <v>9.0973451327433601</v>
      </c>
      <c r="J12" s="6">
        <v>8.23</v>
      </c>
      <c r="K12" s="6">
        <v>7.0796460176991205E-2</v>
      </c>
      <c r="L12" s="15">
        <v>8.3007964601769899</v>
      </c>
      <c r="M12" s="16">
        <v>7079.6460176991204</v>
      </c>
      <c r="N12" s="2" t="s">
        <v>144</v>
      </c>
    </row>
    <row r="13" spans="1:14" ht="25.2" customHeight="1" x14ac:dyDescent="0.25">
      <c r="A13" s="2" t="s">
        <v>131</v>
      </c>
      <c r="B13" s="11" t="s">
        <v>163</v>
      </c>
      <c r="C13" s="12" t="s">
        <v>164</v>
      </c>
      <c r="D13" s="4">
        <v>1</v>
      </c>
      <c r="E13" s="5" t="s">
        <v>156</v>
      </c>
      <c r="F13" s="8" t="s">
        <v>157</v>
      </c>
      <c r="G13" s="6">
        <v>1.1858407079646001</v>
      </c>
      <c r="H13" s="6">
        <v>0.08</v>
      </c>
      <c r="I13" s="6">
        <v>1.2658407079645999</v>
      </c>
      <c r="J13" s="6">
        <v>1.04</v>
      </c>
      <c r="K13" s="6">
        <v>0.08</v>
      </c>
      <c r="L13" s="15">
        <v>1.1200000000000001</v>
      </c>
      <c r="M13" s="16">
        <v>8000</v>
      </c>
      <c r="N13" s="2" t="s">
        <v>144</v>
      </c>
    </row>
  </sheetData>
  <mergeCells count="11">
    <mergeCell ref="B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phoneticPr fontId="2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 (2)</vt:lpstr>
      <vt:lpstr>汇总</vt:lpstr>
      <vt:lpstr>冲压工序费</vt:lpstr>
      <vt:lpstr>待料加工</vt:lpstr>
      <vt:lpstr>Sheet5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2006-09-13T11:21:00Z</dcterms:created>
  <dcterms:modified xsi:type="dcterms:W3CDTF">2024-12-29T07:39:33Z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F037461C51D64B00B0584A5A3D2DE4C6_13</vt:lpwstr>
  </property>
</Properties>
</file>