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光华荣昌" sheetId="10" r:id="rId1"/>
    <sheet name="普洛斯1、2、3、4库" sheetId="11" r:id="rId2"/>
    <sheet name="分摊表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I3" authorId="0">
      <text>
        <r>
          <rPr>
            <b/>
            <sz val="9"/>
            <rFont val="宋体"/>
            <charset val="134"/>
          </rPr>
          <t>Administrator:未税</t>
        </r>
      </text>
    </comment>
  </commentList>
</comments>
</file>

<file path=xl/sharedStrings.xml><?xml version="1.0" encoding="utf-8"?>
<sst xmlns="http://schemas.openxmlformats.org/spreadsheetml/2006/main" count="88" uniqueCount="59">
  <si>
    <t>2024年12月份光华荣昌水电费用结算表</t>
  </si>
  <si>
    <t>费用名称：</t>
  </si>
  <si>
    <t>项目</t>
  </si>
  <si>
    <t>上月表数</t>
  </si>
  <si>
    <t>本月表数</t>
  </si>
  <si>
    <t>本月发生数</t>
  </si>
  <si>
    <t>时间</t>
  </si>
  <si>
    <t>单价</t>
  </si>
  <si>
    <t>单位</t>
  </si>
  <si>
    <t>费用小计</t>
  </si>
  <si>
    <t>价税合计</t>
  </si>
  <si>
    <t>备注</t>
  </si>
  <si>
    <t>1#库电费</t>
  </si>
  <si>
    <t>2024.12.02——2025.01.01</t>
  </si>
  <si>
    <t>元/度</t>
  </si>
  <si>
    <t>变比80</t>
  </si>
  <si>
    <t>佳轩</t>
  </si>
  <si>
    <t>变比40</t>
  </si>
  <si>
    <t>扣减项</t>
  </si>
  <si>
    <t>智行</t>
  </si>
  <si>
    <t>1#库分摊费</t>
  </si>
  <si>
    <t>1#库水费南岛</t>
  </si>
  <si>
    <t>元/吨</t>
  </si>
  <si>
    <t>自来水费</t>
  </si>
  <si>
    <t>费用合计</t>
  </si>
  <si>
    <t>费用合计：</t>
  </si>
  <si>
    <t>电费</t>
  </si>
  <si>
    <t>水费</t>
  </si>
  <si>
    <t>合计：</t>
  </si>
  <si>
    <t>费用说明：</t>
  </si>
  <si>
    <t>电税率13%</t>
  </si>
  <si>
    <t>水税率3%</t>
  </si>
  <si>
    <t>确定费用：</t>
  </si>
  <si>
    <t>普洛斯公司确认：</t>
  </si>
  <si>
    <t>管玉滨</t>
  </si>
  <si>
    <t>使用部门业务员确认：</t>
  </si>
  <si>
    <t>2024年12月份普洛斯2、3、4号库动能费用结算表</t>
  </si>
  <si>
    <t>2#库电费</t>
  </si>
  <si>
    <t>3#库电费</t>
  </si>
  <si>
    <t>4#库电费</t>
  </si>
  <si>
    <t>伟士电费</t>
  </si>
  <si>
    <t>分摊表</t>
  </si>
  <si>
    <t>2024.12.02-2025.01.01</t>
  </si>
  <si>
    <t>分摊总电量</t>
  </si>
  <si>
    <t>国网反馈用电量</t>
  </si>
  <si>
    <t>园区实际用电量</t>
  </si>
  <si>
    <t>金额</t>
  </si>
  <si>
    <t>总用电量</t>
  </si>
  <si>
    <t>一号库用电量</t>
  </si>
  <si>
    <t>一号库用电量（光华荣昌）</t>
  </si>
  <si>
    <t>二号库用电量(博众)</t>
  </si>
  <si>
    <t>三号库用电量</t>
  </si>
  <si>
    <t>四号库用电量（伟士）</t>
  </si>
  <si>
    <t>四号库用电量（伟巴斯特）</t>
  </si>
  <si>
    <t>分摊电量</t>
  </si>
  <si>
    <t>合计电量</t>
  </si>
  <si>
    <t>分摊电费</t>
  </si>
  <si>
    <t>备注（1）：</t>
  </si>
  <si>
    <t>备注（2）：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</si>
</sst>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 * #,##0.0000_ ;_ * \-#,##0.0000_ ;_ * &quot;-&quot;????_ ;_ @_ "/>
    <numFmt numFmtId="178" formatCode="_-* #,##0.00_-;\-* #,##0.00_-;_-* &quot;-&quot;??_-;_-@_-"/>
  </numFmts>
  <fonts count="35">
    <font>
      <sz val="11"/>
      <color indexed="8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4"/>
      <color indexed="8"/>
      <name val="宋体"/>
      <charset val="134"/>
    </font>
    <font>
      <b/>
      <sz val="18"/>
      <color indexed="8"/>
      <name val="黑体"/>
      <charset val="134"/>
    </font>
    <font>
      <b/>
      <sz val="14"/>
      <color indexed="8"/>
      <name val="黑体"/>
      <charset val="134"/>
    </font>
    <font>
      <b/>
      <sz val="10"/>
      <color indexed="8"/>
      <name val="黑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b/>
      <sz val="16"/>
      <color indexed="8"/>
      <name val="黑体"/>
      <charset val="134"/>
    </font>
    <font>
      <sz val="10"/>
      <color indexed="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5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9" applyNumberFormat="0" applyAlignment="0" applyProtection="0">
      <alignment vertical="center"/>
    </xf>
    <xf numFmtId="0" fontId="23" fillId="7" borderId="20" applyNumberFormat="0" applyAlignment="0" applyProtection="0">
      <alignment vertical="center"/>
    </xf>
    <xf numFmtId="0" fontId="24" fillId="7" borderId="19" applyNumberFormat="0" applyAlignment="0" applyProtection="0">
      <alignment vertical="center"/>
    </xf>
    <xf numFmtId="0" fontId="25" fillId="8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right" vertical="center"/>
    </xf>
    <xf numFmtId="176" fontId="2" fillId="2" borderId="2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53" applyFont="1" applyFill="1" applyBorder="1" applyAlignment="1">
      <alignment horizontal="center" vertical="center" wrapText="1"/>
    </xf>
    <xf numFmtId="43" fontId="9" fillId="0" borderId="1" xfId="53" applyNumberFormat="1" applyFont="1" applyFill="1" applyBorder="1" applyAlignment="1">
      <alignment horizontal="center" vertical="center" wrapText="1"/>
    </xf>
    <xf numFmtId="43" fontId="9" fillId="0" borderId="5" xfId="53" applyNumberFormat="1" applyFont="1" applyFill="1" applyBorder="1" applyAlignment="1">
      <alignment horizontal="center" vertical="center" wrapText="1"/>
    </xf>
    <xf numFmtId="43" fontId="9" fillId="0" borderId="1" xfId="51" applyNumberFormat="1" applyFont="1" applyFill="1" applyBorder="1" applyAlignment="1">
      <alignment horizontal="center" vertical="center"/>
    </xf>
    <xf numFmtId="177" fontId="9" fillId="0" borderId="1" xfId="53" applyNumberFormat="1" applyFont="1" applyFill="1" applyBorder="1" applyAlignment="1">
      <alignment horizontal="center" vertical="center" wrapText="1"/>
    </xf>
    <xf numFmtId="0" fontId="9" fillId="3" borderId="1" xfId="53" applyFont="1" applyFill="1" applyBorder="1" applyAlignment="1">
      <alignment horizontal="center" vertical="center"/>
    </xf>
    <xf numFmtId="43" fontId="9" fillId="0" borderId="5" xfId="52" applyNumberFormat="1" applyFont="1" applyFill="1" applyBorder="1" applyAlignment="1">
      <alignment horizontal="center" vertical="center"/>
    </xf>
    <xf numFmtId="43" fontId="9" fillId="0" borderId="1" xfId="53" applyNumberFormat="1" applyFont="1" applyFill="1" applyBorder="1" applyAlignment="1">
      <alignment horizontal="center" vertical="center"/>
    </xf>
    <xf numFmtId="43" fontId="4" fillId="0" borderId="0" xfId="0" applyNumberFormat="1" applyFont="1">
      <alignment vertical="center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0" borderId="5" xfId="55" applyNumberFormat="1" applyFont="1" applyFill="1" applyBorder="1" applyAlignment="1">
      <alignment horizontal="center" vertical="center" wrapText="1"/>
    </xf>
    <xf numFmtId="43" fontId="9" fillId="0" borderId="6" xfId="55" applyNumberFormat="1" applyFont="1" applyFill="1" applyBorder="1" applyAlignment="1">
      <alignment horizontal="center" vertical="center" wrapText="1"/>
    </xf>
    <xf numFmtId="176" fontId="9" fillId="0" borderId="1" xfId="53" applyNumberFormat="1" applyFont="1" applyFill="1" applyBorder="1" applyAlignment="1">
      <alignment horizontal="right" vertical="center" wrapText="1"/>
    </xf>
    <xf numFmtId="176" fontId="9" fillId="0" borderId="5" xfId="53" applyNumberFormat="1" applyFont="1" applyFill="1" applyBorder="1" applyAlignment="1">
      <alignment horizontal="right" vertical="center" wrapText="1"/>
    </xf>
    <xf numFmtId="177" fontId="9" fillId="0" borderId="5" xfId="53" applyNumberFormat="1" applyFont="1" applyFill="1" applyBorder="1" applyAlignment="1">
      <alignment horizontal="center" vertical="center" wrapText="1"/>
    </xf>
    <xf numFmtId="43" fontId="9" fillId="0" borderId="1" xfId="51" applyNumberFormat="1" applyFont="1" applyFill="1" applyBorder="1" applyAlignment="1">
      <alignment horizontal="center" vertical="center" wrapText="1"/>
    </xf>
    <xf numFmtId="43" fontId="9" fillId="0" borderId="1" xfId="55" applyNumberFormat="1" applyFont="1" applyFill="1" applyBorder="1" applyAlignment="1">
      <alignment horizontal="center" vertical="center" wrapText="1"/>
    </xf>
    <xf numFmtId="43" fontId="9" fillId="0" borderId="3" xfId="53" applyNumberFormat="1" applyFont="1" applyFill="1" applyBorder="1" applyAlignment="1">
      <alignment horizontal="center" vertical="center" wrapText="1"/>
    </xf>
    <xf numFmtId="43" fontId="9" fillId="0" borderId="4" xfId="53" applyNumberFormat="1" applyFont="1" applyFill="1" applyBorder="1" applyAlignment="1">
      <alignment horizontal="center" vertical="center" wrapText="1"/>
    </xf>
    <xf numFmtId="43" fontId="9" fillId="4" borderId="1" xfId="53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43" fontId="4" fillId="0" borderId="0" xfId="0" applyNumberFormat="1" applyFont="1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8" fillId="0" borderId="0" xfId="0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178" fontId="4" fillId="0" borderId="0" xfId="0" applyNumberFormat="1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3" fontId="12" fillId="0" borderId="1" xfId="0" applyNumberFormat="1" applyFont="1" applyBorder="1" applyAlignment="1">
      <alignment horizontal="center" vertical="center" wrapText="1"/>
    </xf>
    <xf numFmtId="43" fontId="12" fillId="0" borderId="1" xfId="0" applyNumberFormat="1" applyFont="1" applyBorder="1" applyAlignment="1">
      <alignment vertical="center" wrapText="1"/>
    </xf>
    <xf numFmtId="43" fontId="12" fillId="0" borderId="4" xfId="0" applyNumberFormat="1" applyFont="1" applyBorder="1" applyAlignment="1">
      <alignment horizontal="center" vertical="center" wrapText="1"/>
    </xf>
    <xf numFmtId="43" fontId="9" fillId="4" borderId="12" xfId="53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 3" xfId="50"/>
    <cellStyle name="常规 2 2" xfId="51"/>
    <cellStyle name="常规 2 3" xfId="52"/>
    <cellStyle name="常规 2" xfId="53"/>
    <cellStyle name="常规 2 4" xfId="54"/>
    <cellStyle name="千位分隔 2" xfId="55"/>
    <cellStyle name="千位分隔 2 2" xfId="56"/>
    <cellStyle name="千位分隔 2 3" xfId="57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H12" sqref="H12"/>
    </sheetView>
  </sheetViews>
  <sheetFormatPr defaultColWidth="11.125" defaultRowHeight="12"/>
  <cols>
    <col min="1" max="1" width="15" style="38" customWidth="1"/>
    <col min="2" max="2" width="11.5" style="38" customWidth="1"/>
    <col min="3" max="3" width="11" style="38" customWidth="1"/>
    <col min="4" max="4" width="12.375" style="38" customWidth="1"/>
    <col min="5" max="5" width="24.25" style="38" customWidth="1"/>
    <col min="6" max="6" width="10.25" style="38" customWidth="1"/>
    <col min="7" max="7" width="11.625" style="38" customWidth="1"/>
    <col min="8" max="8" width="10.875" style="38" customWidth="1"/>
    <col min="9" max="9" width="11.75" style="38" customWidth="1"/>
    <col min="10" max="10" width="11.625" style="38" customWidth="1"/>
    <col min="11" max="11" width="14" style="38" customWidth="1"/>
    <col min="12" max="16384" width="11.125" style="38"/>
  </cols>
  <sheetData>
    <row r="1" s="38" customFormat="1" ht="21" customHeight="1" spans="1:1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="38" customFormat="1" ht="14.1" customHeight="1" spans="1:11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="38" customFormat="1" ht="62" customHeight="1" spans="1:11">
      <c r="A3" s="42" t="s">
        <v>2</v>
      </c>
      <c r="B3" s="42" t="s">
        <v>3</v>
      </c>
      <c r="C3" s="42" t="s">
        <v>4</v>
      </c>
      <c r="D3" s="42" t="s">
        <v>5</v>
      </c>
      <c r="E3" s="42" t="s">
        <v>6</v>
      </c>
      <c r="F3" s="42" t="s">
        <v>7</v>
      </c>
      <c r="G3" s="42" t="s">
        <v>8</v>
      </c>
      <c r="H3" s="42" t="s">
        <v>9</v>
      </c>
      <c r="I3" s="42" t="s">
        <v>10</v>
      </c>
      <c r="J3" s="53" t="s">
        <v>11</v>
      </c>
      <c r="K3" s="74"/>
    </row>
    <row r="4" s="39" customFormat="1" ht="22.5" customHeight="1" spans="1:11">
      <c r="A4" s="29" t="s">
        <v>12</v>
      </c>
      <c r="B4" s="30">
        <v>20084.1</v>
      </c>
      <c r="C4" s="30">
        <v>20512.2</v>
      </c>
      <c r="D4" s="31">
        <f>(C4-B4)*80</f>
        <v>34248.0000000002</v>
      </c>
      <c r="E4" s="32" t="s">
        <v>13</v>
      </c>
      <c r="F4" s="33">
        <v>0.7697</v>
      </c>
      <c r="G4" s="30" t="s">
        <v>14</v>
      </c>
      <c r="H4" s="43">
        <f t="shared" ref="H4:H6" si="0">F4*D4</f>
        <v>26360.6856000002</v>
      </c>
      <c r="I4" s="49">
        <f t="shared" ref="I4:I7" si="1">H4*(1+13%)</f>
        <v>29787.5747280002</v>
      </c>
      <c r="J4" s="75" t="s">
        <v>15</v>
      </c>
      <c r="K4" s="76"/>
    </row>
    <row r="5" s="39" customFormat="1" ht="22.5" customHeight="1" spans="1:11">
      <c r="A5" s="29" t="s">
        <v>16</v>
      </c>
      <c r="B5" s="30">
        <v>1481</v>
      </c>
      <c r="C5" s="30">
        <v>1581.9</v>
      </c>
      <c r="D5" s="31">
        <f>(C5-B5)*40</f>
        <v>4036</v>
      </c>
      <c r="E5" s="32" t="s">
        <v>13</v>
      </c>
      <c r="F5" s="33">
        <v>0.7697</v>
      </c>
      <c r="G5" s="30" t="s">
        <v>14</v>
      </c>
      <c r="H5" s="43">
        <f t="shared" si="0"/>
        <v>3106.5092</v>
      </c>
      <c r="I5" s="49">
        <f t="shared" si="1"/>
        <v>3510.355396</v>
      </c>
      <c r="J5" s="75" t="s">
        <v>17</v>
      </c>
      <c r="K5" s="76" t="s">
        <v>18</v>
      </c>
    </row>
    <row r="6" s="39" customFormat="1" ht="22.5" customHeight="1" spans="1:11">
      <c r="A6" s="29" t="s">
        <v>19</v>
      </c>
      <c r="B6" s="30">
        <v>155.2</v>
      </c>
      <c r="C6" s="30">
        <v>381.4</v>
      </c>
      <c r="D6" s="31">
        <f>(C6-B6)*40</f>
        <v>9048</v>
      </c>
      <c r="E6" s="32" t="s">
        <v>13</v>
      </c>
      <c r="F6" s="33">
        <v>0.7697</v>
      </c>
      <c r="G6" s="30" t="s">
        <v>14</v>
      </c>
      <c r="H6" s="43">
        <f t="shared" si="0"/>
        <v>6964.2456</v>
      </c>
      <c r="I6" s="49">
        <f t="shared" si="1"/>
        <v>7869.597528</v>
      </c>
      <c r="J6" s="75" t="s">
        <v>17</v>
      </c>
      <c r="K6" s="76" t="s">
        <v>18</v>
      </c>
    </row>
    <row r="7" s="39" customFormat="1" ht="22.5" customHeight="1" spans="1:11">
      <c r="A7" s="29" t="s">
        <v>20</v>
      </c>
      <c r="B7" s="30"/>
      <c r="C7" s="30"/>
      <c r="D7" s="31">
        <f>H7/F7</f>
        <v>570.570674958903</v>
      </c>
      <c r="E7" s="32" t="s">
        <v>13</v>
      </c>
      <c r="F7" s="33">
        <v>0.7697</v>
      </c>
      <c r="G7" s="30" t="s">
        <v>14</v>
      </c>
      <c r="H7" s="44">
        <f>分摊表!C8</f>
        <v>439.168248515868</v>
      </c>
      <c r="I7" s="49">
        <f t="shared" si="1"/>
        <v>496.260120822931</v>
      </c>
      <c r="J7" s="77"/>
      <c r="K7" s="76"/>
    </row>
    <row r="8" s="39" customFormat="1" ht="22.5" customHeight="1" spans="1:11">
      <c r="A8" s="29" t="s">
        <v>21</v>
      </c>
      <c r="B8" s="45">
        <v>2</v>
      </c>
      <c r="C8" s="45">
        <v>40</v>
      </c>
      <c r="D8" s="46">
        <f>C8-B8</f>
        <v>38</v>
      </c>
      <c r="E8" s="32" t="s">
        <v>13</v>
      </c>
      <c r="F8" s="47">
        <f>5.4/1.03+1.4</f>
        <v>6.64271844660194</v>
      </c>
      <c r="G8" s="31" t="s">
        <v>22</v>
      </c>
      <c r="H8" s="43">
        <f>ROUND(D8*F8,2)</f>
        <v>252.42</v>
      </c>
      <c r="I8" s="44">
        <f>ROUND(H8*(1+3%),2)</f>
        <v>259.99</v>
      </c>
      <c r="J8" s="75"/>
      <c r="K8" s="76" t="s">
        <v>23</v>
      </c>
    </row>
    <row r="9" s="39" customFormat="1" ht="22.5" customHeight="1" spans="1:11">
      <c r="A9" s="29" t="s">
        <v>24</v>
      </c>
      <c r="B9" s="30"/>
      <c r="C9" s="30"/>
      <c r="D9" s="30"/>
      <c r="E9" s="48"/>
      <c r="F9" s="30"/>
      <c r="G9" s="30"/>
      <c r="H9" s="49"/>
      <c r="I9" s="49">
        <f>I4-I5-I6+I7+I8</f>
        <v>19163.8719248231</v>
      </c>
      <c r="J9" s="75"/>
      <c r="K9" s="76"/>
    </row>
    <row r="10" s="38" customFormat="1" ht="33" customHeight="1" spans="1:11">
      <c r="A10" s="29" t="s">
        <v>25</v>
      </c>
      <c r="B10" s="50"/>
      <c r="C10" s="51"/>
      <c r="D10" s="52" t="s">
        <v>26</v>
      </c>
      <c r="E10" s="50">
        <f>ROUND(I7+I4-I5-I6,2)</f>
        <v>18903.88</v>
      </c>
      <c r="F10" s="30" t="s">
        <v>27</v>
      </c>
      <c r="G10" s="52">
        <f>I8</f>
        <v>259.99</v>
      </c>
      <c r="H10" s="50"/>
      <c r="I10" s="50" t="s">
        <v>28</v>
      </c>
      <c r="J10" s="78">
        <f>E10+G10</f>
        <v>19163.87</v>
      </c>
      <c r="K10" s="77"/>
    </row>
    <row r="11" s="38" customFormat="1" ht="23" customHeight="1" spans="1:11">
      <c r="A11" s="53" t="s">
        <v>29</v>
      </c>
      <c r="B11" s="54" t="s">
        <v>30</v>
      </c>
      <c r="C11" s="54" t="s">
        <v>31</v>
      </c>
      <c r="D11" s="54"/>
      <c r="E11" s="54"/>
      <c r="F11" s="54"/>
      <c r="G11" s="54"/>
      <c r="H11" s="54"/>
      <c r="I11" s="54"/>
      <c r="J11" s="79"/>
      <c r="K11" s="80"/>
    </row>
    <row r="12" s="38" customFormat="1" ht="21" customHeight="1" spans="1:11">
      <c r="A12" s="53" t="s">
        <v>32</v>
      </c>
      <c r="B12" s="54"/>
      <c r="C12" s="54"/>
      <c r="D12" s="54"/>
      <c r="E12" s="54"/>
      <c r="F12" s="54"/>
      <c r="G12" s="54"/>
      <c r="H12" s="54"/>
      <c r="I12" s="54"/>
      <c r="J12" s="79"/>
      <c r="K12" s="80"/>
    </row>
    <row r="13" s="38" customFormat="1" ht="35.1" customHeight="1" spans="1:10">
      <c r="A13" s="55"/>
      <c r="B13" s="41"/>
      <c r="C13" s="41"/>
      <c r="D13" s="41"/>
      <c r="E13" s="41"/>
      <c r="F13" s="41"/>
      <c r="G13" s="41"/>
      <c r="H13" s="41"/>
      <c r="I13" s="41"/>
      <c r="J13" s="67"/>
    </row>
    <row r="14" s="23" customFormat="1" ht="21" customHeight="1" spans="1:11">
      <c r="A14" s="56" t="s">
        <v>33</v>
      </c>
      <c r="B14" s="42" t="s">
        <v>34</v>
      </c>
      <c r="C14" s="42"/>
      <c r="D14" s="42"/>
      <c r="E14" s="57" t="s">
        <v>35</v>
      </c>
      <c r="F14" s="58"/>
      <c r="G14" s="59"/>
      <c r="H14" s="59"/>
      <c r="I14" s="59"/>
      <c r="J14" s="59"/>
      <c r="K14" s="81"/>
    </row>
    <row r="15" s="23" customFormat="1" ht="19" customHeight="1" spans="1:11">
      <c r="A15" s="56"/>
      <c r="B15" s="42"/>
      <c r="C15" s="42"/>
      <c r="D15" s="42"/>
      <c r="E15" s="60"/>
      <c r="F15" s="61"/>
      <c r="G15" s="62"/>
      <c r="H15" s="62"/>
      <c r="I15" s="62"/>
      <c r="J15" s="62"/>
      <c r="K15" s="82"/>
    </row>
    <row r="16" s="23" customFormat="1" ht="26" customHeight="1" spans="1:11">
      <c r="A16" s="56"/>
      <c r="B16" s="42"/>
      <c r="C16" s="42"/>
      <c r="D16" s="42"/>
      <c r="E16" s="63"/>
      <c r="F16" s="64"/>
      <c r="G16" s="65"/>
      <c r="H16" s="65"/>
      <c r="I16" s="65"/>
      <c r="J16" s="65"/>
      <c r="K16" s="83"/>
    </row>
    <row r="17" s="38" customFormat="1" spans="1:9">
      <c r="A17" s="41"/>
      <c r="B17" s="41"/>
      <c r="C17" s="41"/>
      <c r="D17" s="62"/>
      <c r="E17" s="62"/>
      <c r="F17" s="41"/>
      <c r="G17" s="66"/>
      <c r="H17" s="66"/>
      <c r="I17" s="41"/>
    </row>
    <row r="18" s="38" customFormat="1" ht="13.5" spans="3:8">
      <c r="C18" s="67"/>
      <c r="D18" s="67"/>
      <c r="E18" s="67"/>
      <c r="F18" s="68"/>
      <c r="G18" s="69"/>
      <c r="H18" s="69"/>
    </row>
    <row r="19" s="38" customFormat="1" ht="13.5" spans="2:10">
      <c r="B19" s="70"/>
      <c r="C19" s="67"/>
      <c r="D19" s="67"/>
      <c r="E19" s="67"/>
      <c r="F19" s="68"/>
      <c r="G19" s="71"/>
      <c r="H19" s="71"/>
      <c r="J19" s="67"/>
    </row>
    <row r="20" s="38" customFormat="1" spans="2:8">
      <c r="B20" s="70"/>
      <c r="C20" s="67"/>
      <c r="D20" s="67"/>
      <c r="E20" s="67"/>
      <c r="G20" s="72"/>
      <c r="H20" s="73"/>
    </row>
    <row r="21" s="38" customFormat="1" spans="5:5">
      <c r="E21" s="67"/>
    </row>
  </sheetData>
  <mergeCells count="11">
    <mergeCell ref="A1:K1"/>
    <mergeCell ref="J3:K3"/>
    <mergeCell ref="B10:C10"/>
    <mergeCell ref="D13:E13"/>
    <mergeCell ref="H13:I13"/>
    <mergeCell ref="G17:H17"/>
    <mergeCell ref="A14:A16"/>
    <mergeCell ref="B19:B20"/>
    <mergeCell ref="E14:E16"/>
    <mergeCell ref="F14:K16"/>
    <mergeCell ref="B14:D16"/>
  </mergeCells>
  <pageMargins left="0.751388888888889" right="0.751388888888889" top="0.802777777777778" bottom="0.802777777777778" header="0.511805555555556" footer="0.511805555555556"/>
  <pageSetup paperSize="9" scale="9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E18" sqref="E18"/>
    </sheetView>
  </sheetViews>
  <sheetFormatPr defaultColWidth="9" defaultRowHeight="12" outlineLevelRow="7"/>
  <cols>
    <col min="1" max="1" width="16.5" style="23" customWidth="1"/>
    <col min="2" max="2" width="11.5" style="23" customWidth="1"/>
    <col min="3" max="3" width="11.75" style="23" customWidth="1"/>
    <col min="4" max="4" width="12.625" style="23" customWidth="1"/>
    <col min="5" max="5" width="23.375" style="23" customWidth="1"/>
    <col min="6" max="6" width="10.75" style="23" customWidth="1"/>
    <col min="7" max="7" width="11.75" style="23" customWidth="1"/>
    <col min="8" max="9" width="12.75" style="23" customWidth="1"/>
    <col min="10" max="10" width="9.5" style="23" customWidth="1"/>
    <col min="11" max="16384" width="9" style="23"/>
  </cols>
  <sheetData>
    <row r="1" s="23" customFormat="1" ht="21" customHeight="1" spans="1:7">
      <c r="A1" s="25" t="s">
        <v>36</v>
      </c>
      <c r="B1" s="25"/>
      <c r="C1" s="25"/>
      <c r="D1" s="25"/>
      <c r="E1" s="25"/>
      <c r="F1" s="25"/>
      <c r="G1" s="25"/>
    </row>
    <row r="2" s="24" customFormat="1" ht="17" customHeight="1" spans="1:7">
      <c r="A2" s="26" t="s">
        <v>1</v>
      </c>
      <c r="B2" s="26"/>
      <c r="C2" s="26"/>
      <c r="D2" s="26"/>
      <c r="E2" s="26"/>
      <c r="F2" s="26"/>
      <c r="G2" s="26"/>
    </row>
    <row r="3" s="23" customFormat="1" ht="17" customHeight="1" spans="1:7">
      <c r="A3" s="27" t="s">
        <v>2</v>
      </c>
      <c r="B3" s="27" t="s">
        <v>3</v>
      </c>
      <c r="C3" s="27" t="s">
        <v>4</v>
      </c>
      <c r="D3" s="27" t="s">
        <v>5</v>
      </c>
      <c r="E3" s="28" t="s">
        <v>6</v>
      </c>
      <c r="F3" s="27" t="s">
        <v>7</v>
      </c>
      <c r="G3" s="27" t="s">
        <v>8</v>
      </c>
    </row>
    <row r="4" s="23" customFormat="1" ht="17" customHeight="1" spans="1:7">
      <c r="A4" s="29" t="s">
        <v>12</v>
      </c>
      <c r="B4" s="30">
        <v>20084.1</v>
      </c>
      <c r="C4" s="30">
        <v>20512.2</v>
      </c>
      <c r="D4" s="31">
        <f>C4-B4</f>
        <v>428.100000000002</v>
      </c>
      <c r="E4" s="32" t="s">
        <v>13</v>
      </c>
      <c r="F4" s="33">
        <v>0.7697</v>
      </c>
      <c r="G4" s="30" t="s">
        <v>14</v>
      </c>
    </row>
    <row r="5" s="23" customFormat="1" ht="18" customHeight="1" spans="1:7">
      <c r="A5" s="34" t="s">
        <v>37</v>
      </c>
      <c r="B5" s="35">
        <v>21340.8</v>
      </c>
      <c r="C5" s="35">
        <v>21424.8</v>
      </c>
      <c r="D5" s="36">
        <f>C5-B5</f>
        <v>84</v>
      </c>
      <c r="E5" s="32" t="s">
        <v>13</v>
      </c>
      <c r="F5" s="33">
        <v>0.7697</v>
      </c>
      <c r="G5" s="34" t="s">
        <v>14</v>
      </c>
    </row>
    <row r="6" s="23" customFormat="1" ht="18" customHeight="1" spans="1:10">
      <c r="A6" s="34" t="s">
        <v>38</v>
      </c>
      <c r="B6" s="36">
        <v>25789.5</v>
      </c>
      <c r="C6" s="36">
        <v>25854.7</v>
      </c>
      <c r="D6" s="36">
        <f>C6-B6</f>
        <v>65.2000000000007</v>
      </c>
      <c r="E6" s="32" t="s">
        <v>13</v>
      </c>
      <c r="F6" s="33">
        <v>0.7697</v>
      </c>
      <c r="G6" s="34" t="s">
        <v>14</v>
      </c>
      <c r="H6" s="37"/>
      <c r="I6" s="37"/>
      <c r="J6" s="37"/>
    </row>
    <row r="7" s="23" customFormat="1" ht="18" customHeight="1" spans="1:10">
      <c r="A7" s="34" t="s">
        <v>39</v>
      </c>
      <c r="B7" s="36">
        <v>41251.6</v>
      </c>
      <c r="C7" s="36">
        <v>42067.3</v>
      </c>
      <c r="D7" s="36">
        <f>C7-B7</f>
        <v>815.700000000004</v>
      </c>
      <c r="E7" s="32" t="s">
        <v>13</v>
      </c>
      <c r="F7" s="33">
        <v>0.7697</v>
      </c>
      <c r="G7" s="34" t="s">
        <v>14</v>
      </c>
      <c r="H7" s="37"/>
      <c r="I7" s="37"/>
      <c r="J7" s="37"/>
    </row>
    <row r="8" ht="18" customHeight="1" spans="1:7">
      <c r="A8" s="34" t="s">
        <v>40</v>
      </c>
      <c r="B8" s="36">
        <v>10551.5</v>
      </c>
      <c r="C8" s="36">
        <v>11463.4</v>
      </c>
      <c r="D8" s="36">
        <f>C8-B8</f>
        <v>911.9</v>
      </c>
      <c r="E8" s="32" t="s">
        <v>13</v>
      </c>
      <c r="F8" s="33">
        <v>0.7697</v>
      </c>
      <c r="G8" s="34" t="s">
        <v>14</v>
      </c>
    </row>
  </sheetData>
  <mergeCells count="1">
    <mergeCell ref="A1:G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F14" sqref="F14"/>
    </sheetView>
  </sheetViews>
  <sheetFormatPr defaultColWidth="9" defaultRowHeight="13.5"/>
  <cols>
    <col min="1" max="1" width="12.75" style="1" customWidth="1"/>
    <col min="2" max="2" width="17.125" style="1" customWidth="1"/>
    <col min="3" max="3" width="15" style="1" customWidth="1"/>
    <col min="4" max="4" width="15.125" style="1" customWidth="1"/>
    <col min="5" max="5" width="16" style="1" customWidth="1"/>
    <col min="6" max="7" width="15.125" style="1" customWidth="1"/>
    <col min="8" max="8" width="10.125" style="1" customWidth="1"/>
    <col min="9" max="9" width="12.375" style="1" customWidth="1"/>
    <col min="10" max="16384" width="9" style="1"/>
  </cols>
  <sheetData>
    <row r="1" s="1" customFormat="1" ht="33" customHeight="1" spans="1:9">
      <c r="A1" s="2" t="s">
        <v>41</v>
      </c>
      <c r="B1" s="2"/>
      <c r="C1" s="2"/>
      <c r="D1" s="2"/>
      <c r="E1" s="2"/>
      <c r="F1" s="2"/>
      <c r="G1" s="2"/>
      <c r="H1" s="2"/>
      <c r="I1" s="2"/>
    </row>
    <row r="2" s="1" customFormat="1" ht="14.25" spans="1:9">
      <c r="A2" s="3" t="s">
        <v>42</v>
      </c>
      <c r="B2" s="3"/>
      <c r="C2" s="3"/>
      <c r="D2" s="3"/>
      <c r="E2" s="3"/>
      <c r="F2" s="3"/>
      <c r="G2" s="3"/>
      <c r="H2" s="3"/>
      <c r="I2" s="3"/>
    </row>
    <row r="3" s="1" customFormat="1" ht="14.25" spans="1:9">
      <c r="A3" s="4" t="s">
        <v>43</v>
      </c>
      <c r="B3" s="4">
        <f>D3-F3</f>
        <v>3883.99999999901</v>
      </c>
      <c r="C3" s="4" t="s">
        <v>44</v>
      </c>
      <c r="D3" s="4">
        <v>147952</v>
      </c>
      <c r="E3" s="5" t="s">
        <v>45</v>
      </c>
      <c r="F3" s="4">
        <f>普洛斯1、2、3、4库!D4*80+(普洛斯1、2、3、4库!C5-普洛斯1、2、3、4库!B5)*80+普洛斯1、2、3、4库!D6*80+普洛斯1、2、3、4库!D7*120</f>
        <v>144068.000000001</v>
      </c>
      <c r="G3" s="4"/>
      <c r="H3" s="4" t="s">
        <v>46</v>
      </c>
      <c r="I3" s="19">
        <v>113880.91</v>
      </c>
    </row>
    <row r="4" s="1" customFormat="1" ht="38" customHeight="1" spans="1:9">
      <c r="A4" s="4" t="s">
        <v>47</v>
      </c>
      <c r="B4" s="6" t="s">
        <v>48</v>
      </c>
      <c r="C4" s="6" t="s">
        <v>49</v>
      </c>
      <c r="D4" s="6" t="s">
        <v>50</v>
      </c>
      <c r="E4" s="5" t="s">
        <v>51</v>
      </c>
      <c r="F4" s="6" t="s">
        <v>52</v>
      </c>
      <c r="G4" s="6" t="s">
        <v>53</v>
      </c>
      <c r="H4" s="7"/>
      <c r="I4" s="20"/>
    </row>
    <row r="5" s="1" customFormat="1" ht="21" customHeight="1" spans="1:9">
      <c r="A5" s="4">
        <f>B5+D5+E5+F5+G5+C5</f>
        <v>144068.000000001</v>
      </c>
      <c r="B5" s="8">
        <f>普洛斯1、2、3、4库!D4*80-光华荣昌!D4+光华荣昌!D5+光华荣昌!D6</f>
        <v>13084</v>
      </c>
      <c r="C5" s="8">
        <f>光华荣昌!D4-光华荣昌!D5-光华荣昌!D6</f>
        <v>21164.0000000002</v>
      </c>
      <c r="D5" s="8">
        <f>普洛斯1、2、3、4库!D5*80</f>
        <v>6720</v>
      </c>
      <c r="E5" s="8">
        <f>普洛斯1、2、3、4库!D6*80</f>
        <v>5216.00000000006</v>
      </c>
      <c r="F5" s="8">
        <f>普洛斯1、2、3、4库!D8*40</f>
        <v>36476</v>
      </c>
      <c r="G5" s="9">
        <f>普洛斯1、2、3、4库!D7*120-普洛斯1、2、3、4库!D8*40</f>
        <v>61408.0000000005</v>
      </c>
      <c r="H5" s="7"/>
      <c r="I5" s="20"/>
    </row>
    <row r="6" s="1" customFormat="1" ht="21" customHeight="1" spans="1:9">
      <c r="A6" s="10" t="s">
        <v>54</v>
      </c>
      <c r="B6" s="11">
        <f>B5/A5*B3</f>
        <v>352.7379848404</v>
      </c>
      <c r="C6" s="11">
        <f>C5/A5*B3</f>
        <v>570.570674958903</v>
      </c>
      <c r="D6" s="11">
        <f>D5/A5*B3</f>
        <v>181.167781880731</v>
      </c>
      <c r="E6" s="11">
        <f>E5/A5*B3</f>
        <v>140.620706888379</v>
      </c>
      <c r="F6" s="11">
        <f>F5/A5*B3</f>
        <v>983.374406529992</v>
      </c>
      <c r="G6" s="12">
        <f>G5/A5*B3</f>
        <v>1655.5284449006</v>
      </c>
      <c r="H6" s="7"/>
      <c r="I6" s="20"/>
    </row>
    <row r="7" s="1" customFormat="1" ht="21" customHeight="1" spans="1:9">
      <c r="A7" s="10" t="s">
        <v>55</v>
      </c>
      <c r="B7" s="11">
        <f t="shared" ref="B7:G7" si="0">B5+B6</f>
        <v>13436.7379848404</v>
      </c>
      <c r="C7" s="11">
        <f t="shared" si="0"/>
        <v>21734.5706749591</v>
      </c>
      <c r="D7" s="11">
        <f t="shared" si="0"/>
        <v>6901.16778188073</v>
      </c>
      <c r="E7" s="11">
        <f t="shared" si="0"/>
        <v>5356.62070688844</v>
      </c>
      <c r="F7" s="11">
        <f t="shared" si="0"/>
        <v>37459.37440653</v>
      </c>
      <c r="G7" s="11">
        <f t="shared" si="0"/>
        <v>63063.5284449011</v>
      </c>
      <c r="H7" s="7"/>
      <c r="I7" s="20"/>
    </row>
    <row r="8" s="1" customFormat="1" ht="21" customHeight="1" spans="1:9">
      <c r="A8" s="4" t="s">
        <v>56</v>
      </c>
      <c r="B8" s="4">
        <f>C9*B5</f>
        <v>271.502426931656</v>
      </c>
      <c r="C8" s="4">
        <f>C9*C5</f>
        <v>439.168248515868</v>
      </c>
      <c r="D8" s="4">
        <f>C9*D5</f>
        <v>139.444841713599</v>
      </c>
      <c r="E8" s="4">
        <f>C9*E5</f>
        <v>108.235758091985</v>
      </c>
      <c r="F8" s="4">
        <f>C9*F5</f>
        <v>756.903280706135</v>
      </c>
      <c r="G8" s="7">
        <f>G5*C9</f>
        <v>1274.26024403999</v>
      </c>
      <c r="H8" s="7"/>
      <c r="I8" s="20"/>
    </row>
    <row r="9" s="1" customFormat="1" ht="23.1" customHeight="1" spans="1:9">
      <c r="A9" s="13" t="s">
        <v>57</v>
      </c>
      <c r="B9" s="13" t="s">
        <v>14</v>
      </c>
      <c r="C9" s="14">
        <f>(B3*ROUND(I3/D3,4)/A5)</f>
        <v>0.0207507204930951</v>
      </c>
      <c r="D9" s="15"/>
      <c r="E9" s="15"/>
      <c r="F9" s="15"/>
      <c r="G9" s="15"/>
      <c r="H9" s="15"/>
      <c r="I9" s="21"/>
    </row>
    <row r="10" s="1" customFormat="1" ht="21" customHeight="1" spans="1:9">
      <c r="A10" s="13" t="s">
        <v>58</v>
      </c>
      <c r="B10" s="16"/>
      <c r="C10" s="17"/>
      <c r="D10" s="17"/>
      <c r="E10" s="17"/>
      <c r="F10" s="17"/>
      <c r="G10" s="17"/>
      <c r="H10" s="17"/>
      <c r="I10" s="22"/>
    </row>
    <row r="12" s="1" customFormat="1" ht="30" customHeight="1" spans="1:9">
      <c r="A12" s="18"/>
      <c r="B12" s="18"/>
      <c r="C12" s="18"/>
      <c r="D12" s="18"/>
      <c r="E12" s="18"/>
      <c r="F12" s="18"/>
      <c r="G12" s="18"/>
      <c r="H12" s="18"/>
      <c r="I12" s="18"/>
    </row>
  </sheetData>
  <mergeCells count="8">
    <mergeCell ref="A1:I1"/>
    <mergeCell ref="A2:I2"/>
    <mergeCell ref="H4:I4"/>
    <mergeCell ref="H5:I5"/>
    <mergeCell ref="H8:I8"/>
    <mergeCell ref="C9:I9"/>
    <mergeCell ref="B10:I10"/>
    <mergeCell ref="A12:I12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光华荣昌</vt:lpstr>
      <vt:lpstr>普洛斯1、2、3、4库</vt:lpstr>
      <vt:lpstr>分摊表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2016-03-21T00:45:00Z</cp:lastPrinted>
  <dcterms:modified xsi:type="dcterms:W3CDTF">2025-01-06T05:17:46Z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ubyTemplateID" linkTarget="0">
    <vt:lpwstr>14</vt:lpwstr>
  </property>
  <property fmtid="{D5CDD505-2E9C-101B-9397-08002B2CF9AE}" pid="4" name="ICV">
    <vt:lpwstr>47E7122AF8304552B431596BBA1EEDE7</vt:lpwstr>
  </property>
</Properties>
</file>