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650" activeTab="1"/>
  </bookViews>
  <sheets>
    <sheet name="安路普产品报价" sheetId="1" r:id="rId1"/>
    <sheet name="安路普产品报价 （不考虑合格率）" sheetId="4" r:id="rId2"/>
    <sheet name="重点产品核算" sheetId="3" state="hidden" r:id="rId3"/>
  </sheets>
  <definedNames>
    <definedName name="_xlnm._FilterDatabase" localSheetId="0" hidden="1">安路普产品报价!$A$4:$AL$170</definedName>
    <definedName name="_xlnm._FilterDatabase" localSheetId="1" hidden="1">'安路普产品报价 （不考虑合格率）'!$A$4:$AL$170</definedName>
    <definedName name="_xlnm._FilterDatabase" localSheetId="2" hidden="1">重点产品核算!$A$4:$W$24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P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P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<sst xmlns="http://schemas.openxmlformats.org/spreadsheetml/2006/main" count="1493" uniqueCount="411">
  <si>
    <t>内部定价核算方式</t>
  </si>
  <si>
    <t>实际费用占比</t>
  </si>
  <si>
    <r>
      <rPr>
        <b/>
        <sz val="11"/>
        <rFont val="宋体"/>
        <charset val="134"/>
        <scheme val="minor"/>
      </rPr>
      <t>（（料+工+费）/合格率）*</t>
    </r>
    <r>
      <rPr>
        <b/>
        <sz val="11"/>
        <color rgb="FFFF0000"/>
        <rFont val="宋体"/>
        <charset val="134"/>
        <scheme val="minor"/>
      </rPr>
      <t>1.4</t>
    </r>
    <r>
      <rPr>
        <b/>
        <sz val="11"/>
        <rFont val="宋体"/>
        <charset val="134"/>
        <scheme val="minor"/>
      </rPr>
      <t>+外*1.1+包装+运费+丝印</t>
    </r>
  </si>
  <si>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</si>
  <si>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</si>
  <si>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</si>
  <si>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</si>
  <si>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</si>
  <si>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</si>
  <si>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</si>
  <si>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</si>
  <si>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</si>
  <si>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</si>
  <si>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</si>
  <si>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</si>
  <si>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</si>
  <si>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</si>
  <si>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</si>
  <si>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</si>
  <si>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</si>
  <si>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</si>
  <si>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</si>
  <si>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</si>
  <si>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财务给出内部结算指导价（未税）</t>
  </si>
  <si>
    <t>25年最新报价</t>
  </si>
  <si>
    <t>差异</t>
  </si>
  <si>
    <t>运费</t>
  </si>
  <si>
    <t>直接人工</t>
  </si>
  <si>
    <t>电费</t>
  </si>
  <si>
    <t>包装</t>
  </si>
  <si>
    <t>材料附加值</t>
  </si>
  <si>
    <t>24年发生数量</t>
  </si>
  <si>
    <t>公式模拟(考虑合格率）</t>
  </si>
  <si>
    <t>现执行价格小计</t>
  </si>
  <si>
    <t>瑞龙祥价格下降10%</t>
  </si>
  <si>
    <t>模拟价格与现价格差异</t>
  </si>
  <si>
    <t>模拟价格与瑞下降10%</t>
  </si>
  <si>
    <t>净重</t>
  </si>
  <si>
    <t>毛重</t>
  </si>
  <si>
    <t>单价</t>
  </si>
  <si>
    <t>金额</t>
  </si>
  <si>
    <t>BPC0010061</t>
  </si>
  <si>
    <t>阀体外壳</t>
  </si>
  <si>
    <t>POM</t>
  </si>
  <si>
    <t>HTF120/TJ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</si>
  <si>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</si>
  <si>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</si>
  <si>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</si>
  <si>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</si>
  <si>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</si>
  <si>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</si>
  <si>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</si>
  <si>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</si>
  <si>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</si>
  <si>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</si>
  <si>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</si>
  <si>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</si>
  <si>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</si>
  <si>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</si>
  <si>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</si>
  <si>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</si>
  <si>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</si>
  <si>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</si>
  <si>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</si>
  <si>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</si>
  <si>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</si>
  <si>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</si>
  <si>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</si>
  <si>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</si>
  <si>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</si>
  <si>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</si>
  <si>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</si>
  <si>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</si>
  <si>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</si>
  <si>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</si>
  <si>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</si>
  <si>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</si>
  <si>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</si>
  <si>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</si>
  <si>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</si>
  <si>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</si>
  <si>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</si>
  <si>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</si>
  <si>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</si>
  <si>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</si>
  <si>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</si>
  <si>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</si>
  <si>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</si>
  <si>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</si>
  <si>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</si>
  <si>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</si>
  <si>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</si>
  <si>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</si>
  <si>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</si>
  <si>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</si>
  <si>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</si>
  <si>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</si>
  <si>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</si>
  <si>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</si>
  <si>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</si>
  <si>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</si>
  <si>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</si>
  <si>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</si>
  <si>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</si>
  <si>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</si>
  <si>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</si>
  <si>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</si>
  <si>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</si>
  <si>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</si>
  <si>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</si>
  <si>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</si>
  <si>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</si>
  <si>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</si>
  <si>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</si>
  <si>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</si>
  <si>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</si>
  <si>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</si>
  <si>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</si>
  <si>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</si>
  <si>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</si>
  <si>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</si>
  <si>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</si>
  <si>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</si>
  <si>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</si>
  <si>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</si>
  <si>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</si>
  <si>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</si>
  <si>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SHT0011464</t>
  </si>
  <si>
    <t>腰托开关按钮堵盖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</si>
  <si>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</si>
  <si>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</si>
  <si>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</si>
  <si>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</si>
  <si>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</si>
  <si>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</si>
  <si>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</si>
  <si>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</si>
  <si>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</si>
  <si>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</si>
  <si>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</si>
  <si>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</si>
  <si>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</si>
  <si>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</si>
  <si>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</si>
  <si>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</si>
  <si>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</si>
  <si>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</si>
  <si>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</si>
  <si>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</si>
  <si>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</si>
  <si>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</si>
  <si>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</si>
  <si>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</si>
  <si>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</si>
  <si>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</si>
  <si>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</si>
  <si>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</si>
  <si>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</si>
  <si>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</si>
  <si>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</si>
  <si>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</si>
  <si>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</si>
  <si>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</si>
  <si>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</si>
  <si>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</si>
  <si>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</si>
  <si>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</si>
  <si>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</si>
  <si>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</si>
  <si>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</si>
  <si>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</si>
  <si>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</si>
  <si>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</si>
  <si>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</si>
  <si>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</si>
  <si>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</si>
  <si>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</si>
  <si>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</si>
  <si>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</si>
  <si>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</si>
  <si>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</si>
  <si>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</si>
  <si>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</si>
  <si>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</si>
  <si>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</si>
  <si>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</si>
  <si>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</si>
  <si>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</si>
  <si>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</si>
  <si>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</si>
  <si>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</si>
  <si>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</si>
  <si>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</si>
  <si>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</si>
  <si>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</si>
  <si>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</si>
  <si>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</si>
  <si>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</si>
  <si>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</si>
  <si>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</si>
  <si>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</si>
  <si>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</si>
  <si>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</si>
  <si>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</si>
  <si>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</si>
  <si>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</si>
  <si>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</si>
  <si>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</si>
  <si>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</si>
  <si>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</si>
  <si>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</si>
  <si>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</si>
  <si>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</si>
  <si>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</si>
  <si>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</si>
  <si>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</si>
  <si>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</si>
  <si>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</si>
  <si>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</si>
  <si>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</si>
  <si>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</si>
  <si>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</si>
  <si>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</si>
  <si>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</si>
  <si>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</si>
  <si>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</si>
  <si>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</si>
  <si>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</si>
  <si>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</si>
  <si>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</si>
  <si>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</si>
  <si>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</si>
  <si>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</si>
  <si>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</si>
  <si>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</si>
  <si>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</si>
  <si>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</si>
  <si>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</si>
  <si>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</si>
  <si>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</si>
  <si>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</si>
  <si>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</si>
  <si>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</si>
  <si>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</si>
  <si>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</si>
  <si>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</si>
  <si>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</si>
  <si>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</si>
  <si>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</si>
  <si>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</si>
  <si>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</si>
  <si>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</si>
  <si>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</si>
  <si>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</si>
  <si>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</si>
  <si>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</si>
  <si>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</si>
  <si>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</si>
  <si>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</si>
  <si>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</si>
  <si>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</si>
  <si>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</si>
  <si>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</si>
  <si>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</si>
  <si>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</si>
  <si>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</si>
  <si>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</si>
  <si>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</si>
  <si>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</si>
  <si>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</si>
  <si>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</si>
  <si>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</si>
  <si>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</si>
  <si>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</si>
  <si>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</si>
  <si>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</si>
  <si>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</si>
  <si>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</si>
  <si>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</si>
  <si>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</si>
  <si>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</si>
  <si>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</si>
  <si>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</si>
  <si>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</si>
  <si>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</si>
  <si>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</si>
  <si>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</si>
  <si>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</si>
  <si>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</si>
  <si>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</si>
  <si>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</si>
  <si>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</si>
  <si>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</si>
  <si>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</si>
  <si>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</si>
  <si>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</si>
  <si>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</si>
  <si>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</si>
  <si>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</si>
  <si>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</si>
  <si>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</si>
  <si>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</si>
  <si>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</si>
  <si>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</si>
  <si>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</si>
  <si>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</si>
  <si>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</si>
  <si>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</si>
  <si>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</si>
  <si>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</si>
  <si>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</si>
  <si>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</si>
  <si>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</si>
  <si>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</si>
  <si>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</si>
  <si>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</si>
  <si>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</si>
  <si>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</si>
  <si>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</si>
  <si>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</si>
  <si>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</si>
  <si>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</si>
  <si>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</si>
  <si>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</si>
  <si>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</si>
  <si>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</si>
  <si>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</si>
  <si>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</si>
  <si>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</si>
  <si>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</si>
  <si>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</si>
  <si>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</si>
  <si>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</si>
  <si>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</si>
  <si>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K / </t>
    </r>
    <r>
      <rPr>
        <sz val="8"/>
        <rFont val="宋体"/>
        <charset val="134"/>
      </rPr>
      <t>黑色丝印白色</t>
    </r>
  </si>
  <si>
    <t>SHT0016361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</si>
  <si>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L / </t>
    </r>
    <r>
      <rPr>
        <sz val="8"/>
        <rFont val="宋体"/>
        <charset val="134"/>
      </rPr>
      <t>黑色丝印白色</t>
    </r>
  </si>
  <si>
    <t>SHT0016263</t>
  </si>
  <si>
    <t>3.1c调高手柄 /</t>
  </si>
  <si>
    <t>MA1600</t>
  </si>
  <si>
    <t>SLT0012024</t>
  </si>
  <si>
    <t>欧马可腰托开关面板 / PC+ABS(345K)</t>
  </si>
  <si>
    <t>PC+ASA</t>
  </si>
  <si>
    <t>BPC0010321</t>
  </si>
  <si>
    <t>导向杆新</t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</si>
  <si>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</si>
  <si>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</si>
  <si>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</si>
  <si>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</si>
  <si>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</si>
  <si>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</si>
  <si>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</si>
  <si>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</si>
  <si>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</si>
  <si>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</si>
  <si>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</si>
  <si>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</si>
  <si>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</si>
  <si>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</si>
  <si>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</si>
  <si>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</si>
  <si>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</si>
  <si>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</si>
  <si>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</si>
  <si>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</si>
  <si>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</si>
  <si>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</si>
  <si>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</si>
  <si>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MA1600IIS/571</t>
  </si>
  <si>
    <t>BPC0010320</t>
  </si>
  <si>
    <t>行程补偿气缸缸体堵孔</t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</si>
  <si>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</si>
  <si>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</si>
  <si>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</si>
  <si>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</si>
  <si>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</si>
  <si>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</si>
  <si>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</si>
  <si>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</si>
  <si>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</si>
  <si>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</si>
  <si>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POM-90-44</t>
  </si>
  <si>
    <t>BPC0010325</t>
  </si>
  <si>
    <t>VCD阀导向杆</t>
  </si>
  <si>
    <t>MA2000/701</t>
  </si>
  <si>
    <t>BPC0010338</t>
  </si>
  <si>
    <t>侧翼调节按钮帽</t>
  </si>
  <si>
    <t>PC+ABS(345K)</t>
  </si>
  <si>
    <t>BPC0010339</t>
  </si>
  <si>
    <t>BPC0010318</t>
  </si>
  <si>
    <t>轻卡悬浮阀杆</t>
  </si>
  <si>
    <t xml:space="preserve"> 宝理SW-01</t>
  </si>
  <si>
    <t>BPC0010319</t>
  </si>
  <si>
    <t>轻卡气阀端盖</t>
  </si>
  <si>
    <t>HTF87/TJ</t>
  </si>
  <si>
    <t>备注：</t>
  </si>
  <si>
    <t>1、按照24年实际发生量统计，现执行价格比瑞龙祥价格下降10%的总额少91万；</t>
  </si>
  <si>
    <t>2、模拟价格形式为：料工费加附11调整到40%；另外外购件由3%调整为10%（管理费3%+税负3%+财务费用3.5%）</t>
  </si>
  <si>
    <t>3、按照模拟价格与现执行价格涨幅来看，相对合理；因为基础资料比较真实。模拟价格与瑞龙祥价格下降10%真实性较差。因为原瑞龙祥价格高低差异性太大。</t>
  </si>
  <si>
    <t>建议按照模拟价格进行内部结算定价。</t>
  </si>
  <si>
    <r>
      <rPr>
        <b/>
        <sz val="11"/>
        <rFont val="宋体"/>
        <charset val="134"/>
        <scheme val="minor"/>
      </rPr>
      <t>（料+工+费）*</t>
    </r>
    <r>
      <rPr>
        <b/>
        <sz val="11"/>
        <color rgb="FFFF0000"/>
        <rFont val="宋体"/>
        <charset val="134"/>
        <scheme val="minor"/>
      </rPr>
      <t>1.5</t>
    </r>
    <r>
      <rPr>
        <b/>
        <sz val="11"/>
        <rFont val="宋体"/>
        <charset val="134"/>
        <scheme val="minor"/>
      </rPr>
      <t>+外*1.1+包装+运费+丝印</t>
    </r>
  </si>
  <si>
    <t>公式模拟（不考虑合格率）</t>
  </si>
  <si>
    <t>固定费用及利润占比</t>
  </si>
  <si>
    <t>2024年开票数量</t>
  </si>
  <si>
    <t>成本变化</t>
  </si>
  <si>
    <t>北京预计</t>
  </si>
  <si>
    <t>管理费用</t>
  </si>
  <si>
    <t>财务费用</t>
  </si>
  <si>
    <t>制造费用</t>
  </si>
  <si>
    <t>园区分摊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</si>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</sst>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0.0000_);[Red]\(0.0000\)"/>
    <numFmt numFmtId="180" formatCode="0.0%"/>
    <numFmt numFmtId="181" formatCode="_ * #,##0.00_ ;_ * \-#,##0.00_ ;_ * &quot;-&quot;??.0_ ;_ @_ "/>
    <numFmt numFmtId="182" formatCode="_ * #,##0.0_ ;_ * \-#,##0.0_ ;_ * &quot;-&quot;??_ ;_ @_ "/>
    <numFmt numFmtId="183" formatCode="0_ "/>
    <numFmt numFmtId="184" formatCode="0.000_);[Red]\(0.00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sz val="11"/>
      <name val="等线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Microsoft Sans Serif"/>
      <charset val="134"/>
    </font>
    <font>
      <sz val="8"/>
      <name val="宋体"/>
      <charset val="134"/>
    </font>
    <font>
      <b/>
      <sz val="11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43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177" fontId="1" fillId="0" borderId="1" xfId="3" applyNumberFormat="1" applyFont="1" applyFill="1" applyBorder="1">
      <alignment vertical="center"/>
    </xf>
    <xf numFmtId="0" fontId="4" fillId="0" borderId="1" xfId="49" applyFont="1" applyFill="1" applyBorder="1" applyAlignment="1">
      <alignment horizontal="left" vertical="center"/>
    </xf>
    <xf numFmtId="43" fontId="1" fillId="0" borderId="0" xfId="0" applyNumberFormat="1" applyFont="1" applyFill="1">
      <alignment vertical="center"/>
    </xf>
    <xf numFmtId="43" fontId="3" fillId="0" borderId="0" xfId="0" applyNumberFormat="1" applyFont="1" applyFill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43" fontId="1" fillId="2" borderId="1" xfId="0" applyNumberFormat="1" applyFont="1" applyFill="1" applyBorder="1">
      <alignment vertical="center"/>
    </xf>
    <xf numFmtId="10" fontId="1" fillId="0" borderId="2" xfId="3" applyNumberFormat="1" applyFont="1" applyFill="1" applyBorder="1" applyAlignment="1">
      <alignment horizontal="center" vertical="center"/>
    </xf>
    <xf numFmtId="10" fontId="1" fillId="0" borderId="3" xfId="3" applyNumberFormat="1" applyFont="1" applyFill="1" applyBorder="1" applyAlignment="1">
      <alignment horizontal="center" vertical="center"/>
    </xf>
    <xf numFmtId="10" fontId="1" fillId="0" borderId="4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>
      <alignment vertical="center"/>
    </xf>
    <xf numFmtId="177" fontId="1" fillId="3" borderId="1" xfId="0" applyNumberFormat="1" applyFont="1" applyFill="1" applyBorder="1">
      <alignment vertical="center"/>
    </xf>
    <xf numFmtId="0" fontId="1" fillId="3" borderId="1" xfId="0" applyFont="1" applyFill="1" applyBorder="1">
      <alignment vertical="center"/>
    </xf>
    <xf numFmtId="178" fontId="1" fillId="3" borderId="5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9" fontId="1" fillId="0" borderId="0" xfId="0" applyNumberFormat="1" applyFont="1" applyFill="1">
      <alignment vertical="center"/>
    </xf>
    <xf numFmtId="180" fontId="1" fillId="0" borderId="0" xfId="3" applyNumberFormat="1" applyFont="1" applyFill="1">
      <alignment vertical="center"/>
    </xf>
    <xf numFmtId="181" fontId="1" fillId="3" borderId="0" xfId="0" applyNumberFormat="1" applyFont="1" applyFill="1">
      <alignment vertical="center"/>
    </xf>
    <xf numFmtId="182" fontId="1" fillId="3" borderId="0" xfId="0" applyNumberFormat="1" applyFont="1" applyFill="1">
      <alignment vertical="center"/>
    </xf>
    <xf numFmtId="182" fontId="1" fillId="0" borderId="0" xfId="0" applyNumberFormat="1" applyFont="1" applyFill="1">
      <alignment vertical="center"/>
    </xf>
    <xf numFmtId="10" fontId="1" fillId="0" borderId="0" xfId="3" applyNumberFormat="1" applyFont="1" applyFill="1">
      <alignment vertical="center"/>
    </xf>
    <xf numFmtId="180" fontId="3" fillId="0" borderId="0" xfId="3" applyNumberFormat="1" applyFont="1" applyFill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0" borderId="1" xfId="3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>
      <alignment vertical="center"/>
    </xf>
    <xf numFmtId="180" fontId="1" fillId="0" borderId="1" xfId="3" applyNumberFormat="1" applyFont="1" applyFill="1" applyBorder="1">
      <alignment vertical="center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shrinkToFit="1"/>
    </xf>
    <xf numFmtId="183" fontId="2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>
      <alignment vertical="center"/>
    </xf>
    <xf numFmtId="178" fontId="1" fillId="0" borderId="5" xfId="0" applyNumberFormat="1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3" fontId="2" fillId="3" borderId="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9" fontId="1" fillId="0" borderId="10" xfId="3" applyFont="1" applyFill="1" applyBorder="1">
      <alignment vertical="center"/>
    </xf>
    <xf numFmtId="9" fontId="1" fillId="0" borderId="1" xfId="3" applyFont="1" applyFill="1" applyBorder="1">
      <alignment vertical="center"/>
    </xf>
    <xf numFmtId="9" fontId="1" fillId="0" borderId="5" xfId="3" applyFont="1" applyFill="1" applyBorder="1">
      <alignment vertical="center"/>
    </xf>
    <xf numFmtId="43" fontId="1" fillId="0" borderId="5" xfId="0" applyNumberFormat="1" applyFont="1" applyFill="1" applyBorder="1">
      <alignment vertical="center"/>
    </xf>
    <xf numFmtId="181" fontId="2" fillId="3" borderId="1" xfId="0" applyNumberFormat="1" applyFont="1" applyFill="1" applyBorder="1" applyAlignment="1">
      <alignment horizontal="center" vertical="center"/>
    </xf>
    <xf numFmtId="182" fontId="2" fillId="3" borderId="5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10" fontId="2" fillId="0" borderId="0" xfId="3" applyNumberFormat="1" applyFont="1" applyFill="1">
      <alignment vertical="center"/>
    </xf>
    <xf numFmtId="181" fontId="1" fillId="3" borderId="5" xfId="0" applyNumberFormat="1" applyFont="1" applyFill="1" applyBorder="1">
      <alignment vertical="center"/>
    </xf>
    <xf numFmtId="182" fontId="1" fillId="3" borderId="5" xfId="0" applyNumberFormat="1" applyFont="1" applyFill="1" applyBorder="1">
      <alignment vertical="center"/>
    </xf>
    <xf numFmtId="182" fontId="1" fillId="0" borderId="1" xfId="0" applyNumberFormat="1" applyFont="1" applyFill="1" applyBorder="1">
      <alignment vertical="center"/>
    </xf>
    <xf numFmtId="0" fontId="4" fillId="4" borderId="1" xfId="49" applyFont="1" applyFill="1" applyBorder="1" applyAlignment="1">
      <alignment horizontal="center" vertical="center"/>
    </xf>
    <xf numFmtId="0" fontId="4" fillId="4" borderId="1" xfId="49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" fillId="4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84" fontId="8" fillId="0" borderId="1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180" fontId="8" fillId="0" borderId="1" xfId="3" applyNumberFormat="1" applyFont="1" applyFill="1" applyBorder="1">
      <alignment vertical="center"/>
    </xf>
    <xf numFmtId="178" fontId="8" fillId="0" borderId="1" xfId="0" applyNumberFormat="1" applyFont="1" applyBorder="1" applyAlignment="1">
      <alignment horizontal="center" vertical="center"/>
    </xf>
    <xf numFmtId="184" fontId="8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80" fontId="8" fillId="0" borderId="1" xfId="3" applyNumberFormat="1" applyFont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49" fontId="9" fillId="0" borderId="1" xfId="51" applyNumberFormat="1" applyFont="1" applyFill="1" applyBorder="1" applyAlignment="1">
      <alignment horizontal="center" vertical="center" wrapText="1"/>
    </xf>
    <xf numFmtId="184" fontId="9" fillId="0" borderId="1" xfId="51" applyNumberFormat="1" applyFont="1" applyFill="1" applyBorder="1" applyAlignment="1">
      <alignment horizontal="center" vertical="center" wrapText="1"/>
    </xf>
    <xf numFmtId="180" fontId="10" fillId="0" borderId="1" xfId="3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177" fontId="10" fillId="0" borderId="1" xfId="0" applyNumberFormat="1" applyFont="1" applyBorder="1">
      <alignment vertical="center"/>
    </xf>
    <xf numFmtId="180" fontId="10" fillId="0" borderId="1" xfId="3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84" fontId="8" fillId="0" borderId="2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80" fontId="8" fillId="0" borderId="2" xfId="3" applyNumberFormat="1" applyFont="1" applyBorder="1">
      <alignment vertical="center"/>
    </xf>
    <xf numFmtId="0" fontId="5" fillId="0" borderId="0" xfId="0" applyFont="1" applyFill="1" applyAlignment="1">
      <alignment horizontal="left" vertical="center"/>
    </xf>
    <xf numFmtId="179" fontId="5" fillId="0" borderId="0" xfId="0" applyNumberFormat="1" applyFont="1" applyFill="1">
      <alignment vertical="center"/>
    </xf>
    <xf numFmtId="177" fontId="5" fillId="0" borderId="0" xfId="0" applyNumberFormat="1" applyFont="1" applyFill="1">
      <alignment vertical="center"/>
    </xf>
    <xf numFmtId="180" fontId="5" fillId="0" borderId="0" xfId="3" applyNumberFormat="1" applyFont="1" applyFill="1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>
      <alignment vertical="center"/>
    </xf>
    <xf numFmtId="183" fontId="8" fillId="0" borderId="1" xfId="0" applyNumberFormat="1" applyFont="1" applyFill="1" applyBorder="1">
      <alignment vertical="center"/>
    </xf>
    <xf numFmtId="0" fontId="8" fillId="0" borderId="1" xfId="0" applyFont="1" applyBorder="1" applyAlignment="1">
      <alignment vertical="center" shrinkToFit="1"/>
    </xf>
    <xf numFmtId="183" fontId="8" fillId="0" borderId="1" xfId="0" applyNumberFormat="1" applyFont="1" applyBorder="1">
      <alignment vertical="center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183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>
      <alignment vertical="center"/>
    </xf>
    <xf numFmtId="183" fontId="8" fillId="0" borderId="2" xfId="0" applyNumberFormat="1" applyFont="1" applyBorder="1">
      <alignment vertical="center"/>
    </xf>
    <xf numFmtId="176" fontId="5" fillId="0" borderId="0" xfId="0" applyNumberFormat="1" applyFont="1" applyFill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9" fillId="0" borderId="1" xfId="1" applyNumberFormat="1" applyFont="1" applyFill="1" applyBorder="1" applyAlignment="1">
      <alignment vertical="center" wrapText="1"/>
    </xf>
    <xf numFmtId="177" fontId="8" fillId="0" borderId="1" xfId="1" applyNumberFormat="1" applyFont="1" applyBorder="1" applyAlignment="1">
      <alignment vertical="center"/>
    </xf>
    <xf numFmtId="177" fontId="9" fillId="0" borderId="1" xfId="1" applyNumberFormat="1" applyFont="1" applyBorder="1" applyAlignment="1">
      <alignment vertical="center" wrapText="1"/>
    </xf>
    <xf numFmtId="177" fontId="9" fillId="0" borderId="1" xfId="51" applyNumberFormat="1" applyFont="1" applyFill="1" applyBorder="1" applyAlignment="1">
      <alignment vertical="center" wrapText="1"/>
    </xf>
    <xf numFmtId="176" fontId="10" fillId="0" borderId="1" xfId="0" applyNumberFormat="1" applyFont="1" applyBorder="1">
      <alignment vertical="center"/>
    </xf>
    <xf numFmtId="177" fontId="8" fillId="0" borderId="2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 wrapText="1"/>
    </xf>
    <xf numFmtId="0" fontId="1" fillId="0" borderId="2" xfId="0" applyFont="1" applyFill="1" applyBorder="1">
      <alignment vertical="center"/>
    </xf>
    <xf numFmtId="178" fontId="1" fillId="0" borderId="12" xfId="0" applyNumberFormat="1" applyFont="1" applyFill="1" applyBorder="1">
      <alignment vertical="center"/>
    </xf>
    <xf numFmtId="9" fontId="1" fillId="0" borderId="13" xfId="3" applyFont="1" applyFill="1" applyBorder="1">
      <alignment vertical="center"/>
    </xf>
    <xf numFmtId="9" fontId="1" fillId="0" borderId="2" xfId="3" applyFont="1" applyFill="1" applyBorder="1">
      <alignment vertical="center"/>
    </xf>
    <xf numFmtId="177" fontId="1" fillId="0" borderId="2" xfId="3" applyNumberFormat="1" applyFont="1" applyFill="1" applyBorder="1">
      <alignment vertical="center"/>
    </xf>
    <xf numFmtId="9" fontId="1" fillId="0" borderId="12" xfId="3" applyFont="1" applyFill="1" applyBorder="1">
      <alignment vertical="center"/>
    </xf>
    <xf numFmtId="43" fontId="1" fillId="0" borderId="12" xfId="0" applyNumberFormat="1" applyFont="1" applyFill="1" applyBorder="1">
      <alignment vertical="center"/>
    </xf>
    <xf numFmtId="10" fontId="1" fillId="0" borderId="1" xfId="0" applyNumberFormat="1" applyFont="1" applyFill="1" applyBorder="1">
      <alignment vertical="center"/>
    </xf>
    <xf numFmtId="9" fontId="1" fillId="0" borderId="1" xfId="0" applyNumberFormat="1" applyFont="1" applyFill="1" applyBorder="1">
      <alignment vertical="center"/>
    </xf>
    <xf numFmtId="9" fontId="1" fillId="0" borderId="1" xfId="3" applyNumberFormat="1" applyFont="1" applyFill="1" applyBorder="1">
      <alignment vertical="center"/>
    </xf>
    <xf numFmtId="43" fontId="5" fillId="0" borderId="0" xfId="0" applyNumberFormat="1" applyFont="1" applyFill="1">
      <alignment vertical="center"/>
    </xf>
    <xf numFmtId="182" fontId="1" fillId="0" borderId="2" xfId="0" applyNumberFormat="1" applyFont="1" applyFill="1" applyBorder="1">
      <alignment vertical="center"/>
    </xf>
    <xf numFmtId="182" fontId="1" fillId="3" borderId="1" xfId="0" applyNumberFormat="1" applyFont="1" applyFill="1" applyBorder="1">
      <alignment vertical="center"/>
    </xf>
    <xf numFmtId="10" fontId="1" fillId="3" borderId="0" xfId="3" applyNumberFormat="1" applyFont="1" applyFill="1">
      <alignment vertical="center"/>
    </xf>
    <xf numFmtId="181" fontId="5" fillId="3" borderId="0" xfId="0" applyNumberFormat="1" applyFont="1" applyFill="1">
      <alignment vertical="center"/>
    </xf>
    <xf numFmtId="182" fontId="5" fillId="3" borderId="0" xfId="0" applyNumberFormat="1" applyFont="1" applyFill="1">
      <alignment vertical="center"/>
    </xf>
    <xf numFmtId="182" fontId="5" fillId="0" borderId="0" xfId="0" applyNumberFormat="1" applyFont="1" applyFill="1">
      <alignment vertical="center"/>
    </xf>
    <xf numFmtId="10" fontId="5" fillId="0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43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" fillId="3" borderId="2" xfId="0" applyNumberFormat="1" applyFont="1" applyFill="1" applyBorder="1">
      <alignment vertical="center"/>
    </xf>
    <xf numFmtId="182" fontId="1" fillId="3" borderId="12" xfId="0" applyNumberFormat="1" applyFont="1" applyFill="1" applyBorder="1">
      <alignment vertical="center"/>
    </xf>
    <xf numFmtId="0" fontId="5" fillId="3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  <cellStyle name="常规 3 3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177"/>
  <sheetViews>
    <sheetView workbookViewId="0">
      <pane xSplit="4" ySplit="4" topLeftCell="E92" activePane="bottomRight" state="frozen"/>
      <selection/>
      <selection pane="topRight"/>
      <selection pane="bottomLeft"/>
      <selection pane="bottomRight" activeCell="C108" sqref="C108:K108"/>
    </sheetView>
  </sheetViews>
  <sheetFormatPr defaultColWidth="8.88181818181818" defaultRowHeight="14"/>
  <cols>
    <col min="1" max="1" width="5.26363636363636" style="1" customWidth="1"/>
    <col min="2" max="2" width="15.7909090909091" style="6" customWidth="1"/>
    <col min="3" max="3" width="16.4454545454545" style="7" customWidth="1"/>
    <col min="4" max="4" width="9.20909090909091" style="1" customWidth="1"/>
    <col min="5" max="5" width="9" style="44" customWidth="1"/>
    <col min="6" max="6" width="8.5" style="44" customWidth="1"/>
    <col min="7" max="7" width="8.76363636363636" style="9" customWidth="1"/>
    <col min="8" max="8" width="7.12727272727273" style="45" customWidth="1"/>
    <col min="9" max="9" width="8.12727272727273" style="8" customWidth="1"/>
    <col min="10" max="10" width="11.7909090909091" style="1" customWidth="1"/>
    <col min="11" max="11" width="9.09090909090909" style="9" customWidth="1"/>
    <col min="12" max="12" width="5.62727272727273" style="1" customWidth="1"/>
    <col min="13" max="13" width="5.5" style="1" customWidth="1"/>
    <col min="14" max="14" width="7.5" style="1" customWidth="1"/>
    <col min="15" max="15" width="8.62727272727273" style="1" customWidth="1"/>
    <col min="16" max="16" width="6.5" style="1" customWidth="1"/>
    <col min="17" max="17" width="7.62727272727273" style="1" customWidth="1"/>
    <col min="18" max="18" width="7.12727272727273" style="9" customWidth="1"/>
    <col min="19" max="20" width="8.12727272727273" style="8" customWidth="1"/>
    <col min="21" max="21" width="6.26363636363636" style="1" customWidth="1"/>
    <col min="22" max="23" width="8.88181818181818" style="1"/>
    <col min="24" max="24" width="7.38181818181818" style="1" customWidth="1"/>
    <col min="25" max="25" width="5.44545454545455" style="1" hidden="1" customWidth="1"/>
    <col min="26" max="26" width="6.44545454545455" style="1" hidden="1" customWidth="1"/>
    <col min="27" max="27" width="7.20909090909091" style="9" hidden="1" customWidth="1"/>
    <col min="28" max="28" width="5.20909090909091" style="1" hidden="1" customWidth="1"/>
    <col min="29" max="30" width="5.10909090909091" style="1" hidden="1" customWidth="1"/>
    <col min="31" max="31" width="8" style="1" hidden="1" customWidth="1"/>
    <col min="32" max="32" width="16.2727272727273" style="24" customWidth="1"/>
    <col min="33" max="33" width="20.8181818181818" style="167" customWidth="1"/>
    <col min="34" max="34" width="20.8181818181818" style="47" customWidth="1"/>
    <col min="35" max="35" width="17.5545454545455" style="48"/>
    <col min="36" max="36" width="15.5545454545455" style="48" customWidth="1"/>
    <col min="37" max="37" width="11.2181818181818" style="24" customWidth="1"/>
    <col min="38" max="38" width="10.4454545454545" style="1" customWidth="1"/>
    <col min="39" max="16384" width="8.88181818181818" style="1"/>
  </cols>
  <sheetData>
    <row r="2" ht="21" spans="1:34">
      <c r="A2" s="10" t="s">
        <v>0</v>
      </c>
      <c r="B2" s="10"/>
      <c r="C2" s="10"/>
      <c r="D2" s="10"/>
      <c r="E2" s="10"/>
      <c r="F2" s="10"/>
      <c r="G2" s="10"/>
      <c r="H2" s="5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3" t="s">
        <v>1</v>
      </c>
      <c r="Z2" s="64"/>
      <c r="AA2" s="64"/>
      <c r="AB2" s="64"/>
      <c r="AC2" s="64"/>
      <c r="AD2" s="64"/>
      <c r="AE2" s="64"/>
      <c r="AF2" s="25"/>
      <c r="AG2" s="79" t="s">
        <v>2</v>
      </c>
      <c r="AH2" s="79"/>
    </row>
    <row r="3" s="2" customFormat="1" spans="1:38">
      <c r="A3" s="11" t="s">
        <v>3</v>
      </c>
      <c r="B3" s="11" t="s">
        <v>4</v>
      </c>
      <c r="C3" s="12" t="s">
        <v>5</v>
      </c>
      <c r="D3" s="11" t="s">
        <v>6</v>
      </c>
      <c r="E3" s="51" t="s">
        <v>7</v>
      </c>
      <c r="F3" s="51"/>
      <c r="G3" s="15" t="s">
        <v>8</v>
      </c>
      <c r="H3" s="52" t="s">
        <v>9</v>
      </c>
      <c r="I3" s="13" t="s">
        <v>10</v>
      </c>
      <c r="J3" s="59" t="s">
        <v>11</v>
      </c>
      <c r="K3" s="15" t="s">
        <v>12</v>
      </c>
      <c r="L3" s="60" t="s">
        <v>13</v>
      </c>
      <c r="M3" s="14" t="s">
        <v>14</v>
      </c>
      <c r="N3" s="11" t="s">
        <v>15</v>
      </c>
      <c r="O3" s="14" t="s">
        <v>16</v>
      </c>
      <c r="P3" s="14" t="s">
        <v>17</v>
      </c>
      <c r="Q3" s="15" t="s">
        <v>18</v>
      </c>
      <c r="R3" s="16" t="s">
        <v>19</v>
      </c>
      <c r="S3" s="26" t="s">
        <v>20</v>
      </c>
      <c r="T3" s="26" t="s">
        <v>21</v>
      </c>
      <c r="U3" s="27" t="s">
        <v>22</v>
      </c>
      <c r="V3" s="36" t="s">
        <v>23</v>
      </c>
      <c r="W3" s="36" t="s">
        <v>24</v>
      </c>
      <c r="X3" s="37" t="s">
        <v>25</v>
      </c>
      <c r="Y3" s="65" t="s">
        <v>26</v>
      </c>
      <c r="Z3" s="66" t="s">
        <v>27</v>
      </c>
      <c r="AA3" s="67" t="s">
        <v>28</v>
      </c>
      <c r="AB3" s="67"/>
      <c r="AC3" s="68" t="s">
        <v>29</v>
      </c>
      <c r="AD3" s="68" t="s">
        <v>22</v>
      </c>
      <c r="AE3" s="69" t="s">
        <v>30</v>
      </c>
      <c r="AF3" s="70" t="s">
        <v>31</v>
      </c>
      <c r="AG3" s="168" t="s">
        <v>32</v>
      </c>
      <c r="AH3" s="80"/>
      <c r="AI3" s="81" t="s">
        <v>33</v>
      </c>
      <c r="AJ3" s="81" t="s">
        <v>34</v>
      </c>
      <c r="AK3" s="169" t="s">
        <v>35</v>
      </c>
      <c r="AL3" s="170" t="s">
        <v>36</v>
      </c>
    </row>
    <row r="4" s="2" customFormat="1" spans="1:38">
      <c r="A4" s="11"/>
      <c r="B4" s="11"/>
      <c r="C4" s="12"/>
      <c r="D4" s="11"/>
      <c r="E4" s="51" t="s">
        <v>37</v>
      </c>
      <c r="F4" s="51" t="s">
        <v>38</v>
      </c>
      <c r="G4" s="15"/>
      <c r="H4" s="52"/>
      <c r="I4" s="13"/>
      <c r="J4" s="59"/>
      <c r="K4" s="15"/>
      <c r="L4" s="60"/>
      <c r="M4" s="14"/>
      <c r="N4" s="11"/>
      <c r="O4" s="14"/>
      <c r="P4" s="14"/>
      <c r="Q4" s="15"/>
      <c r="R4" s="16"/>
      <c r="S4" s="29"/>
      <c r="T4" s="29"/>
      <c r="U4" s="27"/>
      <c r="V4" s="36"/>
      <c r="W4" s="36"/>
      <c r="X4" s="37"/>
      <c r="Y4" s="71"/>
      <c r="Z4" s="14"/>
      <c r="AA4" s="72"/>
      <c r="AB4" s="72"/>
      <c r="AC4" s="73"/>
      <c r="AD4" s="73"/>
      <c r="AE4" s="74"/>
      <c r="AF4" s="70"/>
      <c r="AG4" s="168" t="s">
        <v>39</v>
      </c>
      <c r="AH4" s="80" t="s">
        <v>40</v>
      </c>
      <c r="AI4" s="81"/>
      <c r="AJ4" s="81"/>
      <c r="AK4" s="169"/>
      <c r="AL4" s="170"/>
    </row>
    <row r="5" spans="1:38">
      <c r="A5" s="17">
        <v>1</v>
      </c>
      <c r="B5" s="53" t="s">
        <v>41</v>
      </c>
      <c r="C5" s="54" t="s">
        <v>42</v>
      </c>
      <c r="D5" s="20" t="s">
        <v>43</v>
      </c>
      <c r="E5" s="55">
        <v>0.005</v>
      </c>
      <c r="F5" s="55">
        <v>0.0055</v>
      </c>
      <c r="G5" s="21">
        <v>15.3097</v>
      </c>
      <c r="H5" s="56">
        <v>0.9</v>
      </c>
      <c r="I5" s="21">
        <f t="shared" ref="I5:I19" si="0">F5*G5/H5</f>
        <v>0.0935592777777778</v>
      </c>
      <c r="J5" s="20" t="s">
        <v>44</v>
      </c>
      <c r="K5" s="21">
        <v>55</v>
      </c>
      <c r="L5" s="61">
        <v>65.4545454545455</v>
      </c>
      <c r="M5" s="20">
        <v>1</v>
      </c>
      <c r="N5" s="20">
        <v>27.15</v>
      </c>
      <c r="O5" s="20">
        <v>0.76</v>
      </c>
      <c r="P5" s="20">
        <v>22.5</v>
      </c>
      <c r="Q5" s="21">
        <f t="shared" ref="Q5:Q19" si="1">P5/K5/M5</f>
        <v>0.409090909090909</v>
      </c>
      <c r="R5" s="21">
        <v>0</v>
      </c>
      <c r="S5" s="31">
        <v>0.028662</v>
      </c>
      <c r="T5" s="31">
        <v>0.0666666666666667</v>
      </c>
      <c r="U5" s="20">
        <v>0</v>
      </c>
      <c r="V5" s="21">
        <f>(I5+Q5+AA5)/H5*1.11+R5*1.03+S5+T5+U5</f>
        <v>0.946614806228956</v>
      </c>
      <c r="W5" s="20">
        <v>0.99</v>
      </c>
      <c r="X5" s="62">
        <f>V5-W5</f>
        <v>-0.0433851937710442</v>
      </c>
      <c r="Y5" s="75">
        <f>T5/V5</f>
        <v>0.0704263933206874</v>
      </c>
      <c r="Z5" s="76">
        <f>Q5/V5</f>
        <v>0.432161959013309</v>
      </c>
      <c r="AA5" s="22">
        <f>(N5*O5/K5/M5)/2</f>
        <v>0.187581818181818</v>
      </c>
      <c r="AB5" s="76">
        <f>AA5/V5</f>
        <v>0.198160663606236</v>
      </c>
      <c r="AC5" s="77">
        <f>S5/V5</f>
        <v>0.0302784192803631</v>
      </c>
      <c r="AD5" s="77">
        <f>U5/V5</f>
        <v>0</v>
      </c>
      <c r="AE5" s="77">
        <f>1-I5/V5</f>
        <v>0.901164362566342</v>
      </c>
      <c r="AF5" s="78">
        <v>22900</v>
      </c>
      <c r="AG5" s="171">
        <f>(I5+Q5+(N5*O5/K5/M5)/2)/H5*1.4+R5*1.1+S5+T5+U5</f>
        <v>1.16902289674523</v>
      </c>
      <c r="AH5" s="84">
        <f>AG5*AF5</f>
        <v>26770.6243354658</v>
      </c>
      <c r="AI5" s="85">
        <f>V5*AF5</f>
        <v>21677.4790626431</v>
      </c>
      <c r="AJ5" s="85">
        <f>W5*AF5</f>
        <v>22671</v>
      </c>
      <c r="AK5" s="76">
        <f>(AG5-V5)/V5</f>
        <v>0.234950994906032</v>
      </c>
      <c r="AL5" s="76">
        <f>(AG5-W5)/W5</f>
        <v>0.180831208833566</v>
      </c>
    </row>
    <row r="6" spans="1:38">
      <c r="A6" s="17">
        <v>2</v>
      </c>
      <c r="B6" s="53" t="s">
        <v>45</v>
      </c>
      <c r="C6" s="54" t="s">
        <v>46</v>
      </c>
      <c r="D6" s="20" t="s">
        <v>43</v>
      </c>
      <c r="E6" s="55">
        <v>0.001</v>
      </c>
      <c r="F6" s="55">
        <v>0.00108</v>
      </c>
      <c r="G6" s="21">
        <v>15.3097</v>
      </c>
      <c r="H6" s="56">
        <v>0.95</v>
      </c>
      <c r="I6" s="21">
        <f t="shared" si="0"/>
        <v>0.0174047115789474</v>
      </c>
      <c r="J6" s="20" t="s">
        <v>47</v>
      </c>
      <c r="K6" s="21">
        <v>65</v>
      </c>
      <c r="L6" s="61">
        <v>55.3846153846154</v>
      </c>
      <c r="M6" s="20">
        <v>4</v>
      </c>
      <c r="N6" s="20">
        <v>20.2</v>
      </c>
      <c r="O6" s="20">
        <v>0.76</v>
      </c>
      <c r="P6" s="20">
        <v>22.5</v>
      </c>
      <c r="Q6" s="21">
        <f t="shared" si="1"/>
        <v>0.0865384615384615</v>
      </c>
      <c r="R6" s="21">
        <v>0</v>
      </c>
      <c r="S6" s="31">
        <v>0.00715583333333333</v>
      </c>
      <c r="T6" s="31">
        <v>0.0166666666666667</v>
      </c>
      <c r="U6" s="20">
        <v>0</v>
      </c>
      <c r="V6" s="21">
        <f t="shared" ref="V5:V21" si="2">(I6+Q6+(N6*O6/K6/M6)/2)/H6*1.11+R6*1.03+S6+T6+U6</f>
        <v>0.179767276363094</v>
      </c>
      <c r="W6" s="20">
        <v>0.09</v>
      </c>
      <c r="X6" s="62">
        <f t="shared" ref="X6:X37" si="3">V6-W6</f>
        <v>0.089767276363094</v>
      </c>
      <c r="Y6" s="75">
        <f t="shared" ref="Y6:Y37" si="4">T6/V6</f>
        <v>0.0927124613770271</v>
      </c>
      <c r="Z6" s="76">
        <f t="shared" ref="Z6:Z37" si="5">Q6/V6</f>
        <v>0.481391626380716</v>
      </c>
      <c r="AA6" s="22">
        <f t="shared" ref="AA6:AA37" si="6">(N6*O6/K6/M6)/2</f>
        <v>0.0295230769230769</v>
      </c>
      <c r="AB6" s="76">
        <f t="shared" ref="AB6:AB37" si="7">AA6/V6</f>
        <v>0.164229427737706</v>
      </c>
      <c r="AC6" s="77">
        <f t="shared" ref="AC6:AC37" si="8">S6/V6</f>
        <v>0.0398060952922265</v>
      </c>
      <c r="AD6" s="77">
        <f t="shared" ref="AD6:AD37" si="9">U6/V6</f>
        <v>0</v>
      </c>
      <c r="AE6" s="77">
        <f t="shared" ref="AE6:AE37" si="10">1-I6/V6</f>
        <v>0.903181980997513</v>
      </c>
      <c r="AF6" s="78">
        <v>98000</v>
      </c>
      <c r="AG6" s="171">
        <f t="shared" ref="AG6:AG69" si="11">(I6+Q6+(N6*O6/K6/M6)/2)/H6*1.4+R6*1.1+S6+T6+U6</f>
        <v>0.220509605322821</v>
      </c>
      <c r="AH6" s="84">
        <f t="shared" ref="AH6:AH37" si="12">AG6*AF6</f>
        <v>21609.9413216365</v>
      </c>
      <c r="AI6" s="85">
        <f t="shared" ref="AI6:AI37" si="13">V6*AF6</f>
        <v>17617.1930835832</v>
      </c>
      <c r="AJ6" s="85">
        <f t="shared" ref="AJ6:AJ37" si="14">W6*AF6</f>
        <v>8820</v>
      </c>
      <c r="AK6" s="76">
        <f t="shared" ref="AK6:AK37" si="15">(AG6-V6)/V6</f>
        <v>0.22663929600533</v>
      </c>
      <c r="AL6" s="76">
        <f t="shared" ref="AL6:AL37" si="16">(AG6-W6)/W6</f>
        <v>1.45010672580912</v>
      </c>
    </row>
    <row r="7" spans="1:38">
      <c r="A7" s="17">
        <v>3</v>
      </c>
      <c r="B7" s="53" t="s">
        <v>48</v>
      </c>
      <c r="C7" s="54" t="s">
        <v>49</v>
      </c>
      <c r="D7" s="20" t="s">
        <v>43</v>
      </c>
      <c r="E7" s="55">
        <v>0.00124</v>
      </c>
      <c r="F7" s="55">
        <v>0.001426</v>
      </c>
      <c r="G7" s="21">
        <v>15.3097</v>
      </c>
      <c r="H7" s="56">
        <v>0.85</v>
      </c>
      <c r="I7" s="21">
        <f t="shared" si="0"/>
        <v>0.0256842731764706</v>
      </c>
      <c r="J7" s="20" t="s">
        <v>44</v>
      </c>
      <c r="K7" s="21">
        <v>55</v>
      </c>
      <c r="L7" s="61">
        <v>65.4545454545455</v>
      </c>
      <c r="M7" s="20">
        <v>8</v>
      </c>
      <c r="N7" s="20">
        <v>27.15</v>
      </c>
      <c r="O7" s="20">
        <v>0.76</v>
      </c>
      <c r="P7" s="20">
        <v>22.5</v>
      </c>
      <c r="Q7" s="21">
        <f t="shared" si="1"/>
        <v>0.0511363636363636</v>
      </c>
      <c r="R7" s="21">
        <v>0</v>
      </c>
      <c r="S7" s="31">
        <v>0.00286233333333333</v>
      </c>
      <c r="T7" s="31">
        <v>0.00666666666666667</v>
      </c>
      <c r="U7" s="20">
        <v>0</v>
      </c>
      <c r="V7" s="21">
        <f t="shared" si="2"/>
        <v>0.140467687217616</v>
      </c>
      <c r="W7" s="20">
        <v>0.27</v>
      </c>
      <c r="X7" s="62">
        <f t="shared" si="3"/>
        <v>-0.129532312782384</v>
      </c>
      <c r="Y7" s="75">
        <f t="shared" si="4"/>
        <v>0.0474604999820245</v>
      </c>
      <c r="Z7" s="76">
        <f t="shared" si="5"/>
        <v>0.364043607816665</v>
      </c>
      <c r="AA7" s="22">
        <f t="shared" si="6"/>
        <v>0.0234477272727273</v>
      </c>
      <c r="AB7" s="76">
        <f t="shared" si="7"/>
        <v>0.166926128970868</v>
      </c>
      <c r="AC7" s="77">
        <f t="shared" si="8"/>
        <v>0.0203771656672822</v>
      </c>
      <c r="AD7" s="77">
        <f t="shared" si="9"/>
        <v>0</v>
      </c>
      <c r="AE7" s="77">
        <f t="shared" si="10"/>
        <v>0.817151733005471</v>
      </c>
      <c r="AF7" s="78">
        <v>30789</v>
      </c>
      <c r="AG7" s="171">
        <f t="shared" si="11"/>
        <v>0.174676893787984</v>
      </c>
      <c r="AH7" s="84">
        <f t="shared" si="12"/>
        <v>5378.12688283823</v>
      </c>
      <c r="AI7" s="85">
        <f t="shared" si="13"/>
        <v>4324.85962174318</v>
      </c>
      <c r="AJ7" s="85">
        <f t="shared" si="14"/>
        <v>8313.03</v>
      </c>
      <c r="AK7" s="76">
        <f t="shared" si="15"/>
        <v>0.2435379071727</v>
      </c>
      <c r="AL7" s="76">
        <f t="shared" si="16"/>
        <v>-0.353048541525987</v>
      </c>
    </row>
    <row r="8" spans="1:38">
      <c r="A8" s="17">
        <v>4</v>
      </c>
      <c r="B8" s="53" t="s">
        <v>50</v>
      </c>
      <c r="C8" s="54" t="s">
        <v>51</v>
      </c>
      <c r="D8" s="20" t="s">
        <v>43</v>
      </c>
      <c r="E8" s="55">
        <v>0.001</v>
      </c>
      <c r="F8" s="55">
        <v>0.00108</v>
      </c>
      <c r="G8" s="21">
        <v>15.3097</v>
      </c>
      <c r="H8" s="56">
        <v>0.95</v>
      </c>
      <c r="I8" s="21">
        <f t="shared" si="0"/>
        <v>0.0174047115789474</v>
      </c>
      <c r="J8" s="20" t="s">
        <v>47</v>
      </c>
      <c r="K8" s="21">
        <v>65</v>
      </c>
      <c r="L8" s="61">
        <v>55.3846153846154</v>
      </c>
      <c r="M8" s="20">
        <v>8</v>
      </c>
      <c r="N8" s="20">
        <v>20.2</v>
      </c>
      <c r="O8" s="20">
        <v>0.76</v>
      </c>
      <c r="P8" s="20">
        <v>22.5</v>
      </c>
      <c r="Q8" s="21">
        <f t="shared" si="1"/>
        <v>0.0432692307692308</v>
      </c>
      <c r="R8" s="21">
        <v>0</v>
      </c>
      <c r="S8" s="31">
        <v>0.00286233333333333</v>
      </c>
      <c r="T8" s="31">
        <v>0.00666666666666667</v>
      </c>
      <c r="U8" s="20">
        <v>0</v>
      </c>
      <c r="V8" s="21">
        <f t="shared" si="2"/>
        <v>0.0976694038934584</v>
      </c>
      <c r="W8" s="20">
        <v>0.14</v>
      </c>
      <c r="X8" s="62">
        <f t="shared" si="3"/>
        <v>-0.0423305961065416</v>
      </c>
      <c r="Y8" s="75">
        <f t="shared" si="4"/>
        <v>0.0682574726670691</v>
      </c>
      <c r="Z8" s="76">
        <f t="shared" si="5"/>
        <v>0.443017250483381</v>
      </c>
      <c r="AA8" s="22">
        <f t="shared" si="6"/>
        <v>0.0147615384615385</v>
      </c>
      <c r="AB8" s="76">
        <f t="shared" si="7"/>
        <v>0.151137796209353</v>
      </c>
      <c r="AC8" s="77">
        <f t="shared" si="8"/>
        <v>0.0293063458896061</v>
      </c>
      <c r="AD8" s="77">
        <f t="shared" si="9"/>
        <v>0</v>
      </c>
      <c r="AE8" s="77">
        <f t="shared" si="10"/>
        <v>0.821799756268267</v>
      </c>
      <c r="AF8" s="78">
        <v>90140</v>
      </c>
      <c r="AG8" s="171">
        <f t="shared" si="11"/>
        <v>0.12069707698274</v>
      </c>
      <c r="AH8" s="84">
        <f t="shared" si="12"/>
        <v>10879.6345192242</v>
      </c>
      <c r="AI8" s="85">
        <f t="shared" si="13"/>
        <v>8803.92006695634</v>
      </c>
      <c r="AJ8" s="85">
        <f t="shared" si="14"/>
        <v>12619.6</v>
      </c>
      <c r="AK8" s="76">
        <f t="shared" si="15"/>
        <v>0.23577161497168</v>
      </c>
      <c r="AL8" s="76">
        <f t="shared" si="16"/>
        <v>-0.137878021551855</v>
      </c>
    </row>
    <row r="9" spans="1:38">
      <c r="A9" s="17">
        <v>5</v>
      </c>
      <c r="B9" s="53" t="s">
        <v>52</v>
      </c>
      <c r="C9" s="54" t="s">
        <v>53</v>
      </c>
      <c r="D9" s="20" t="s">
        <v>43</v>
      </c>
      <c r="E9" s="55">
        <v>0.002</v>
      </c>
      <c r="F9" s="55">
        <v>0.00216</v>
      </c>
      <c r="G9" s="21">
        <v>15.3097</v>
      </c>
      <c r="H9" s="56">
        <v>0.95</v>
      </c>
      <c r="I9" s="21">
        <f t="shared" si="0"/>
        <v>0.0348094231578947</v>
      </c>
      <c r="J9" s="20" t="s">
        <v>54</v>
      </c>
      <c r="K9" s="21">
        <v>65</v>
      </c>
      <c r="L9" s="61">
        <v>55.3846153846154</v>
      </c>
      <c r="M9" s="20">
        <v>2</v>
      </c>
      <c r="N9" s="20">
        <v>17.41</v>
      </c>
      <c r="O9" s="20">
        <v>0.76</v>
      </c>
      <c r="P9" s="20">
        <v>22.5</v>
      </c>
      <c r="Q9" s="21">
        <f t="shared" si="1"/>
        <v>0.173076923076923</v>
      </c>
      <c r="R9" s="21">
        <v>0</v>
      </c>
      <c r="S9" s="31">
        <v>0.00286233333333333</v>
      </c>
      <c r="T9" s="31">
        <v>0.00666666666666667</v>
      </c>
      <c r="U9" s="20">
        <v>0</v>
      </c>
      <c r="V9" s="21">
        <f t="shared" si="2"/>
        <v>0.311889629649265</v>
      </c>
      <c r="W9" s="20">
        <v>0.27</v>
      </c>
      <c r="X9" s="62">
        <f t="shared" si="3"/>
        <v>0.0418896296492647</v>
      </c>
      <c r="Y9" s="75">
        <f t="shared" si="4"/>
        <v>0.0213750828271003</v>
      </c>
      <c r="Z9" s="76">
        <f t="shared" si="5"/>
        <v>0.554930034934334</v>
      </c>
      <c r="AA9" s="22">
        <f t="shared" si="6"/>
        <v>0.0508907692307692</v>
      </c>
      <c r="AB9" s="76">
        <f t="shared" si="7"/>
        <v>0.163169161116381</v>
      </c>
      <c r="AC9" s="77">
        <f t="shared" si="8"/>
        <v>0.0091773918118155</v>
      </c>
      <c r="AD9" s="77">
        <f t="shared" si="9"/>
        <v>0</v>
      </c>
      <c r="AE9" s="77">
        <f t="shared" si="10"/>
        <v>0.888391854525463</v>
      </c>
      <c r="AF9" s="78">
        <v>18200</v>
      </c>
      <c r="AG9" s="171">
        <f t="shared" si="11"/>
        <v>0.390884749107181</v>
      </c>
      <c r="AH9" s="84">
        <f t="shared" si="12"/>
        <v>7114.10243375069</v>
      </c>
      <c r="AI9" s="85">
        <f t="shared" si="13"/>
        <v>5676.39125961662</v>
      </c>
      <c r="AJ9" s="85">
        <f t="shared" si="14"/>
        <v>4914</v>
      </c>
      <c r="AK9" s="76">
        <f t="shared" si="15"/>
        <v>0.253279083202444</v>
      </c>
      <c r="AL9" s="76">
        <f t="shared" si="16"/>
        <v>0.447721292989558</v>
      </c>
    </row>
    <row r="10" spans="1:38">
      <c r="A10" s="17">
        <v>6</v>
      </c>
      <c r="B10" s="53" t="s">
        <v>55</v>
      </c>
      <c r="C10" s="54" t="s">
        <v>56</v>
      </c>
      <c r="D10" s="20" t="s">
        <v>43</v>
      </c>
      <c r="E10" s="55">
        <v>0.001</v>
      </c>
      <c r="F10" s="55">
        <v>0.00108</v>
      </c>
      <c r="G10" s="21">
        <v>15.3097</v>
      </c>
      <c r="H10" s="56">
        <v>0.95</v>
      </c>
      <c r="I10" s="21">
        <f t="shared" si="0"/>
        <v>0.0174047115789474</v>
      </c>
      <c r="J10" s="20" t="s">
        <v>54</v>
      </c>
      <c r="K10" s="21">
        <v>65</v>
      </c>
      <c r="L10" s="61">
        <v>55.3846153846154</v>
      </c>
      <c r="M10" s="20">
        <v>2</v>
      </c>
      <c r="N10" s="20">
        <v>17.41</v>
      </c>
      <c r="O10" s="20">
        <v>0.76</v>
      </c>
      <c r="P10" s="20">
        <v>22.5</v>
      </c>
      <c r="Q10" s="21">
        <f t="shared" si="1"/>
        <v>0.173076923076923</v>
      </c>
      <c r="R10" s="21">
        <v>0</v>
      </c>
      <c r="S10" s="31">
        <v>0.00286233333333333</v>
      </c>
      <c r="T10" s="31">
        <v>0.00666666666666667</v>
      </c>
      <c r="U10" s="20">
        <v>0</v>
      </c>
      <c r="V10" s="21">
        <f t="shared" si="2"/>
        <v>0.291553598225442</v>
      </c>
      <c r="W10" s="20">
        <v>0.21</v>
      </c>
      <c r="X10" s="62">
        <f t="shared" si="3"/>
        <v>0.081553598225442</v>
      </c>
      <c r="Y10" s="75">
        <f t="shared" si="4"/>
        <v>0.0228660071672712</v>
      </c>
      <c r="Z10" s="76">
        <f t="shared" si="5"/>
        <v>0.593636724534925</v>
      </c>
      <c r="AA10" s="22">
        <f t="shared" si="6"/>
        <v>0.0508907692307692</v>
      </c>
      <c r="AB10" s="76">
        <f t="shared" si="7"/>
        <v>0.174550304096807</v>
      </c>
      <c r="AC10" s="77">
        <f t="shared" si="8"/>
        <v>0.00981752017726788</v>
      </c>
      <c r="AD10" s="77">
        <f t="shared" si="9"/>
        <v>0</v>
      </c>
      <c r="AE10" s="77">
        <f t="shared" si="10"/>
        <v>0.940303561043725</v>
      </c>
      <c r="AF10" s="78">
        <v>21300</v>
      </c>
      <c r="AG10" s="171">
        <f t="shared" si="11"/>
        <v>0.365235700464522</v>
      </c>
      <c r="AH10" s="84">
        <f t="shared" si="12"/>
        <v>7779.52041989431</v>
      </c>
      <c r="AI10" s="85">
        <f t="shared" si="13"/>
        <v>6210.09164220192</v>
      </c>
      <c r="AJ10" s="85">
        <f t="shared" si="14"/>
        <v>4473</v>
      </c>
      <c r="AK10" s="76">
        <f t="shared" si="15"/>
        <v>0.25272232168476</v>
      </c>
      <c r="AL10" s="76">
        <f t="shared" si="16"/>
        <v>0.739217621259626</v>
      </c>
    </row>
    <row r="11" spans="1:38">
      <c r="A11" s="17">
        <v>7</v>
      </c>
      <c r="B11" s="57" t="s">
        <v>57</v>
      </c>
      <c r="C11" s="58" t="s">
        <v>58</v>
      </c>
      <c r="D11" s="20" t="s">
        <v>59</v>
      </c>
      <c r="E11" s="55">
        <v>0.012</v>
      </c>
      <c r="F11" s="55">
        <v>0.0126</v>
      </c>
      <c r="G11" s="21">
        <v>18.5841</v>
      </c>
      <c r="H11" s="56">
        <v>0.96</v>
      </c>
      <c r="I11" s="21">
        <f t="shared" si="0"/>
        <v>0.2439163125</v>
      </c>
      <c r="J11" s="20" t="s">
        <v>44</v>
      </c>
      <c r="K11" s="21">
        <v>51</v>
      </c>
      <c r="L11" s="61">
        <v>70.5882352941177</v>
      </c>
      <c r="M11" s="20">
        <v>2</v>
      </c>
      <c r="N11" s="20">
        <v>27.15</v>
      </c>
      <c r="O11" s="20">
        <v>0.76</v>
      </c>
      <c r="P11" s="20">
        <v>22.5</v>
      </c>
      <c r="Q11" s="21">
        <f t="shared" si="1"/>
        <v>0.220588235294118</v>
      </c>
      <c r="R11" s="21">
        <v>0</v>
      </c>
      <c r="S11" s="31">
        <v>0.0143116666666667</v>
      </c>
      <c r="T11" s="31">
        <v>0.0333333333333333</v>
      </c>
      <c r="U11" s="20">
        <v>0.3</v>
      </c>
      <c r="V11" s="21">
        <f t="shared" si="2"/>
        <v>1.00167967015165</v>
      </c>
      <c r="W11" s="20">
        <v>1.35</v>
      </c>
      <c r="X11" s="62">
        <f t="shared" si="3"/>
        <v>-0.34832032984835</v>
      </c>
      <c r="Y11" s="75">
        <f t="shared" si="4"/>
        <v>0.0332774382136425</v>
      </c>
      <c r="Z11" s="76">
        <f t="shared" si="5"/>
        <v>0.220218341119693</v>
      </c>
      <c r="AA11" s="22">
        <f t="shared" si="6"/>
        <v>0.101147058823529</v>
      </c>
      <c r="AB11" s="76">
        <f t="shared" si="7"/>
        <v>0.10097745001475</v>
      </c>
      <c r="AC11" s="77">
        <f t="shared" si="8"/>
        <v>0.0142876680970274</v>
      </c>
      <c r="AD11" s="77">
        <f t="shared" si="9"/>
        <v>0.299496943922783</v>
      </c>
      <c r="AE11" s="77">
        <f t="shared" si="10"/>
        <v>0.756492699444452</v>
      </c>
      <c r="AF11" s="78">
        <v>22465</v>
      </c>
      <c r="AG11" s="171">
        <f t="shared" si="11"/>
        <v>1.17255359298407</v>
      </c>
      <c r="AH11" s="84">
        <f t="shared" si="12"/>
        <v>26341.4164663871</v>
      </c>
      <c r="AI11" s="85">
        <f t="shared" si="13"/>
        <v>22502.7337899568</v>
      </c>
      <c r="AJ11" s="85">
        <f t="shared" si="14"/>
        <v>30327.75</v>
      </c>
      <c r="AK11" s="76">
        <f t="shared" si="15"/>
        <v>0.170587392281356</v>
      </c>
      <c r="AL11" s="76">
        <f t="shared" si="16"/>
        <v>-0.131441782974764</v>
      </c>
    </row>
    <row r="12" spans="1:38">
      <c r="A12" s="17">
        <v>8</v>
      </c>
      <c r="B12" s="57" t="s">
        <v>60</v>
      </c>
      <c r="C12" s="58" t="s">
        <v>61</v>
      </c>
      <c r="D12" s="20" t="s">
        <v>59</v>
      </c>
      <c r="E12" s="55">
        <v>0.017</v>
      </c>
      <c r="F12" s="55">
        <v>0.01785</v>
      </c>
      <c r="G12" s="21">
        <v>18.5841</v>
      </c>
      <c r="H12" s="56">
        <v>0.96</v>
      </c>
      <c r="I12" s="21">
        <f t="shared" si="0"/>
        <v>0.345548109375</v>
      </c>
      <c r="J12" s="20" t="s">
        <v>44</v>
      </c>
      <c r="K12" s="21">
        <v>51</v>
      </c>
      <c r="L12" s="61">
        <v>70.5882352941177</v>
      </c>
      <c r="M12" s="20">
        <v>2</v>
      </c>
      <c r="N12" s="20">
        <v>27.15</v>
      </c>
      <c r="O12" s="20">
        <v>0.76</v>
      </c>
      <c r="P12" s="20">
        <v>22.5</v>
      </c>
      <c r="Q12" s="21">
        <f t="shared" si="1"/>
        <v>0.220588235294118</v>
      </c>
      <c r="R12" s="21">
        <v>0</v>
      </c>
      <c r="S12" s="31">
        <v>0.0286233333333333</v>
      </c>
      <c r="T12" s="31">
        <v>0.0666666666666667</v>
      </c>
      <c r="U12" s="20">
        <v>0</v>
      </c>
      <c r="V12" s="21">
        <f t="shared" si="2"/>
        <v>0.866836435288374</v>
      </c>
      <c r="W12" s="20">
        <v>1.23</v>
      </c>
      <c r="X12" s="62">
        <f t="shared" si="3"/>
        <v>-0.363163564711626</v>
      </c>
      <c r="Y12" s="75">
        <f t="shared" si="4"/>
        <v>0.0769080116533039</v>
      </c>
      <c r="Z12" s="76">
        <f t="shared" si="5"/>
        <v>0.254475038558726</v>
      </c>
      <c r="AA12" s="22">
        <f t="shared" si="6"/>
        <v>0.101147058823529</v>
      </c>
      <c r="AB12" s="76">
        <f t="shared" si="7"/>
        <v>0.116685287680461</v>
      </c>
      <c r="AC12" s="77">
        <f t="shared" si="8"/>
        <v>0.033020454803346</v>
      </c>
      <c r="AD12" s="77">
        <f t="shared" si="9"/>
        <v>0</v>
      </c>
      <c r="AE12" s="77">
        <f t="shared" si="10"/>
        <v>0.601368729661156</v>
      </c>
      <c r="AF12" s="78">
        <v>22623</v>
      </c>
      <c r="AG12" s="171">
        <f t="shared" si="11"/>
        <v>1.06841163009344</v>
      </c>
      <c r="AH12" s="84">
        <f t="shared" si="12"/>
        <v>24170.676307604</v>
      </c>
      <c r="AI12" s="85">
        <f t="shared" si="13"/>
        <v>19610.4406755289</v>
      </c>
      <c r="AJ12" s="85">
        <f t="shared" si="14"/>
        <v>27826.29</v>
      </c>
      <c r="AK12" s="76">
        <f t="shared" si="15"/>
        <v>0.23254121146628</v>
      </c>
      <c r="AL12" s="76">
        <f t="shared" si="16"/>
        <v>-0.131372658460615</v>
      </c>
    </row>
    <row r="13" spans="1:38">
      <c r="A13" s="17">
        <v>9</v>
      </c>
      <c r="B13" s="53" t="s">
        <v>62</v>
      </c>
      <c r="C13" s="54" t="s">
        <v>63</v>
      </c>
      <c r="D13" s="20" t="s">
        <v>64</v>
      </c>
      <c r="E13" s="55">
        <v>0</v>
      </c>
      <c r="F13" s="55">
        <v>0.0013625</v>
      </c>
      <c r="G13" s="21">
        <v>21.2389</v>
      </c>
      <c r="H13" s="56">
        <v>0.98</v>
      </c>
      <c r="I13" s="21">
        <f t="shared" si="0"/>
        <v>0.0295285727040816</v>
      </c>
      <c r="J13" s="20" t="s">
        <v>65</v>
      </c>
      <c r="K13" s="21">
        <v>51</v>
      </c>
      <c r="L13" s="61">
        <v>70.5882352941177</v>
      </c>
      <c r="M13" s="20">
        <v>2</v>
      </c>
      <c r="N13" s="20">
        <v>48.5</v>
      </c>
      <c r="O13" s="20">
        <v>0.76</v>
      </c>
      <c r="P13" s="20">
        <v>22.5</v>
      </c>
      <c r="Q13" s="21">
        <f t="shared" si="1"/>
        <v>0.220588235294118</v>
      </c>
      <c r="R13" s="21">
        <v>0</v>
      </c>
      <c r="S13" s="31">
        <v>0.0042717</v>
      </c>
      <c r="T13" s="31">
        <v>0.01</v>
      </c>
      <c r="U13" s="20">
        <v>0</v>
      </c>
      <c r="V13" s="21">
        <f t="shared" si="2"/>
        <v>0.502222130187637</v>
      </c>
      <c r="W13" s="20">
        <v>0.16</v>
      </c>
      <c r="X13" s="62">
        <f t="shared" si="3"/>
        <v>0.342222130187637</v>
      </c>
      <c r="Y13" s="75">
        <f t="shared" si="4"/>
        <v>0.0199115080736563</v>
      </c>
      <c r="Z13" s="76">
        <f t="shared" si="5"/>
        <v>0.439224442801243</v>
      </c>
      <c r="AA13" s="22">
        <f t="shared" si="6"/>
        <v>0.180686274509804</v>
      </c>
      <c r="AB13" s="76">
        <f t="shared" si="7"/>
        <v>0.359773621370084</v>
      </c>
      <c r="AC13" s="77">
        <f t="shared" si="8"/>
        <v>0.00850559890382376</v>
      </c>
      <c r="AD13" s="77">
        <f t="shared" si="9"/>
        <v>0</v>
      </c>
      <c r="AE13" s="77">
        <f t="shared" si="10"/>
        <v>0.941204158619913</v>
      </c>
      <c r="AF13" s="78">
        <v>10290</v>
      </c>
      <c r="AG13" s="171">
        <f t="shared" si="11"/>
        <v>0.629704675011433</v>
      </c>
      <c r="AH13" s="84">
        <f t="shared" si="12"/>
        <v>6479.66110586765</v>
      </c>
      <c r="AI13" s="85">
        <f t="shared" si="13"/>
        <v>5167.86571963078</v>
      </c>
      <c r="AJ13" s="85">
        <f t="shared" si="14"/>
        <v>1646.4</v>
      </c>
      <c r="AK13" s="76">
        <f t="shared" si="15"/>
        <v>0.253836972050928</v>
      </c>
      <c r="AL13" s="76">
        <f t="shared" si="16"/>
        <v>2.93565421882146</v>
      </c>
    </row>
    <row r="14" spans="1:38">
      <c r="A14" s="17">
        <v>10</v>
      </c>
      <c r="B14" s="18" t="s">
        <v>66</v>
      </c>
      <c r="C14" s="23" t="s">
        <v>67</v>
      </c>
      <c r="D14" s="20" t="s">
        <v>64</v>
      </c>
      <c r="E14" s="55">
        <v>0</v>
      </c>
      <c r="F14" s="55">
        <v>0.0013625</v>
      </c>
      <c r="G14" s="21">
        <v>21.2389</v>
      </c>
      <c r="H14" s="56">
        <v>0.98</v>
      </c>
      <c r="I14" s="21">
        <f t="shared" si="0"/>
        <v>0.0295285727040816</v>
      </c>
      <c r="J14" s="20" t="s">
        <v>65</v>
      </c>
      <c r="K14" s="21">
        <v>51</v>
      </c>
      <c r="L14" s="61">
        <v>70.5882352941177</v>
      </c>
      <c r="M14" s="20">
        <v>2</v>
      </c>
      <c r="N14" s="20">
        <v>48.5</v>
      </c>
      <c r="O14" s="20">
        <v>0.76</v>
      </c>
      <c r="P14" s="20">
        <v>22.5</v>
      </c>
      <c r="Q14" s="21">
        <f t="shared" si="1"/>
        <v>0.220588235294118</v>
      </c>
      <c r="R14" s="21">
        <v>0</v>
      </c>
      <c r="S14" s="31">
        <v>0.0042717</v>
      </c>
      <c r="T14" s="31">
        <v>0.01</v>
      </c>
      <c r="U14" s="20">
        <v>0</v>
      </c>
      <c r="V14" s="21">
        <f t="shared" si="2"/>
        <v>0.502222130187637</v>
      </c>
      <c r="W14" s="20">
        <v>0.16</v>
      </c>
      <c r="X14" s="62">
        <f t="shared" si="3"/>
        <v>0.342222130187637</v>
      </c>
      <c r="Y14" s="75">
        <f t="shared" si="4"/>
        <v>0.0199115080736563</v>
      </c>
      <c r="Z14" s="76">
        <f t="shared" si="5"/>
        <v>0.439224442801243</v>
      </c>
      <c r="AA14" s="22">
        <f t="shared" si="6"/>
        <v>0.180686274509804</v>
      </c>
      <c r="AB14" s="76">
        <f t="shared" si="7"/>
        <v>0.359773621370084</v>
      </c>
      <c r="AC14" s="77">
        <f t="shared" si="8"/>
        <v>0.00850559890382376</v>
      </c>
      <c r="AD14" s="77">
        <f t="shared" si="9"/>
        <v>0</v>
      </c>
      <c r="AE14" s="77">
        <f t="shared" si="10"/>
        <v>0.941204158619913</v>
      </c>
      <c r="AF14" s="78">
        <v>0</v>
      </c>
      <c r="AG14" s="171">
        <f t="shared" si="11"/>
        <v>0.629704675011433</v>
      </c>
      <c r="AH14" s="84">
        <f t="shared" si="12"/>
        <v>0</v>
      </c>
      <c r="AI14" s="85">
        <f t="shared" si="13"/>
        <v>0</v>
      </c>
      <c r="AJ14" s="85">
        <f t="shared" si="14"/>
        <v>0</v>
      </c>
      <c r="AK14" s="76">
        <f t="shared" si="15"/>
        <v>0.253836972050928</v>
      </c>
      <c r="AL14" s="76">
        <f t="shared" si="16"/>
        <v>2.93565421882146</v>
      </c>
    </row>
    <row r="15" spans="1:38">
      <c r="A15" s="17">
        <v>11</v>
      </c>
      <c r="B15" s="18" t="s">
        <v>68</v>
      </c>
      <c r="C15" s="23" t="s">
        <v>69</v>
      </c>
      <c r="D15" s="20" t="s">
        <v>70</v>
      </c>
      <c r="E15" s="55">
        <v>0.001</v>
      </c>
      <c r="F15" s="55">
        <v>0.0011</v>
      </c>
      <c r="G15" s="21">
        <v>23.716814159292</v>
      </c>
      <c r="H15" s="56">
        <v>0.97</v>
      </c>
      <c r="I15" s="21">
        <f t="shared" si="0"/>
        <v>0.0268953562631146</v>
      </c>
      <c r="J15" s="20" t="s">
        <v>47</v>
      </c>
      <c r="K15" s="21">
        <v>80</v>
      </c>
      <c r="L15" s="61">
        <v>45</v>
      </c>
      <c r="M15" s="20">
        <v>8</v>
      </c>
      <c r="N15" s="20">
        <v>20.2</v>
      </c>
      <c r="O15" s="20">
        <v>0.76</v>
      </c>
      <c r="P15" s="20">
        <v>22.5</v>
      </c>
      <c r="Q15" s="21">
        <f t="shared" si="1"/>
        <v>0.03515625</v>
      </c>
      <c r="R15" s="21">
        <v>0</v>
      </c>
      <c r="S15" s="31">
        <v>0.00283033333333333</v>
      </c>
      <c r="T15" s="31">
        <v>0.00666666666666667</v>
      </c>
      <c r="U15" s="20">
        <v>0</v>
      </c>
      <c r="V15" s="21">
        <f t="shared" si="2"/>
        <v>0.094229314899028</v>
      </c>
      <c r="W15" s="20">
        <v>0.12</v>
      </c>
      <c r="X15" s="62">
        <f t="shared" si="3"/>
        <v>-0.025770685100972</v>
      </c>
      <c r="Y15" s="75">
        <f t="shared" si="4"/>
        <v>0.0707493912463481</v>
      </c>
      <c r="Z15" s="76">
        <f t="shared" si="5"/>
        <v>0.373092492900664</v>
      </c>
      <c r="AA15" s="22">
        <f t="shared" si="6"/>
        <v>0.01199375</v>
      </c>
      <c r="AB15" s="76">
        <f t="shared" si="7"/>
        <v>0.127282576689133</v>
      </c>
      <c r="AC15" s="77">
        <f t="shared" si="8"/>
        <v>0.030036654053637</v>
      </c>
      <c r="AD15" s="77">
        <f t="shared" si="9"/>
        <v>0</v>
      </c>
      <c r="AE15" s="77">
        <f t="shared" si="10"/>
        <v>0.714575487554648</v>
      </c>
      <c r="AF15" s="78">
        <v>1197276</v>
      </c>
      <c r="AG15" s="171">
        <f t="shared" si="11"/>
        <v>0.116366586359134</v>
      </c>
      <c r="AH15" s="84">
        <f t="shared" si="12"/>
        <v>139322.921049719</v>
      </c>
      <c r="AI15" s="85">
        <f t="shared" si="13"/>
        <v>112818.497225049</v>
      </c>
      <c r="AJ15" s="85">
        <f t="shared" si="14"/>
        <v>143673.12</v>
      </c>
      <c r="AK15" s="76">
        <f t="shared" si="15"/>
        <v>0.234929771948653</v>
      </c>
      <c r="AL15" s="76">
        <f t="shared" si="16"/>
        <v>-0.0302784470072129</v>
      </c>
    </row>
    <row r="16" spans="1:38">
      <c r="A16" s="17">
        <v>12</v>
      </c>
      <c r="B16" s="18" t="s">
        <v>71</v>
      </c>
      <c r="C16" s="19" t="s">
        <v>72</v>
      </c>
      <c r="D16" s="20" t="s">
        <v>70</v>
      </c>
      <c r="E16" s="55">
        <v>0.0013</v>
      </c>
      <c r="F16" s="55">
        <v>0.00143</v>
      </c>
      <c r="G16" s="21">
        <v>23.716814159292</v>
      </c>
      <c r="H16" s="56">
        <v>0.97</v>
      </c>
      <c r="I16" s="21">
        <f t="shared" si="0"/>
        <v>0.034963963142049</v>
      </c>
      <c r="J16" s="20" t="s">
        <v>47</v>
      </c>
      <c r="K16" s="21">
        <v>80</v>
      </c>
      <c r="L16" s="61">
        <v>45</v>
      </c>
      <c r="M16" s="20">
        <v>2</v>
      </c>
      <c r="N16" s="20">
        <v>20.2</v>
      </c>
      <c r="O16" s="20">
        <v>0.76</v>
      </c>
      <c r="P16" s="20">
        <v>22.5</v>
      </c>
      <c r="Q16" s="21">
        <f t="shared" si="1"/>
        <v>0.140625</v>
      </c>
      <c r="R16" s="21">
        <v>0</v>
      </c>
      <c r="S16" s="31">
        <v>0.00283033333333333</v>
      </c>
      <c r="T16" s="31">
        <v>0.00666666666666667</v>
      </c>
      <c r="U16" s="20">
        <v>0</v>
      </c>
      <c r="V16" s="21">
        <f t="shared" si="2"/>
        <v>0.26532792689451</v>
      </c>
      <c r="W16" s="20">
        <v>0.19</v>
      </c>
      <c r="X16" s="62">
        <f t="shared" si="3"/>
        <v>0.07532792689451</v>
      </c>
      <c r="Y16" s="75">
        <f t="shared" si="4"/>
        <v>0.0251261401115806</v>
      </c>
      <c r="Z16" s="76">
        <f t="shared" si="5"/>
        <v>0.530004517978653</v>
      </c>
      <c r="AA16" s="22">
        <f t="shared" si="6"/>
        <v>0.047975</v>
      </c>
      <c r="AB16" s="76">
        <f t="shared" si="7"/>
        <v>0.180813985777962</v>
      </c>
      <c r="AC16" s="77">
        <f t="shared" si="8"/>
        <v>0.0106673027843715</v>
      </c>
      <c r="AD16" s="77">
        <f t="shared" si="9"/>
        <v>0</v>
      </c>
      <c r="AE16" s="77">
        <f t="shared" si="10"/>
        <v>0.868223584485511</v>
      </c>
      <c r="AF16" s="78">
        <v>113080</v>
      </c>
      <c r="AG16" s="171">
        <f t="shared" si="11"/>
        <v>0.332166637524607</v>
      </c>
      <c r="AH16" s="84">
        <f t="shared" si="12"/>
        <v>37561.4033712825</v>
      </c>
      <c r="AI16" s="85">
        <f t="shared" si="13"/>
        <v>30003.2819732312</v>
      </c>
      <c r="AJ16" s="85">
        <f t="shared" si="14"/>
        <v>21485.2</v>
      </c>
      <c r="AK16" s="76">
        <f t="shared" si="15"/>
        <v>0.25190982122538</v>
      </c>
      <c r="AL16" s="76">
        <f t="shared" si="16"/>
        <v>0.748245460655825</v>
      </c>
    </row>
    <row r="17" spans="1:38">
      <c r="A17" s="17">
        <v>13</v>
      </c>
      <c r="B17" s="18" t="s">
        <v>73</v>
      </c>
      <c r="C17" s="23" t="s">
        <v>74</v>
      </c>
      <c r="D17" s="20" t="s">
        <v>64</v>
      </c>
      <c r="E17" s="55">
        <v>0.001</v>
      </c>
      <c r="F17" s="55">
        <v>0.0011</v>
      </c>
      <c r="G17" s="21">
        <v>21.2389</v>
      </c>
      <c r="H17" s="56">
        <v>0.97</v>
      </c>
      <c r="I17" s="21">
        <f t="shared" si="0"/>
        <v>0.0240853505154639</v>
      </c>
      <c r="J17" s="20" t="s">
        <v>47</v>
      </c>
      <c r="K17" s="21">
        <v>72</v>
      </c>
      <c r="L17" s="61">
        <v>50</v>
      </c>
      <c r="M17" s="20">
        <v>4</v>
      </c>
      <c r="N17" s="20">
        <v>20.2</v>
      </c>
      <c r="O17" s="20">
        <v>0.76</v>
      </c>
      <c r="P17" s="20">
        <v>22.5</v>
      </c>
      <c r="Q17" s="21">
        <f t="shared" si="1"/>
        <v>0.078125</v>
      </c>
      <c r="R17" s="21">
        <v>0</v>
      </c>
      <c r="S17" s="31">
        <v>0.0286233333333333</v>
      </c>
      <c r="T17" s="31">
        <v>0.0666666666666667</v>
      </c>
      <c r="U17" s="20">
        <v>0</v>
      </c>
      <c r="V17" s="21">
        <f t="shared" si="2"/>
        <v>0.242751930314947</v>
      </c>
      <c r="W17" s="20">
        <v>0.16</v>
      </c>
      <c r="X17" s="62">
        <f t="shared" si="3"/>
        <v>0.082751930314947</v>
      </c>
      <c r="Y17" s="75">
        <f t="shared" si="4"/>
        <v>0.274628780830592</v>
      </c>
      <c r="Z17" s="76">
        <f t="shared" si="5"/>
        <v>0.32183060253585</v>
      </c>
      <c r="AA17" s="22">
        <f t="shared" si="6"/>
        <v>0.0266527777777778</v>
      </c>
      <c r="AB17" s="76">
        <f t="shared" si="7"/>
        <v>0.109794298002897</v>
      </c>
      <c r="AC17" s="77">
        <f t="shared" si="8"/>
        <v>0.117911867049614</v>
      </c>
      <c r="AD17" s="77">
        <f t="shared" si="9"/>
        <v>0</v>
      </c>
      <c r="AE17" s="77">
        <f t="shared" si="10"/>
        <v>0.90078204328091</v>
      </c>
      <c r="AF17" s="78">
        <v>0</v>
      </c>
      <c r="AG17" s="171">
        <f t="shared" si="11"/>
        <v>0.28127802021705</v>
      </c>
      <c r="AH17" s="84">
        <f t="shared" si="12"/>
        <v>0</v>
      </c>
      <c r="AI17" s="85">
        <f t="shared" si="13"/>
        <v>0</v>
      </c>
      <c r="AJ17" s="85">
        <f t="shared" si="14"/>
        <v>0</v>
      </c>
      <c r="AK17" s="76">
        <f t="shared" si="15"/>
        <v>0.158705596499764</v>
      </c>
      <c r="AL17" s="76">
        <f t="shared" si="16"/>
        <v>0.757987626356561</v>
      </c>
    </row>
    <row r="18" spans="1:38">
      <c r="A18" s="17">
        <v>14</v>
      </c>
      <c r="B18" s="18" t="s">
        <v>75</v>
      </c>
      <c r="C18" s="19" t="s">
        <v>76</v>
      </c>
      <c r="D18" s="20" t="s">
        <v>64</v>
      </c>
      <c r="E18" s="55">
        <v>0.001</v>
      </c>
      <c r="F18" s="55">
        <v>0.0011</v>
      </c>
      <c r="G18" s="21">
        <v>21.2389</v>
      </c>
      <c r="H18" s="56">
        <v>0.97</v>
      </c>
      <c r="I18" s="21">
        <f t="shared" si="0"/>
        <v>0.0240853505154639</v>
      </c>
      <c r="J18" s="20" t="s">
        <v>47</v>
      </c>
      <c r="K18" s="21">
        <v>72</v>
      </c>
      <c r="L18" s="61">
        <v>50</v>
      </c>
      <c r="M18" s="20">
        <v>4</v>
      </c>
      <c r="N18" s="20">
        <v>20.2</v>
      </c>
      <c r="O18" s="20">
        <v>0.76</v>
      </c>
      <c r="P18" s="20">
        <v>22.5</v>
      </c>
      <c r="Q18" s="21">
        <f t="shared" si="1"/>
        <v>0.078125</v>
      </c>
      <c r="R18" s="21">
        <v>0</v>
      </c>
      <c r="S18" s="31">
        <v>0.0143116666666667</v>
      </c>
      <c r="T18" s="31">
        <v>0.0333333333333333</v>
      </c>
      <c r="U18" s="20">
        <v>0</v>
      </c>
      <c r="V18" s="21">
        <f t="shared" si="2"/>
        <v>0.195106930314947</v>
      </c>
      <c r="W18" s="20">
        <v>0.16</v>
      </c>
      <c r="X18" s="62">
        <f t="shared" si="3"/>
        <v>0.035106930314947</v>
      </c>
      <c r="Y18" s="75">
        <f t="shared" si="4"/>
        <v>0.170846485460694</v>
      </c>
      <c r="Z18" s="76">
        <f t="shared" si="5"/>
        <v>0.400421450298503</v>
      </c>
      <c r="AA18" s="22">
        <f t="shared" si="6"/>
        <v>0.0266527777777778</v>
      </c>
      <c r="AB18" s="76">
        <f t="shared" si="7"/>
        <v>0.136606002332947</v>
      </c>
      <c r="AC18" s="77">
        <f t="shared" si="8"/>
        <v>0.0733529385325494</v>
      </c>
      <c r="AD18" s="77">
        <f t="shared" si="9"/>
        <v>0</v>
      </c>
      <c r="AE18" s="77">
        <f t="shared" si="10"/>
        <v>0.876553075400322</v>
      </c>
      <c r="AF18" s="78">
        <v>82600</v>
      </c>
      <c r="AG18" s="171">
        <f t="shared" si="11"/>
        <v>0.23363302021705</v>
      </c>
      <c r="AH18" s="84">
        <f t="shared" si="12"/>
        <v>19298.0874699283</v>
      </c>
      <c r="AI18" s="85">
        <f t="shared" si="13"/>
        <v>16115.8324440146</v>
      </c>
      <c r="AJ18" s="85">
        <f t="shared" si="14"/>
        <v>13216</v>
      </c>
      <c r="AK18" s="76">
        <f t="shared" si="15"/>
        <v>0.197461411749511</v>
      </c>
      <c r="AL18" s="76">
        <f t="shared" si="16"/>
        <v>0.460206376356562</v>
      </c>
    </row>
    <row r="19" spans="1:38">
      <c r="A19" s="17">
        <v>15</v>
      </c>
      <c r="B19" s="18" t="s">
        <v>77</v>
      </c>
      <c r="C19" s="23" t="s">
        <v>78</v>
      </c>
      <c r="D19" s="20" t="s">
        <v>64</v>
      </c>
      <c r="E19" s="55">
        <v>0.001</v>
      </c>
      <c r="F19" s="55">
        <v>0.0011</v>
      </c>
      <c r="G19" s="21">
        <v>21.2389</v>
      </c>
      <c r="H19" s="56">
        <v>0.97</v>
      </c>
      <c r="I19" s="21">
        <f t="shared" si="0"/>
        <v>0.0240853505154639</v>
      </c>
      <c r="J19" s="20" t="s">
        <v>47</v>
      </c>
      <c r="K19" s="21">
        <v>72</v>
      </c>
      <c r="L19" s="61">
        <v>50</v>
      </c>
      <c r="M19" s="20">
        <v>4</v>
      </c>
      <c r="N19" s="20">
        <v>20.2</v>
      </c>
      <c r="O19" s="20">
        <v>0.76</v>
      </c>
      <c r="P19" s="20">
        <v>22.5</v>
      </c>
      <c r="Q19" s="21">
        <f t="shared" si="1"/>
        <v>0.078125</v>
      </c>
      <c r="R19" s="21">
        <v>0</v>
      </c>
      <c r="S19" s="31">
        <v>0.0143116666666667</v>
      </c>
      <c r="T19" s="31">
        <v>0.0333333333333333</v>
      </c>
      <c r="U19" s="20">
        <v>0</v>
      </c>
      <c r="V19" s="21">
        <f t="shared" si="2"/>
        <v>0.195106930314947</v>
      </c>
      <c r="W19" s="20">
        <v>0.16</v>
      </c>
      <c r="X19" s="62">
        <f t="shared" si="3"/>
        <v>0.035106930314947</v>
      </c>
      <c r="Y19" s="75">
        <f t="shared" si="4"/>
        <v>0.170846485460694</v>
      </c>
      <c r="Z19" s="76">
        <f t="shared" si="5"/>
        <v>0.400421450298503</v>
      </c>
      <c r="AA19" s="22">
        <f t="shared" si="6"/>
        <v>0.0266527777777778</v>
      </c>
      <c r="AB19" s="76">
        <f t="shared" si="7"/>
        <v>0.136606002332947</v>
      </c>
      <c r="AC19" s="77">
        <f t="shared" si="8"/>
        <v>0.0733529385325494</v>
      </c>
      <c r="AD19" s="77">
        <f t="shared" si="9"/>
        <v>0</v>
      </c>
      <c r="AE19" s="77">
        <f t="shared" si="10"/>
        <v>0.876553075400322</v>
      </c>
      <c r="AF19" s="78">
        <v>183411</v>
      </c>
      <c r="AG19" s="171">
        <f t="shared" si="11"/>
        <v>0.23363302021705</v>
      </c>
      <c r="AH19" s="84">
        <f t="shared" si="12"/>
        <v>42850.8658710293</v>
      </c>
      <c r="AI19" s="85">
        <f t="shared" si="13"/>
        <v>35784.7571959947</v>
      </c>
      <c r="AJ19" s="85">
        <f t="shared" si="14"/>
        <v>29345.76</v>
      </c>
      <c r="AK19" s="76">
        <f t="shared" si="15"/>
        <v>0.197461411749511</v>
      </c>
      <c r="AL19" s="76">
        <f t="shared" si="16"/>
        <v>0.460206376356562</v>
      </c>
    </row>
    <row r="20" ht="28" spans="1:38">
      <c r="A20" s="17">
        <v>16</v>
      </c>
      <c r="B20" s="18" t="s">
        <v>79</v>
      </c>
      <c r="C20" s="19" t="s">
        <v>80</v>
      </c>
      <c r="D20" s="20" t="s">
        <v>59</v>
      </c>
      <c r="E20" s="55">
        <v>0.035</v>
      </c>
      <c r="F20" s="55">
        <v>0.03675</v>
      </c>
      <c r="G20" s="21">
        <v>18.5841</v>
      </c>
      <c r="H20" s="56">
        <v>0.97</v>
      </c>
      <c r="I20" s="21">
        <f t="shared" ref="I20:I42" si="17">F20*G20/H20</f>
        <v>0.704088324742268</v>
      </c>
      <c r="J20" s="20" t="s">
        <v>81</v>
      </c>
      <c r="K20" s="21">
        <v>42</v>
      </c>
      <c r="L20" s="61">
        <v>85.7142857142857</v>
      </c>
      <c r="M20" s="20">
        <v>2</v>
      </c>
      <c r="N20" s="20">
        <v>39.75</v>
      </c>
      <c r="O20" s="20">
        <v>0.76</v>
      </c>
      <c r="P20" s="20">
        <v>22.5</v>
      </c>
      <c r="Q20" s="21">
        <f t="shared" ref="Q20:Q42" si="18">P20/K20/M20</f>
        <v>0.267857142857143</v>
      </c>
      <c r="R20" s="21">
        <v>0</v>
      </c>
      <c r="S20" s="31">
        <v>0.0947811111111111</v>
      </c>
      <c r="T20" s="31">
        <v>0.222222222222222</v>
      </c>
      <c r="U20" s="20">
        <v>0.3</v>
      </c>
      <c r="V20" s="21">
        <f t="shared" si="2"/>
        <v>1.93500462688965</v>
      </c>
      <c r="W20" s="20">
        <v>2.79</v>
      </c>
      <c r="X20" s="62">
        <f t="shared" si="3"/>
        <v>-0.85499537311035</v>
      </c>
      <c r="Y20" s="75">
        <f t="shared" si="4"/>
        <v>0.114843251087944</v>
      </c>
      <c r="Z20" s="76">
        <f t="shared" si="5"/>
        <v>0.13842713300779</v>
      </c>
      <c r="AA20" s="22">
        <f t="shared" si="6"/>
        <v>0.179821428571429</v>
      </c>
      <c r="AB20" s="76">
        <f t="shared" si="7"/>
        <v>0.0929307486258966</v>
      </c>
      <c r="AC20" s="77">
        <f t="shared" si="8"/>
        <v>0.0489823692377746</v>
      </c>
      <c r="AD20" s="77">
        <f t="shared" si="9"/>
        <v>0.155038388968725</v>
      </c>
      <c r="AE20" s="77">
        <f t="shared" si="10"/>
        <v>0.636130934800901</v>
      </c>
      <c r="AF20" s="78">
        <v>36792</v>
      </c>
      <c r="AG20" s="171">
        <f t="shared" si="11"/>
        <v>2.27934730718815</v>
      </c>
      <c r="AH20" s="84">
        <f t="shared" si="12"/>
        <v>83861.7461260665</v>
      </c>
      <c r="AI20" s="85">
        <f t="shared" si="13"/>
        <v>71192.690232524</v>
      </c>
      <c r="AJ20" s="85">
        <f t="shared" si="14"/>
        <v>102649.68</v>
      </c>
      <c r="AK20" s="76">
        <f t="shared" si="15"/>
        <v>0.177954448022175</v>
      </c>
      <c r="AL20" s="76">
        <f t="shared" si="16"/>
        <v>-0.183029639000662</v>
      </c>
    </row>
    <row r="21" ht="28" spans="1:38">
      <c r="A21" s="17">
        <v>17</v>
      </c>
      <c r="B21" s="18" t="s">
        <v>82</v>
      </c>
      <c r="C21" s="19" t="s">
        <v>83</v>
      </c>
      <c r="D21" s="20" t="s">
        <v>59</v>
      </c>
      <c r="E21" s="55">
        <v>0.035</v>
      </c>
      <c r="F21" s="55">
        <v>0.0378</v>
      </c>
      <c r="G21" s="21">
        <v>18.5841</v>
      </c>
      <c r="H21" s="56">
        <v>0.97</v>
      </c>
      <c r="I21" s="21">
        <f t="shared" si="17"/>
        <v>0.724205134020619</v>
      </c>
      <c r="J21" s="20" t="s">
        <v>81</v>
      </c>
      <c r="K21" s="21">
        <v>42</v>
      </c>
      <c r="L21" s="61">
        <v>85.7142857142857</v>
      </c>
      <c r="M21" s="20">
        <v>2</v>
      </c>
      <c r="N21" s="20">
        <v>39.75</v>
      </c>
      <c r="O21" s="20">
        <v>0.76</v>
      </c>
      <c r="P21" s="20">
        <v>22.5</v>
      </c>
      <c r="Q21" s="21">
        <f t="shared" si="18"/>
        <v>0.267857142857143</v>
      </c>
      <c r="R21" s="21">
        <v>0</v>
      </c>
      <c r="S21" s="31">
        <v>0.0947811111111111</v>
      </c>
      <c r="T21" s="31">
        <v>0.222222222222222</v>
      </c>
      <c r="U21" s="20">
        <v>0.3</v>
      </c>
      <c r="V21" s="21">
        <f t="shared" si="2"/>
        <v>1.95802489317725</v>
      </c>
      <c r="W21" s="20">
        <v>2.79</v>
      </c>
      <c r="X21" s="62">
        <f t="shared" si="3"/>
        <v>-0.831975106822748</v>
      </c>
      <c r="Y21" s="75">
        <f t="shared" si="4"/>
        <v>0.113493052614681</v>
      </c>
      <c r="Z21" s="76">
        <f t="shared" si="5"/>
        <v>0.136799661633768</v>
      </c>
      <c r="AA21" s="22">
        <f t="shared" si="6"/>
        <v>0.179821428571429</v>
      </c>
      <c r="AB21" s="76">
        <f t="shared" si="7"/>
        <v>0.0918381728434698</v>
      </c>
      <c r="AC21" s="77">
        <f t="shared" si="8"/>
        <v>0.0484064893359509</v>
      </c>
      <c r="AD21" s="77">
        <f t="shared" si="9"/>
        <v>0.15321562102982</v>
      </c>
      <c r="AE21" s="77">
        <f t="shared" si="10"/>
        <v>0.630134868793489</v>
      </c>
      <c r="AF21" s="78">
        <v>0</v>
      </c>
      <c r="AG21" s="171">
        <f t="shared" si="11"/>
        <v>2.30838187728062</v>
      </c>
      <c r="AH21" s="84">
        <f t="shared" si="12"/>
        <v>0</v>
      </c>
      <c r="AI21" s="85">
        <f t="shared" si="13"/>
        <v>0</v>
      </c>
      <c r="AJ21" s="85">
        <f t="shared" si="14"/>
        <v>0</v>
      </c>
      <c r="AK21" s="76">
        <f t="shared" si="15"/>
        <v>0.178933876338442</v>
      </c>
      <c r="AL21" s="76">
        <f t="shared" si="16"/>
        <v>-0.172622983053542</v>
      </c>
    </row>
    <row r="22" spans="1:38">
      <c r="A22" s="17">
        <v>18</v>
      </c>
      <c r="B22" s="18" t="s">
        <v>84</v>
      </c>
      <c r="C22" s="23" t="s">
        <v>85</v>
      </c>
      <c r="D22" s="20" t="s">
        <v>86</v>
      </c>
      <c r="E22" s="55">
        <v>0</v>
      </c>
      <c r="F22" s="55">
        <v>0.0448</v>
      </c>
      <c r="G22" s="21">
        <v>13.7168</v>
      </c>
      <c r="H22" s="56">
        <v>0.94</v>
      </c>
      <c r="I22" s="21">
        <f t="shared" si="17"/>
        <v>0.65373685106383</v>
      </c>
      <c r="J22" s="20" t="s">
        <v>87</v>
      </c>
      <c r="K22" s="21">
        <v>36</v>
      </c>
      <c r="L22" s="61">
        <v>100</v>
      </c>
      <c r="M22" s="20">
        <v>2</v>
      </c>
      <c r="N22" s="20">
        <v>68.9</v>
      </c>
      <c r="O22" s="20">
        <v>0.76</v>
      </c>
      <c r="P22" s="20">
        <v>22.5</v>
      </c>
      <c r="Q22" s="21">
        <f t="shared" si="18"/>
        <v>0.3125</v>
      </c>
      <c r="R22" s="21">
        <v>0.9</v>
      </c>
      <c r="S22" s="31">
        <v>0.036575652173913</v>
      </c>
      <c r="T22" s="31">
        <v>0.0869565217391304</v>
      </c>
      <c r="U22" s="20">
        <v>0</v>
      </c>
      <c r="V22" s="21">
        <f t="shared" ref="V20:V42" si="19">(I22+Q22+(N22*O22/K22/M22)/2)/H22*1.11+R22*1.03+S22+T22+U22</f>
        <v>2.62091735619764</v>
      </c>
      <c r="W22" s="20">
        <v>4.59</v>
      </c>
      <c r="X22" s="62">
        <f t="shared" si="3"/>
        <v>-1.96908264380236</v>
      </c>
      <c r="Y22" s="75">
        <f t="shared" si="4"/>
        <v>0.0331778953401586</v>
      </c>
      <c r="Z22" s="76">
        <f t="shared" si="5"/>
        <v>0.119233061378695</v>
      </c>
      <c r="AA22" s="22">
        <f t="shared" si="6"/>
        <v>0.363638888888889</v>
      </c>
      <c r="AB22" s="76">
        <f t="shared" si="7"/>
        <v>0.138744889467422</v>
      </c>
      <c r="AC22" s="77">
        <f t="shared" si="8"/>
        <v>0.0139552863379775</v>
      </c>
      <c r="AD22" s="77">
        <f t="shared" si="9"/>
        <v>0</v>
      </c>
      <c r="AE22" s="77">
        <f t="shared" si="10"/>
        <v>0.750569452517093</v>
      </c>
      <c r="AF22" s="78">
        <v>44889</v>
      </c>
      <c r="AG22" s="171">
        <f t="shared" si="11"/>
        <v>3.09419816958731</v>
      </c>
      <c r="AH22" s="84">
        <f t="shared" si="12"/>
        <v>138895.461634605</v>
      </c>
      <c r="AI22" s="85">
        <f t="shared" si="13"/>
        <v>117650.359202356</v>
      </c>
      <c r="AJ22" s="85">
        <f t="shared" si="14"/>
        <v>206040.51</v>
      </c>
      <c r="AK22" s="76">
        <f t="shared" si="15"/>
        <v>0.180578304871196</v>
      </c>
      <c r="AL22" s="76">
        <f t="shared" si="16"/>
        <v>-0.325882751723899</v>
      </c>
    </row>
    <row r="23" spans="1:38">
      <c r="A23" s="17">
        <v>19</v>
      </c>
      <c r="B23" s="18" t="s">
        <v>88</v>
      </c>
      <c r="C23" s="23" t="s">
        <v>89</v>
      </c>
      <c r="D23" s="20" t="s">
        <v>43</v>
      </c>
      <c r="E23" s="55">
        <v>0</v>
      </c>
      <c r="F23" s="55">
        <v>0.021575</v>
      </c>
      <c r="G23" s="21">
        <v>15.3097</v>
      </c>
      <c r="H23" s="56">
        <v>0.95</v>
      </c>
      <c r="I23" s="21">
        <f t="shared" si="17"/>
        <v>0.347691344736842</v>
      </c>
      <c r="J23" s="20" t="s">
        <v>81</v>
      </c>
      <c r="K23" s="21">
        <v>60</v>
      </c>
      <c r="L23" s="61">
        <v>60</v>
      </c>
      <c r="M23" s="20">
        <v>1</v>
      </c>
      <c r="N23" s="20">
        <v>39.75</v>
      </c>
      <c r="O23" s="20">
        <v>0.76</v>
      </c>
      <c r="P23" s="20">
        <v>22.5</v>
      </c>
      <c r="Q23" s="21">
        <f t="shared" si="18"/>
        <v>0.375</v>
      </c>
      <c r="R23" s="21">
        <v>0</v>
      </c>
      <c r="S23" s="31">
        <v>0.0286233333333333</v>
      </c>
      <c r="T23" s="31">
        <v>0.0666666666666667</v>
      </c>
      <c r="U23" s="20">
        <v>0</v>
      </c>
      <c r="V23" s="21">
        <f t="shared" si="19"/>
        <v>1.23384778174515</v>
      </c>
      <c r="W23" s="20">
        <v>1.98</v>
      </c>
      <c r="X23" s="62">
        <f t="shared" si="3"/>
        <v>-0.74615221825485</v>
      </c>
      <c r="Y23" s="75">
        <f t="shared" si="4"/>
        <v>0.0540315164098878</v>
      </c>
      <c r="Z23" s="76">
        <f t="shared" si="5"/>
        <v>0.303927279805619</v>
      </c>
      <c r="AA23" s="22">
        <f t="shared" si="6"/>
        <v>0.25175</v>
      </c>
      <c r="AB23" s="76">
        <f t="shared" si="7"/>
        <v>0.204036513842839</v>
      </c>
      <c r="AC23" s="77">
        <f t="shared" si="8"/>
        <v>0.0231984315705853</v>
      </c>
      <c r="AD23" s="77">
        <f t="shared" si="9"/>
        <v>0</v>
      </c>
      <c r="AE23" s="77">
        <f t="shared" si="10"/>
        <v>0.718205641019131</v>
      </c>
      <c r="AF23" s="78">
        <v>65152</v>
      </c>
      <c r="AG23" s="171">
        <f t="shared" si="11"/>
        <v>1.53130882382271</v>
      </c>
      <c r="AH23" s="84">
        <f t="shared" si="12"/>
        <v>99767.8324896975</v>
      </c>
      <c r="AI23" s="85">
        <f t="shared" si="13"/>
        <v>80387.65067626</v>
      </c>
      <c r="AJ23" s="85">
        <f t="shared" si="14"/>
        <v>129000.96</v>
      </c>
      <c r="AK23" s="76">
        <f t="shared" si="15"/>
        <v>0.241084067644743</v>
      </c>
      <c r="AL23" s="76">
        <f t="shared" si="16"/>
        <v>-0.226611705140043</v>
      </c>
    </row>
    <row r="24" spans="1:38">
      <c r="A24" s="17">
        <v>20</v>
      </c>
      <c r="B24" s="18" t="s">
        <v>90</v>
      </c>
      <c r="C24" s="23" t="s">
        <v>91</v>
      </c>
      <c r="D24" s="20" t="s">
        <v>43</v>
      </c>
      <c r="E24" s="55">
        <v>0</v>
      </c>
      <c r="F24" s="55">
        <v>0.016625</v>
      </c>
      <c r="G24" s="21">
        <v>15.3097</v>
      </c>
      <c r="H24" s="56">
        <v>0.95</v>
      </c>
      <c r="I24" s="21">
        <f t="shared" si="17"/>
        <v>0.26791975</v>
      </c>
      <c r="J24" s="20" t="s">
        <v>81</v>
      </c>
      <c r="K24" s="21">
        <v>60</v>
      </c>
      <c r="L24" s="61">
        <v>60</v>
      </c>
      <c r="M24" s="20">
        <v>1</v>
      </c>
      <c r="N24" s="20">
        <v>39.75</v>
      </c>
      <c r="O24" s="20">
        <v>0.76</v>
      </c>
      <c r="P24" s="20">
        <v>22.5</v>
      </c>
      <c r="Q24" s="21">
        <f t="shared" si="18"/>
        <v>0.375</v>
      </c>
      <c r="R24" s="21">
        <v>0</v>
      </c>
      <c r="S24" s="31">
        <v>0.0286233333333333</v>
      </c>
      <c r="T24" s="31">
        <v>0.0666666666666667</v>
      </c>
      <c r="U24" s="20">
        <v>0</v>
      </c>
      <c r="V24" s="21">
        <f t="shared" si="19"/>
        <v>1.14064097105263</v>
      </c>
      <c r="W24" s="20">
        <v>1.35</v>
      </c>
      <c r="X24" s="62">
        <f t="shared" si="3"/>
        <v>-0.20935902894737</v>
      </c>
      <c r="Y24" s="75">
        <f t="shared" si="4"/>
        <v>0.0584466702131031</v>
      </c>
      <c r="Z24" s="76">
        <f t="shared" si="5"/>
        <v>0.328762519948705</v>
      </c>
      <c r="AA24" s="22">
        <f t="shared" si="6"/>
        <v>0.25175</v>
      </c>
      <c r="AB24" s="76">
        <f t="shared" si="7"/>
        <v>0.22070923839223</v>
      </c>
      <c r="AC24" s="77">
        <f t="shared" si="8"/>
        <v>0.0250940778559958</v>
      </c>
      <c r="AD24" s="77">
        <f t="shared" si="9"/>
        <v>0</v>
      </c>
      <c r="AE24" s="77">
        <f t="shared" si="10"/>
        <v>0.765114740922595</v>
      </c>
      <c r="AF24" s="78">
        <v>64057</v>
      </c>
      <c r="AG24" s="171">
        <f t="shared" si="11"/>
        <v>1.41375068421053</v>
      </c>
      <c r="AH24" s="84">
        <f t="shared" si="12"/>
        <v>90560.6275784737</v>
      </c>
      <c r="AI24" s="85">
        <f t="shared" si="13"/>
        <v>73066.0386827183</v>
      </c>
      <c r="AJ24" s="85">
        <f t="shared" si="14"/>
        <v>86476.95</v>
      </c>
      <c r="AK24" s="76">
        <f t="shared" si="15"/>
        <v>0.239435300054021</v>
      </c>
      <c r="AL24" s="76">
        <f t="shared" si="16"/>
        <v>0.0472227290448342</v>
      </c>
    </row>
    <row r="25" spans="1:38">
      <c r="A25" s="17">
        <v>21</v>
      </c>
      <c r="B25" s="18" t="s">
        <v>92</v>
      </c>
      <c r="C25" s="23" t="s">
        <v>93</v>
      </c>
      <c r="D25" s="20" t="s">
        <v>43</v>
      </c>
      <c r="E25" s="55">
        <v>0</v>
      </c>
      <c r="F25" s="55">
        <v>0.0067</v>
      </c>
      <c r="G25" s="21">
        <v>15.3097</v>
      </c>
      <c r="H25" s="56">
        <v>0.98</v>
      </c>
      <c r="I25" s="21">
        <f t="shared" si="17"/>
        <v>0.104668357142857</v>
      </c>
      <c r="J25" s="20" t="s">
        <v>44</v>
      </c>
      <c r="K25" s="21">
        <v>102</v>
      </c>
      <c r="L25" s="61">
        <v>35.2941176470588</v>
      </c>
      <c r="M25" s="20">
        <v>4</v>
      </c>
      <c r="N25" s="20">
        <v>27.15</v>
      </c>
      <c r="O25" s="20">
        <v>0.76</v>
      </c>
      <c r="P25" s="20">
        <v>22.5</v>
      </c>
      <c r="Q25" s="21">
        <f t="shared" si="18"/>
        <v>0.0551470588235294</v>
      </c>
      <c r="R25" s="21">
        <v>0</v>
      </c>
      <c r="S25" s="31">
        <v>0.0286233333333333</v>
      </c>
      <c r="T25" s="31">
        <v>0.0666666666666667</v>
      </c>
      <c r="U25" s="20">
        <v>0</v>
      </c>
      <c r="V25" s="21">
        <f t="shared" si="19"/>
        <v>0.304946551577774</v>
      </c>
      <c r="W25" s="20">
        <v>0.43</v>
      </c>
      <c r="X25" s="62">
        <f t="shared" si="3"/>
        <v>-0.125053448422226</v>
      </c>
      <c r="Y25" s="75">
        <f t="shared" si="4"/>
        <v>0.218617545670668</v>
      </c>
      <c r="Z25" s="76">
        <f t="shared" si="5"/>
        <v>0.180841719764339</v>
      </c>
      <c r="AA25" s="22">
        <f t="shared" si="6"/>
        <v>0.0252867647058824</v>
      </c>
      <c r="AB25" s="76">
        <f t="shared" si="7"/>
        <v>0.0829219565692751</v>
      </c>
      <c r="AC25" s="77">
        <f t="shared" si="8"/>
        <v>0.0938634432337011</v>
      </c>
      <c r="AD25" s="77">
        <f t="shared" si="9"/>
        <v>0</v>
      </c>
      <c r="AE25" s="77">
        <f t="shared" si="10"/>
        <v>0.656764909780715</v>
      </c>
      <c r="AF25" s="78">
        <v>72725</v>
      </c>
      <c r="AG25" s="171">
        <f t="shared" si="11"/>
        <v>0.35972168667467</v>
      </c>
      <c r="AH25" s="84">
        <f t="shared" si="12"/>
        <v>26160.7596634153</v>
      </c>
      <c r="AI25" s="85">
        <f t="shared" si="13"/>
        <v>22177.2379634936</v>
      </c>
      <c r="AJ25" s="85">
        <f t="shared" si="14"/>
        <v>31271.75</v>
      </c>
      <c r="AK25" s="76">
        <f t="shared" si="15"/>
        <v>0.179622083979939</v>
      </c>
      <c r="AL25" s="76">
        <f t="shared" si="16"/>
        <v>-0.163437937965885</v>
      </c>
    </row>
    <row r="26" spans="1:38">
      <c r="A26" s="17">
        <v>22</v>
      </c>
      <c r="B26" s="18" t="s">
        <v>94</v>
      </c>
      <c r="C26" s="23" t="s">
        <v>95</v>
      </c>
      <c r="D26" s="20" t="s">
        <v>43</v>
      </c>
      <c r="E26" s="55">
        <v>0.021</v>
      </c>
      <c r="F26" s="55">
        <v>0.02247</v>
      </c>
      <c r="G26" s="21">
        <v>15.3097</v>
      </c>
      <c r="H26" s="56">
        <v>0.95</v>
      </c>
      <c r="I26" s="21">
        <f t="shared" si="17"/>
        <v>0.362114693684211</v>
      </c>
      <c r="J26" s="20" t="s">
        <v>65</v>
      </c>
      <c r="K26" s="21">
        <v>48</v>
      </c>
      <c r="L26" s="61">
        <v>75</v>
      </c>
      <c r="M26" s="20">
        <v>2</v>
      </c>
      <c r="N26" s="20">
        <v>48.5</v>
      </c>
      <c r="O26" s="20">
        <v>0.76</v>
      </c>
      <c r="P26" s="20">
        <v>22.5</v>
      </c>
      <c r="Q26" s="21">
        <f t="shared" si="18"/>
        <v>0.234375</v>
      </c>
      <c r="R26" s="21">
        <v>0</v>
      </c>
      <c r="S26" s="31">
        <v>0.084415</v>
      </c>
      <c r="T26" s="31">
        <v>0.2</v>
      </c>
      <c r="U26" s="20">
        <v>0</v>
      </c>
      <c r="V26" s="21">
        <f t="shared" si="19"/>
        <v>1.20567861577839</v>
      </c>
      <c r="W26" s="20">
        <v>1.26</v>
      </c>
      <c r="X26" s="62">
        <f t="shared" si="3"/>
        <v>-0.0543213842216099</v>
      </c>
      <c r="Y26" s="75">
        <f t="shared" si="4"/>
        <v>0.165881684706566</v>
      </c>
      <c r="Z26" s="76">
        <f t="shared" si="5"/>
        <v>0.194392599265507</v>
      </c>
      <c r="AA26" s="22">
        <f t="shared" si="6"/>
        <v>0.191979166666667</v>
      </c>
      <c r="AB26" s="76">
        <f t="shared" si="7"/>
        <v>0.159229137976147</v>
      </c>
      <c r="AC26" s="77">
        <f t="shared" si="8"/>
        <v>0.0700145120725239</v>
      </c>
      <c r="AD26" s="77">
        <f t="shared" si="9"/>
        <v>0</v>
      </c>
      <c r="AE26" s="77">
        <f t="shared" si="10"/>
        <v>0.699659022773305</v>
      </c>
      <c r="AF26" s="78">
        <v>25399</v>
      </c>
      <c r="AG26" s="171">
        <f t="shared" si="11"/>
        <v>1.44636910999077</v>
      </c>
      <c r="AH26" s="84">
        <f t="shared" si="12"/>
        <v>36736.3290246555</v>
      </c>
      <c r="AI26" s="85">
        <f t="shared" si="13"/>
        <v>30623.0311621553</v>
      </c>
      <c r="AJ26" s="85">
        <f t="shared" si="14"/>
        <v>32002.74</v>
      </c>
      <c r="AK26" s="76">
        <f t="shared" si="15"/>
        <v>0.199630723364025</v>
      </c>
      <c r="AL26" s="76">
        <f t="shared" si="16"/>
        <v>0.147911992056164</v>
      </c>
    </row>
    <row r="27" spans="1:38">
      <c r="A27" s="17">
        <v>23</v>
      </c>
      <c r="B27" s="18" t="s">
        <v>96</v>
      </c>
      <c r="C27" s="23" t="s">
        <v>97</v>
      </c>
      <c r="D27" s="20" t="s">
        <v>43</v>
      </c>
      <c r="E27" s="55">
        <v>0</v>
      </c>
      <c r="F27" s="55">
        <v>0.0021</v>
      </c>
      <c r="G27" s="21">
        <v>15.3097</v>
      </c>
      <c r="H27" s="56">
        <v>0.96</v>
      </c>
      <c r="I27" s="21">
        <f t="shared" si="17"/>
        <v>0.03348996875</v>
      </c>
      <c r="J27" s="20" t="s">
        <v>81</v>
      </c>
      <c r="K27" s="21">
        <v>65</v>
      </c>
      <c r="L27" s="61">
        <v>55.3846153846154</v>
      </c>
      <c r="M27" s="20">
        <v>1</v>
      </c>
      <c r="N27" s="20">
        <v>39.75</v>
      </c>
      <c r="O27" s="20">
        <v>0.76</v>
      </c>
      <c r="P27" s="20">
        <v>22.5</v>
      </c>
      <c r="Q27" s="21">
        <f t="shared" si="18"/>
        <v>0.346153846153846</v>
      </c>
      <c r="R27" s="21">
        <v>0</v>
      </c>
      <c r="S27" s="31">
        <v>0.00715583333333333</v>
      </c>
      <c r="T27" s="31">
        <v>0.0166666666666667</v>
      </c>
      <c r="U27" s="20">
        <v>0</v>
      </c>
      <c r="V27" s="21">
        <f t="shared" si="19"/>
        <v>0.731480372521034</v>
      </c>
      <c r="W27" s="20">
        <v>0.26</v>
      </c>
      <c r="X27" s="62">
        <f t="shared" si="3"/>
        <v>0.471480372521034</v>
      </c>
      <c r="Y27" s="75">
        <f t="shared" si="4"/>
        <v>0.0227848446694822</v>
      </c>
      <c r="Z27" s="76">
        <f t="shared" si="5"/>
        <v>0.473223696981551</v>
      </c>
      <c r="AA27" s="22">
        <f t="shared" si="6"/>
        <v>0.232384615384615</v>
      </c>
      <c r="AB27" s="76">
        <f t="shared" si="7"/>
        <v>0.317690841906948</v>
      </c>
      <c r="AC27" s="77">
        <f t="shared" si="8"/>
        <v>0.00978267305884214</v>
      </c>
      <c r="AD27" s="77">
        <f t="shared" si="9"/>
        <v>0</v>
      </c>
      <c r="AE27" s="77">
        <f t="shared" si="10"/>
        <v>0.954216175842726</v>
      </c>
      <c r="AF27" s="78">
        <v>78132</v>
      </c>
      <c r="AG27" s="171">
        <f t="shared" si="11"/>
        <v>0.916363960837339</v>
      </c>
      <c r="AH27" s="84">
        <f t="shared" si="12"/>
        <v>71597.348988143</v>
      </c>
      <c r="AI27" s="85">
        <f t="shared" si="13"/>
        <v>57152.0244658134</v>
      </c>
      <c r="AJ27" s="85">
        <f t="shared" si="14"/>
        <v>20314.32</v>
      </c>
      <c r="AK27" s="76">
        <f t="shared" si="15"/>
        <v>0.25275263050341</v>
      </c>
      <c r="AL27" s="76">
        <f t="shared" si="16"/>
        <v>2.5244767724513</v>
      </c>
    </row>
    <row r="28" spans="1:38">
      <c r="A28" s="17">
        <v>24</v>
      </c>
      <c r="B28" s="18" t="s">
        <v>98</v>
      </c>
      <c r="C28" s="23" t="s">
        <v>99</v>
      </c>
      <c r="D28" s="20" t="s">
        <v>43</v>
      </c>
      <c r="E28" s="55">
        <v>0</v>
      </c>
      <c r="F28" s="55">
        <v>0.00155</v>
      </c>
      <c r="G28" s="21">
        <v>15.3097</v>
      </c>
      <c r="H28" s="56">
        <v>0.96</v>
      </c>
      <c r="I28" s="21">
        <f t="shared" si="17"/>
        <v>0.0247187864583333</v>
      </c>
      <c r="J28" s="20" t="s">
        <v>81</v>
      </c>
      <c r="K28" s="21">
        <v>65</v>
      </c>
      <c r="L28" s="61">
        <v>55.3846153846154</v>
      </c>
      <c r="M28" s="20">
        <v>1</v>
      </c>
      <c r="N28" s="20">
        <v>39.75</v>
      </c>
      <c r="O28" s="20">
        <v>0.76</v>
      </c>
      <c r="P28" s="20">
        <v>22.5</v>
      </c>
      <c r="Q28" s="21">
        <f t="shared" si="18"/>
        <v>0.346153846153846</v>
      </c>
      <c r="R28" s="21">
        <v>0</v>
      </c>
      <c r="S28" s="31">
        <v>0.00715583333333333</v>
      </c>
      <c r="T28" s="31">
        <v>0.0166666666666667</v>
      </c>
      <c r="U28" s="20">
        <v>0</v>
      </c>
      <c r="V28" s="21">
        <f t="shared" si="19"/>
        <v>0.721338692996294</v>
      </c>
      <c r="W28" s="20">
        <v>0.23</v>
      </c>
      <c r="X28" s="62">
        <f t="shared" si="3"/>
        <v>0.491338692996294</v>
      </c>
      <c r="Y28" s="75">
        <f t="shared" si="4"/>
        <v>0.0231051887670641</v>
      </c>
      <c r="Z28" s="76">
        <f t="shared" si="5"/>
        <v>0.479876997469792</v>
      </c>
      <c r="AA28" s="22">
        <f t="shared" si="6"/>
        <v>0.232384615384615</v>
      </c>
      <c r="AB28" s="76">
        <f t="shared" si="7"/>
        <v>0.322157424301387</v>
      </c>
      <c r="AC28" s="77">
        <f t="shared" si="8"/>
        <v>0.00992021279713896</v>
      </c>
      <c r="AD28" s="77">
        <f t="shared" si="9"/>
        <v>0</v>
      </c>
      <c r="AE28" s="77">
        <f t="shared" si="10"/>
        <v>0.965732066367248</v>
      </c>
      <c r="AF28" s="78">
        <v>78202</v>
      </c>
      <c r="AG28" s="171">
        <f t="shared" si="11"/>
        <v>0.903572653328659</v>
      </c>
      <c r="AH28" s="84">
        <f t="shared" si="12"/>
        <v>70661.1886356078</v>
      </c>
      <c r="AI28" s="85">
        <f t="shared" si="13"/>
        <v>56410.1284696962</v>
      </c>
      <c r="AJ28" s="85">
        <f t="shared" si="14"/>
        <v>17986.46</v>
      </c>
      <c r="AK28" s="76">
        <f t="shared" si="15"/>
        <v>0.252633003194938</v>
      </c>
      <c r="AL28" s="76">
        <f t="shared" si="16"/>
        <v>2.92857675360287</v>
      </c>
    </row>
    <row r="29" spans="1:38">
      <c r="A29" s="17">
        <v>25</v>
      </c>
      <c r="B29" s="18" t="s">
        <v>100</v>
      </c>
      <c r="C29" s="23" t="s">
        <v>101</v>
      </c>
      <c r="D29" s="20" t="s">
        <v>43</v>
      </c>
      <c r="E29" s="55">
        <v>0</v>
      </c>
      <c r="F29" s="55">
        <v>0.00235</v>
      </c>
      <c r="G29" s="21">
        <v>15.3097</v>
      </c>
      <c r="H29" s="56">
        <v>0.96</v>
      </c>
      <c r="I29" s="21">
        <f t="shared" si="17"/>
        <v>0.0374768697916667</v>
      </c>
      <c r="J29" s="20" t="s">
        <v>81</v>
      </c>
      <c r="K29" s="21">
        <v>65</v>
      </c>
      <c r="L29" s="61">
        <v>55.3846153846154</v>
      </c>
      <c r="M29" s="20">
        <v>1</v>
      </c>
      <c r="N29" s="20">
        <v>39.75</v>
      </c>
      <c r="O29" s="20">
        <v>0.76</v>
      </c>
      <c r="P29" s="20">
        <v>22.5</v>
      </c>
      <c r="Q29" s="21">
        <f t="shared" si="18"/>
        <v>0.346153846153846</v>
      </c>
      <c r="R29" s="21">
        <v>0</v>
      </c>
      <c r="S29" s="31">
        <v>0.00715583333333333</v>
      </c>
      <c r="T29" s="31">
        <v>0.0166666666666667</v>
      </c>
      <c r="U29" s="20">
        <v>0</v>
      </c>
      <c r="V29" s="21">
        <f t="shared" si="19"/>
        <v>0.736090226850461</v>
      </c>
      <c r="W29" s="20">
        <v>0.26</v>
      </c>
      <c r="X29" s="62">
        <f t="shared" si="3"/>
        <v>0.476090226850461</v>
      </c>
      <c r="Y29" s="75">
        <f t="shared" si="4"/>
        <v>0.0226421518160607</v>
      </c>
      <c r="Z29" s="76">
        <f t="shared" si="5"/>
        <v>0.470260076179721</v>
      </c>
      <c r="AA29" s="22">
        <f t="shared" si="6"/>
        <v>0.232384615384615</v>
      </c>
      <c r="AB29" s="76">
        <f t="shared" si="7"/>
        <v>0.315701264475319</v>
      </c>
      <c r="AC29" s="77">
        <f t="shared" si="8"/>
        <v>0.00972140788222564</v>
      </c>
      <c r="AD29" s="77">
        <f t="shared" si="9"/>
        <v>0</v>
      </c>
      <c r="AE29" s="77">
        <f t="shared" si="10"/>
        <v>0.949086581475181</v>
      </c>
      <c r="AF29" s="78">
        <v>77246</v>
      </c>
      <c r="AG29" s="171">
        <f t="shared" si="11"/>
        <v>0.922178191523104</v>
      </c>
      <c r="AH29" s="84">
        <f t="shared" si="12"/>
        <v>71234.5765823937</v>
      </c>
      <c r="AI29" s="85">
        <f t="shared" si="13"/>
        <v>56860.0256632907</v>
      </c>
      <c r="AJ29" s="85">
        <f t="shared" si="14"/>
        <v>20083.96</v>
      </c>
      <c r="AK29" s="76">
        <f t="shared" si="15"/>
        <v>0.252805916835582</v>
      </c>
      <c r="AL29" s="76">
        <f t="shared" si="16"/>
        <v>2.54683919816578</v>
      </c>
    </row>
    <row r="30" spans="1:38">
      <c r="A30" s="17">
        <v>26</v>
      </c>
      <c r="B30" s="18" t="s">
        <v>102</v>
      </c>
      <c r="C30" s="19" t="s">
        <v>103</v>
      </c>
      <c r="D30" s="20" t="s">
        <v>86</v>
      </c>
      <c r="E30" s="55">
        <v>0.026</v>
      </c>
      <c r="F30" s="55">
        <v>0.0273</v>
      </c>
      <c r="G30" s="21">
        <v>13.7168</v>
      </c>
      <c r="H30" s="56">
        <v>0.98</v>
      </c>
      <c r="I30" s="21">
        <f t="shared" si="17"/>
        <v>0.382110857142857</v>
      </c>
      <c r="J30" s="20" t="s">
        <v>44</v>
      </c>
      <c r="K30" s="21">
        <v>60</v>
      </c>
      <c r="L30" s="61">
        <v>60</v>
      </c>
      <c r="M30" s="20">
        <v>2</v>
      </c>
      <c r="N30" s="20">
        <v>27.15</v>
      </c>
      <c r="O30" s="20">
        <v>0.76</v>
      </c>
      <c r="P30" s="20">
        <v>22.5</v>
      </c>
      <c r="Q30" s="21">
        <f t="shared" si="18"/>
        <v>0.1875</v>
      </c>
      <c r="R30" s="21">
        <v>0</v>
      </c>
      <c r="S30" s="31">
        <v>0.0293483333333333</v>
      </c>
      <c r="T30" s="31">
        <v>0.0666666666666667</v>
      </c>
      <c r="U30" s="20">
        <v>0</v>
      </c>
      <c r="V30" s="21">
        <f t="shared" si="19"/>
        <v>0.838566327988338</v>
      </c>
      <c r="W30" s="20">
        <v>1.76</v>
      </c>
      <c r="X30" s="62">
        <f t="shared" si="3"/>
        <v>-0.921433672011662</v>
      </c>
      <c r="Y30" s="75">
        <f t="shared" si="4"/>
        <v>0.0795007674903849</v>
      </c>
      <c r="Z30" s="76">
        <f t="shared" si="5"/>
        <v>0.223595908566707</v>
      </c>
      <c r="AA30" s="22">
        <f t="shared" si="6"/>
        <v>0.085975</v>
      </c>
      <c r="AB30" s="76">
        <f t="shared" si="7"/>
        <v>0.102526177274788</v>
      </c>
      <c r="AC30" s="77">
        <f t="shared" si="8"/>
        <v>0.0349982253684546</v>
      </c>
      <c r="AD30" s="77">
        <f t="shared" si="9"/>
        <v>0</v>
      </c>
      <c r="AE30" s="77">
        <f t="shared" si="10"/>
        <v>0.544328403861011</v>
      </c>
      <c r="AF30" s="78">
        <v>2385</v>
      </c>
      <c r="AG30" s="171">
        <f t="shared" si="11"/>
        <v>1.0325662244898</v>
      </c>
      <c r="AH30" s="84">
        <f t="shared" si="12"/>
        <v>2462.67044540816</v>
      </c>
      <c r="AI30" s="85">
        <f t="shared" si="13"/>
        <v>1999.98069225219</v>
      </c>
      <c r="AJ30" s="85">
        <f t="shared" si="14"/>
        <v>4197.6</v>
      </c>
      <c r="AK30" s="76">
        <f t="shared" si="15"/>
        <v>0.231347109973817</v>
      </c>
      <c r="AL30" s="76">
        <f t="shared" si="16"/>
        <v>-0.413314645176252</v>
      </c>
    </row>
    <row r="31" spans="1:38">
      <c r="A31" s="17">
        <v>27</v>
      </c>
      <c r="B31" s="18" t="s">
        <v>104</v>
      </c>
      <c r="C31" s="19" t="s">
        <v>105</v>
      </c>
      <c r="D31" s="20" t="s">
        <v>86</v>
      </c>
      <c r="E31" s="55">
        <v>0.001</v>
      </c>
      <c r="F31" s="55">
        <v>0.00105</v>
      </c>
      <c r="G31" s="21">
        <v>13.7168</v>
      </c>
      <c r="H31" s="56">
        <v>0.98</v>
      </c>
      <c r="I31" s="21">
        <f t="shared" si="17"/>
        <v>0.0146965714285714</v>
      </c>
      <c r="J31" s="20" t="s">
        <v>44</v>
      </c>
      <c r="K31" s="21">
        <v>60</v>
      </c>
      <c r="L31" s="61">
        <v>60</v>
      </c>
      <c r="M31" s="20">
        <v>2</v>
      </c>
      <c r="N31" s="20">
        <v>27.15</v>
      </c>
      <c r="O31" s="20">
        <v>0.76</v>
      </c>
      <c r="P31" s="20">
        <v>22.5</v>
      </c>
      <c r="Q31" s="21">
        <f t="shared" si="18"/>
        <v>0.1875</v>
      </c>
      <c r="R31" s="21">
        <v>0</v>
      </c>
      <c r="S31" s="31">
        <v>0.00477055555555556</v>
      </c>
      <c r="T31" s="31">
        <v>0.0111111111111111</v>
      </c>
      <c r="U31" s="20">
        <v>0</v>
      </c>
      <c r="V31" s="21">
        <f t="shared" si="19"/>
        <v>0.34228007920311</v>
      </c>
      <c r="W31" s="20">
        <v>0.08</v>
      </c>
      <c r="X31" s="62">
        <f t="shared" si="3"/>
        <v>0.26228007920311</v>
      </c>
      <c r="Y31" s="75">
        <f t="shared" si="4"/>
        <v>0.0324620443497027</v>
      </c>
      <c r="Z31" s="76">
        <f t="shared" si="5"/>
        <v>0.547796998401233</v>
      </c>
      <c r="AA31" s="22">
        <f t="shared" si="6"/>
        <v>0.085975</v>
      </c>
      <c r="AB31" s="76">
        <f t="shared" si="7"/>
        <v>0.251183183666912</v>
      </c>
      <c r="AC31" s="77">
        <f t="shared" si="8"/>
        <v>0.0139375787415449</v>
      </c>
      <c r="AD31" s="77">
        <f t="shared" si="9"/>
        <v>0</v>
      </c>
      <c r="AE31" s="77">
        <f t="shared" si="10"/>
        <v>0.957062732184743</v>
      </c>
      <c r="AF31" s="78">
        <v>1200</v>
      </c>
      <c r="AG31" s="171">
        <f t="shared" si="11"/>
        <v>0.427555340136054</v>
      </c>
      <c r="AH31" s="84">
        <f t="shared" si="12"/>
        <v>513.066408163265</v>
      </c>
      <c r="AI31" s="85">
        <f t="shared" si="13"/>
        <v>410.736095043732</v>
      </c>
      <c r="AJ31" s="85">
        <f t="shared" si="14"/>
        <v>96</v>
      </c>
      <c r="AK31" s="76">
        <f t="shared" si="15"/>
        <v>0.249138837210394</v>
      </c>
      <c r="AL31" s="76">
        <f t="shared" si="16"/>
        <v>4.34444175170068</v>
      </c>
    </row>
    <row r="32" spans="1:38">
      <c r="A32" s="17">
        <v>28</v>
      </c>
      <c r="B32" s="18" t="s">
        <v>106</v>
      </c>
      <c r="C32" s="19" t="s">
        <v>107</v>
      </c>
      <c r="D32" s="20" t="s">
        <v>43</v>
      </c>
      <c r="E32" s="55">
        <v>0.009</v>
      </c>
      <c r="F32" s="55">
        <v>0.00972</v>
      </c>
      <c r="G32" s="21">
        <v>15.3097</v>
      </c>
      <c r="H32" s="56">
        <v>0.9</v>
      </c>
      <c r="I32" s="21">
        <f t="shared" si="17"/>
        <v>0.16534476</v>
      </c>
      <c r="J32" s="20" t="s">
        <v>47</v>
      </c>
      <c r="K32" s="21">
        <v>60</v>
      </c>
      <c r="L32" s="61">
        <v>60</v>
      </c>
      <c r="M32" s="20">
        <v>2</v>
      </c>
      <c r="N32" s="20">
        <v>21.2</v>
      </c>
      <c r="O32" s="20">
        <v>0.76</v>
      </c>
      <c r="P32" s="20">
        <v>22.5</v>
      </c>
      <c r="Q32" s="21">
        <f t="shared" si="18"/>
        <v>0.1875</v>
      </c>
      <c r="R32" s="21">
        <v>0</v>
      </c>
      <c r="S32" s="31">
        <v>0.00702483333333333</v>
      </c>
      <c r="T32" s="31">
        <v>0.0166666666666667</v>
      </c>
      <c r="U32" s="20">
        <v>0</v>
      </c>
      <c r="V32" s="21">
        <f t="shared" si="19"/>
        <v>0.541664481777778</v>
      </c>
      <c r="W32" s="20">
        <v>1.35</v>
      </c>
      <c r="X32" s="62">
        <f t="shared" si="3"/>
        <v>-0.808335518222222</v>
      </c>
      <c r="Y32" s="75">
        <f t="shared" si="4"/>
        <v>0.030769354881763</v>
      </c>
      <c r="Z32" s="76">
        <f t="shared" si="5"/>
        <v>0.346155242419833</v>
      </c>
      <c r="AA32" s="22">
        <f t="shared" si="6"/>
        <v>0.0671333333333333</v>
      </c>
      <c r="AB32" s="76">
        <f t="shared" si="7"/>
        <v>0.123938961463741</v>
      </c>
      <c r="AC32" s="77">
        <f t="shared" si="8"/>
        <v>0.0129689753891143</v>
      </c>
      <c r="AD32" s="77">
        <f t="shared" si="9"/>
        <v>0</v>
      </c>
      <c r="AE32" s="77">
        <f t="shared" si="10"/>
        <v>0.694746904103205</v>
      </c>
      <c r="AF32" s="78">
        <v>1000</v>
      </c>
      <c r="AG32" s="171">
        <f t="shared" si="11"/>
        <v>0.676990756296296</v>
      </c>
      <c r="AH32" s="84">
        <f t="shared" si="12"/>
        <v>676.990756296296</v>
      </c>
      <c r="AI32" s="85">
        <f t="shared" si="13"/>
        <v>541.664481777778</v>
      </c>
      <c r="AJ32" s="85">
        <f t="shared" si="14"/>
        <v>1350</v>
      </c>
      <c r="AK32" s="76">
        <f t="shared" si="15"/>
        <v>0.24983412992923</v>
      </c>
      <c r="AL32" s="76">
        <f t="shared" si="16"/>
        <v>-0.498525365706447</v>
      </c>
    </row>
    <row r="33" spans="1:38">
      <c r="A33" s="17">
        <v>29</v>
      </c>
      <c r="B33" s="18" t="s">
        <v>108</v>
      </c>
      <c r="C33" s="19" t="s">
        <v>109</v>
      </c>
      <c r="D33" s="20" t="s">
        <v>43</v>
      </c>
      <c r="E33" s="55">
        <v>0.002</v>
      </c>
      <c r="F33" s="55">
        <v>0.00214</v>
      </c>
      <c r="G33" s="21">
        <v>15.3097</v>
      </c>
      <c r="H33" s="56">
        <v>0.98</v>
      </c>
      <c r="I33" s="21">
        <f t="shared" si="17"/>
        <v>0.0334313857142857</v>
      </c>
      <c r="J33" s="20" t="s">
        <v>44</v>
      </c>
      <c r="K33" s="21">
        <v>65.4545454545455</v>
      </c>
      <c r="L33" s="61">
        <v>55</v>
      </c>
      <c r="M33" s="20">
        <v>4</v>
      </c>
      <c r="N33" s="20">
        <v>27.15</v>
      </c>
      <c r="O33" s="20">
        <v>0.76</v>
      </c>
      <c r="P33" s="20">
        <v>22.5</v>
      </c>
      <c r="Q33" s="21">
        <f t="shared" si="18"/>
        <v>0.0859374999999999</v>
      </c>
      <c r="R33" s="21">
        <v>0</v>
      </c>
      <c r="S33" s="31">
        <v>0.00702483333333333</v>
      </c>
      <c r="T33" s="31">
        <v>0.0166666666666667</v>
      </c>
      <c r="U33" s="20">
        <v>0</v>
      </c>
      <c r="V33" s="21">
        <f t="shared" si="19"/>
        <v>0.203527463666181</v>
      </c>
      <c r="W33" s="20">
        <v>0.19</v>
      </c>
      <c r="X33" s="62">
        <f t="shared" si="3"/>
        <v>0.013527463666181</v>
      </c>
      <c r="Y33" s="75">
        <f t="shared" si="4"/>
        <v>0.0818890304357294</v>
      </c>
      <c r="Z33" s="76">
        <f t="shared" si="5"/>
        <v>0.422240313184228</v>
      </c>
      <c r="AA33" s="22">
        <f t="shared" si="6"/>
        <v>0.0394052083333333</v>
      </c>
      <c r="AB33" s="76">
        <f t="shared" si="7"/>
        <v>0.193611258272075</v>
      </c>
      <c r="AC33" s="77">
        <f t="shared" si="8"/>
        <v>0.0345154074383555</v>
      </c>
      <c r="AD33" s="77">
        <f t="shared" si="9"/>
        <v>0</v>
      </c>
      <c r="AE33" s="77">
        <f t="shared" si="10"/>
        <v>0.835740174264055</v>
      </c>
      <c r="AF33" s="78"/>
      <c r="AG33" s="171">
        <f t="shared" si="11"/>
        <v>0.250511634353741</v>
      </c>
      <c r="AH33" s="84">
        <f t="shared" si="12"/>
        <v>0</v>
      </c>
      <c r="AI33" s="85">
        <f t="shared" si="13"/>
        <v>0</v>
      </c>
      <c r="AJ33" s="85">
        <f t="shared" si="14"/>
        <v>0</v>
      </c>
      <c r="AK33" s="76">
        <f t="shared" si="15"/>
        <v>0.230849291005868</v>
      </c>
      <c r="AL33" s="76">
        <f t="shared" si="16"/>
        <v>0.318482286072323</v>
      </c>
    </row>
    <row r="34" spans="1:38">
      <c r="A34" s="17">
        <v>30</v>
      </c>
      <c r="B34" s="18" t="s">
        <v>110</v>
      </c>
      <c r="C34" s="19" t="s">
        <v>111</v>
      </c>
      <c r="D34" s="20" t="s">
        <v>43</v>
      </c>
      <c r="E34" s="55">
        <v>0.003</v>
      </c>
      <c r="F34" s="55">
        <v>0.00321</v>
      </c>
      <c r="G34" s="21">
        <v>15.3097</v>
      </c>
      <c r="H34" s="56">
        <v>0.98</v>
      </c>
      <c r="I34" s="21">
        <f t="shared" si="17"/>
        <v>0.0501470785714286</v>
      </c>
      <c r="J34" s="20" t="s">
        <v>44</v>
      </c>
      <c r="K34" s="21">
        <v>65.4545454545455</v>
      </c>
      <c r="L34" s="61">
        <v>55</v>
      </c>
      <c r="M34" s="20">
        <v>4</v>
      </c>
      <c r="N34" s="20">
        <v>27.15</v>
      </c>
      <c r="O34" s="20">
        <v>0.76</v>
      </c>
      <c r="P34" s="20">
        <v>22.5</v>
      </c>
      <c r="Q34" s="21">
        <f t="shared" si="18"/>
        <v>0.0859374999999999</v>
      </c>
      <c r="R34" s="21">
        <v>0</v>
      </c>
      <c r="S34" s="31">
        <v>0.00702483333333333</v>
      </c>
      <c r="T34" s="31">
        <v>0.0166666666666667</v>
      </c>
      <c r="U34" s="20">
        <v>0</v>
      </c>
      <c r="V34" s="21">
        <f t="shared" si="19"/>
        <v>0.222460544351312</v>
      </c>
      <c r="W34" s="20">
        <v>0.2</v>
      </c>
      <c r="X34" s="62">
        <f t="shared" si="3"/>
        <v>0.022460544351312</v>
      </c>
      <c r="Y34" s="75">
        <f t="shared" si="4"/>
        <v>0.0749196524501285</v>
      </c>
      <c r="Z34" s="76">
        <f t="shared" si="5"/>
        <v>0.386304457945974</v>
      </c>
      <c r="AA34" s="22">
        <f t="shared" si="6"/>
        <v>0.0394052083333333</v>
      </c>
      <c r="AB34" s="76">
        <f t="shared" si="7"/>
        <v>0.177133470783494</v>
      </c>
      <c r="AC34" s="77">
        <f t="shared" si="8"/>
        <v>0.0315778843112046</v>
      </c>
      <c r="AD34" s="77">
        <f t="shared" si="9"/>
        <v>0</v>
      </c>
      <c r="AE34" s="77">
        <f t="shared" si="10"/>
        <v>0.774579898122357</v>
      </c>
      <c r="AF34" s="78"/>
      <c r="AG34" s="171">
        <f t="shared" si="11"/>
        <v>0.274391195578231</v>
      </c>
      <c r="AH34" s="84">
        <f t="shared" si="12"/>
        <v>0</v>
      </c>
      <c r="AI34" s="85">
        <f t="shared" si="13"/>
        <v>0</v>
      </c>
      <c r="AJ34" s="85">
        <f t="shared" si="14"/>
        <v>0</v>
      </c>
      <c r="AK34" s="76">
        <f t="shared" si="15"/>
        <v>0.233437580485777</v>
      </c>
      <c r="AL34" s="76">
        <f t="shared" si="16"/>
        <v>0.371955977891156</v>
      </c>
    </row>
    <row r="35" spans="1:38">
      <c r="A35" s="17">
        <v>31</v>
      </c>
      <c r="B35" s="18" t="s">
        <v>112</v>
      </c>
      <c r="C35" s="19" t="s">
        <v>113</v>
      </c>
      <c r="D35" s="20" t="s">
        <v>43</v>
      </c>
      <c r="E35" s="55">
        <v>0.002</v>
      </c>
      <c r="F35" s="55">
        <v>0.00214</v>
      </c>
      <c r="G35" s="21">
        <v>15.3097</v>
      </c>
      <c r="H35" s="56">
        <v>0.98</v>
      </c>
      <c r="I35" s="21">
        <f t="shared" si="17"/>
        <v>0.0334313857142857</v>
      </c>
      <c r="J35" s="20" t="s">
        <v>44</v>
      </c>
      <c r="K35" s="21">
        <v>65.4545454545455</v>
      </c>
      <c r="L35" s="61">
        <v>55</v>
      </c>
      <c r="M35" s="20">
        <v>4</v>
      </c>
      <c r="N35" s="20">
        <v>27.15</v>
      </c>
      <c r="O35" s="20">
        <v>0.76</v>
      </c>
      <c r="P35" s="20">
        <v>22.5</v>
      </c>
      <c r="Q35" s="21">
        <f t="shared" si="18"/>
        <v>0.0859374999999999</v>
      </c>
      <c r="R35" s="21">
        <v>0</v>
      </c>
      <c r="S35" s="31">
        <v>0.00702483333333333</v>
      </c>
      <c r="T35" s="31">
        <v>0.0166666666666667</v>
      </c>
      <c r="U35" s="20">
        <v>0</v>
      </c>
      <c r="V35" s="21">
        <f t="shared" si="19"/>
        <v>0.203527463666181</v>
      </c>
      <c r="W35" s="20">
        <v>0.19</v>
      </c>
      <c r="X35" s="62">
        <f t="shared" si="3"/>
        <v>0.013527463666181</v>
      </c>
      <c r="Y35" s="75">
        <f t="shared" si="4"/>
        <v>0.0818890304357294</v>
      </c>
      <c r="Z35" s="76">
        <f t="shared" si="5"/>
        <v>0.422240313184228</v>
      </c>
      <c r="AA35" s="22">
        <f t="shared" si="6"/>
        <v>0.0394052083333333</v>
      </c>
      <c r="AB35" s="76">
        <f t="shared" si="7"/>
        <v>0.193611258272075</v>
      </c>
      <c r="AC35" s="77">
        <f t="shared" si="8"/>
        <v>0.0345154074383555</v>
      </c>
      <c r="AD35" s="77">
        <f t="shared" si="9"/>
        <v>0</v>
      </c>
      <c r="AE35" s="77">
        <f t="shared" si="10"/>
        <v>0.835740174264055</v>
      </c>
      <c r="AF35" s="78"/>
      <c r="AG35" s="171">
        <f t="shared" si="11"/>
        <v>0.250511634353741</v>
      </c>
      <c r="AH35" s="84">
        <f t="shared" si="12"/>
        <v>0</v>
      </c>
      <c r="AI35" s="85">
        <f t="shared" si="13"/>
        <v>0</v>
      </c>
      <c r="AJ35" s="85">
        <f t="shared" si="14"/>
        <v>0</v>
      </c>
      <c r="AK35" s="76">
        <f t="shared" si="15"/>
        <v>0.230849291005868</v>
      </c>
      <c r="AL35" s="76">
        <f t="shared" si="16"/>
        <v>0.318482286072323</v>
      </c>
    </row>
    <row r="36" spans="1:38">
      <c r="A36" s="17">
        <v>32</v>
      </c>
      <c r="B36" s="18" t="s">
        <v>114</v>
      </c>
      <c r="C36" s="19" t="s">
        <v>115</v>
      </c>
      <c r="D36" s="20" t="s">
        <v>43</v>
      </c>
      <c r="E36" s="55">
        <v>0.001</v>
      </c>
      <c r="F36" s="55">
        <v>0.00107</v>
      </c>
      <c r="G36" s="21">
        <v>15.3097</v>
      </c>
      <c r="H36" s="56">
        <v>0.98</v>
      </c>
      <c r="I36" s="21">
        <f t="shared" si="17"/>
        <v>0.0167156928571429</v>
      </c>
      <c r="J36" s="20" t="s">
        <v>44</v>
      </c>
      <c r="K36" s="21">
        <v>65.4545454545455</v>
      </c>
      <c r="L36" s="61">
        <v>55</v>
      </c>
      <c r="M36" s="20">
        <v>4</v>
      </c>
      <c r="N36" s="20">
        <v>27.15</v>
      </c>
      <c r="O36" s="20">
        <v>0.76</v>
      </c>
      <c r="P36" s="20">
        <v>22.5</v>
      </c>
      <c r="Q36" s="21">
        <f t="shared" si="18"/>
        <v>0.0859374999999999</v>
      </c>
      <c r="R36" s="21">
        <v>0</v>
      </c>
      <c r="S36" s="31">
        <v>0.00702483333333333</v>
      </c>
      <c r="T36" s="31">
        <v>0.0166666666666667</v>
      </c>
      <c r="U36" s="20">
        <v>0</v>
      </c>
      <c r="V36" s="21">
        <f t="shared" si="19"/>
        <v>0.18459438298105</v>
      </c>
      <c r="W36" s="20">
        <v>0.17</v>
      </c>
      <c r="X36" s="62">
        <f t="shared" si="3"/>
        <v>0.01459438298105</v>
      </c>
      <c r="Y36" s="75">
        <f t="shared" si="4"/>
        <v>0.0902880488426219</v>
      </c>
      <c r="Z36" s="76">
        <f t="shared" si="5"/>
        <v>0.465547751844768</v>
      </c>
      <c r="AA36" s="22">
        <f t="shared" si="6"/>
        <v>0.0394052083333333</v>
      </c>
      <c r="AB36" s="76">
        <f t="shared" si="7"/>
        <v>0.213469162479221</v>
      </c>
      <c r="AC36" s="77">
        <f t="shared" si="8"/>
        <v>0.0380555097066766</v>
      </c>
      <c r="AD36" s="77">
        <f t="shared" si="9"/>
        <v>0</v>
      </c>
      <c r="AE36" s="77">
        <f t="shared" si="10"/>
        <v>0.909446362412561</v>
      </c>
      <c r="AF36" s="78"/>
      <c r="AG36" s="171">
        <f t="shared" si="11"/>
        <v>0.226632073129252</v>
      </c>
      <c r="AH36" s="84">
        <f t="shared" si="12"/>
        <v>0</v>
      </c>
      <c r="AI36" s="85">
        <f t="shared" si="13"/>
        <v>0</v>
      </c>
      <c r="AJ36" s="85">
        <f t="shared" si="14"/>
        <v>0</v>
      </c>
      <c r="AK36" s="76">
        <f t="shared" si="15"/>
        <v>0.22773006127991</v>
      </c>
      <c r="AL36" s="76">
        <f t="shared" si="16"/>
        <v>0.333129841936774</v>
      </c>
    </row>
    <row r="37" spans="1:38">
      <c r="A37" s="17">
        <v>33</v>
      </c>
      <c r="B37" s="18" t="s">
        <v>116</v>
      </c>
      <c r="C37" s="23" t="s">
        <v>117</v>
      </c>
      <c r="D37" s="20" t="s">
        <v>43</v>
      </c>
      <c r="E37" s="55">
        <v>0.002</v>
      </c>
      <c r="F37" s="55">
        <v>0.00214</v>
      </c>
      <c r="G37" s="21">
        <v>15.3097</v>
      </c>
      <c r="H37" s="56">
        <v>0.98</v>
      </c>
      <c r="I37" s="21">
        <f t="shared" si="17"/>
        <v>0.0334313857142857</v>
      </c>
      <c r="J37" s="20" t="s">
        <v>47</v>
      </c>
      <c r="K37" s="21">
        <v>65.4545454545455</v>
      </c>
      <c r="L37" s="61">
        <v>55</v>
      </c>
      <c r="M37" s="20">
        <v>2</v>
      </c>
      <c r="N37" s="20">
        <v>21.2</v>
      </c>
      <c r="O37" s="20">
        <v>0.76</v>
      </c>
      <c r="P37" s="20">
        <v>22.5</v>
      </c>
      <c r="Q37" s="21">
        <f t="shared" si="18"/>
        <v>0.171875</v>
      </c>
      <c r="R37" s="21">
        <v>0</v>
      </c>
      <c r="S37" s="31">
        <v>0.00280675333333333</v>
      </c>
      <c r="T37" s="31">
        <v>0.00666666666666667</v>
      </c>
      <c r="U37" s="20">
        <v>0</v>
      </c>
      <c r="V37" s="21">
        <f t="shared" si="19"/>
        <v>0.311716537152575</v>
      </c>
      <c r="W37" s="20">
        <v>0.27</v>
      </c>
      <c r="X37" s="62">
        <f t="shared" si="3"/>
        <v>0.041716537152575</v>
      </c>
      <c r="Y37" s="75">
        <f t="shared" si="4"/>
        <v>0.0213869521571246</v>
      </c>
      <c r="Z37" s="76">
        <f t="shared" si="5"/>
        <v>0.551382360300868</v>
      </c>
      <c r="AA37" s="22">
        <f t="shared" si="6"/>
        <v>0.0615388888888888</v>
      </c>
      <c r="AB37" s="76">
        <f t="shared" si="7"/>
        <v>0.19741939087039</v>
      </c>
      <c r="AC37" s="77">
        <f t="shared" si="8"/>
        <v>0.00900418488852748</v>
      </c>
      <c r="AD37" s="77">
        <f t="shared" si="9"/>
        <v>0</v>
      </c>
      <c r="AE37" s="77">
        <f t="shared" si="10"/>
        <v>0.892750682977329</v>
      </c>
      <c r="AF37" s="78">
        <v>69020</v>
      </c>
      <c r="AG37" s="171">
        <f t="shared" si="11"/>
        <v>0.390680955147392</v>
      </c>
      <c r="AH37" s="84">
        <f t="shared" si="12"/>
        <v>26964.799524273</v>
      </c>
      <c r="AI37" s="85">
        <f t="shared" si="13"/>
        <v>21514.6753942707</v>
      </c>
      <c r="AJ37" s="85">
        <f t="shared" si="14"/>
        <v>18635.4</v>
      </c>
      <c r="AK37" s="76">
        <f t="shared" si="15"/>
        <v>0.253321234465551</v>
      </c>
      <c r="AL37" s="76">
        <f t="shared" si="16"/>
        <v>0.446966500545897</v>
      </c>
    </row>
    <row r="38" ht="28" spans="1:38">
      <c r="A38" s="17">
        <v>34</v>
      </c>
      <c r="B38" s="18" t="s">
        <v>118</v>
      </c>
      <c r="C38" s="19" t="s">
        <v>119</v>
      </c>
      <c r="D38" s="20" t="s">
        <v>59</v>
      </c>
      <c r="E38" s="55">
        <v>0</v>
      </c>
      <c r="F38" s="55">
        <v>0.0152125</v>
      </c>
      <c r="G38" s="21">
        <v>18.5841</v>
      </c>
      <c r="H38" s="56">
        <v>0.96</v>
      </c>
      <c r="I38" s="21">
        <f t="shared" si="17"/>
        <v>0.29449023046875</v>
      </c>
      <c r="J38" s="20" t="s">
        <v>120</v>
      </c>
      <c r="K38" s="21">
        <v>60</v>
      </c>
      <c r="L38" s="61">
        <v>60</v>
      </c>
      <c r="M38" s="20">
        <v>4</v>
      </c>
      <c r="N38" s="20">
        <v>39.75</v>
      </c>
      <c r="O38" s="20">
        <v>0.76</v>
      </c>
      <c r="P38" s="20">
        <v>22.5</v>
      </c>
      <c r="Q38" s="21">
        <f t="shared" si="18"/>
        <v>0.09375</v>
      </c>
      <c r="R38" s="21">
        <v>0</v>
      </c>
      <c r="S38" s="31">
        <v>0.021031</v>
      </c>
      <c r="T38" s="31">
        <v>0.05</v>
      </c>
      <c r="U38" s="20">
        <v>0</v>
      </c>
      <c r="V38" s="21">
        <f t="shared" si="19"/>
        <v>0.592705250854492</v>
      </c>
      <c r="W38" s="20">
        <v>0.75</v>
      </c>
      <c r="X38" s="62">
        <f t="shared" ref="X38:X69" si="20">V38-W38</f>
        <v>-0.157294749145508</v>
      </c>
      <c r="Y38" s="75">
        <f t="shared" ref="Y38:Y69" si="21">T38/V38</f>
        <v>0.0843589624487314</v>
      </c>
      <c r="Z38" s="76">
        <f t="shared" ref="Z38:Z69" si="22">Q38/V38</f>
        <v>0.158173054591371</v>
      </c>
      <c r="AA38" s="22">
        <f t="shared" ref="AA38:AA69" si="23">(N38*O38/K38/M38)/2</f>
        <v>0.0629375</v>
      </c>
      <c r="AB38" s="76">
        <f t="shared" ref="AB38:AB69" si="24">AA38/V38</f>
        <v>0.106186843982341</v>
      </c>
      <c r="AC38" s="77">
        <f t="shared" ref="AC38:AC69" si="25">S38/V38</f>
        <v>0.0354830667851854</v>
      </c>
      <c r="AD38" s="77">
        <f t="shared" ref="AD38:AD69" si="26">U38/V38</f>
        <v>0</v>
      </c>
      <c r="AE38" s="77">
        <f t="shared" ref="AE38:AE69" si="27">1-I38/V38</f>
        <v>0.503142194127369</v>
      </c>
      <c r="AF38" s="78">
        <v>29366</v>
      </c>
      <c r="AG38" s="171">
        <f t="shared" si="11"/>
        <v>0.72899852360026</v>
      </c>
      <c r="AH38" s="84">
        <f t="shared" ref="AH38:AH69" si="28">AG38*AF38</f>
        <v>21407.7706440452</v>
      </c>
      <c r="AI38" s="85">
        <f t="shared" ref="AI38:AI69" si="29">V38*AF38</f>
        <v>17405.382396593</v>
      </c>
      <c r="AJ38" s="85">
        <f t="shared" ref="AJ38:AJ69" si="30">W38*AF38</f>
        <v>22024.5</v>
      </c>
      <c r="AK38" s="76">
        <f t="shared" ref="AK38:AK69" si="31">(AG38-V38)/V38</f>
        <v>0.2299511815515</v>
      </c>
      <c r="AL38" s="76">
        <f t="shared" ref="AL38:AL69" si="32">(AG38-W38)/W38</f>
        <v>-0.0280019685329861</v>
      </c>
    </row>
    <row r="39" ht="28" spans="1:38">
      <c r="A39" s="17">
        <v>35</v>
      </c>
      <c r="B39" s="18" t="s">
        <v>121</v>
      </c>
      <c r="C39" s="19" t="s">
        <v>122</v>
      </c>
      <c r="D39" s="20" t="s">
        <v>59</v>
      </c>
      <c r="E39" s="55">
        <v>0.003</v>
      </c>
      <c r="F39" s="55">
        <v>0.0030333</v>
      </c>
      <c r="G39" s="21">
        <v>18.5841</v>
      </c>
      <c r="H39" s="56">
        <v>0.98</v>
      </c>
      <c r="I39" s="21">
        <f t="shared" si="17"/>
        <v>0.0575215821734694</v>
      </c>
      <c r="J39" s="20" t="s">
        <v>120</v>
      </c>
      <c r="K39" s="21">
        <v>65.4545454545455</v>
      </c>
      <c r="L39" s="61">
        <v>55</v>
      </c>
      <c r="M39" s="20">
        <v>3</v>
      </c>
      <c r="N39" s="20">
        <v>39.75</v>
      </c>
      <c r="O39" s="20">
        <v>0.76</v>
      </c>
      <c r="P39" s="20">
        <v>22.5</v>
      </c>
      <c r="Q39" s="21">
        <f t="shared" si="18"/>
        <v>0.114583333333333</v>
      </c>
      <c r="R39" s="21">
        <v>0</v>
      </c>
      <c r="S39" s="31">
        <v>0.00468322222222222</v>
      </c>
      <c r="T39" s="31">
        <v>0.0111111111111111</v>
      </c>
      <c r="U39" s="20">
        <v>0.2</v>
      </c>
      <c r="V39" s="21">
        <f t="shared" si="19"/>
        <v>0.497857256339338</v>
      </c>
      <c r="W39" s="20">
        <v>0.21</v>
      </c>
      <c r="X39" s="62">
        <f t="shared" si="20"/>
        <v>0.287857256339338</v>
      </c>
      <c r="Y39" s="75">
        <f t="shared" si="21"/>
        <v>0.0223178651503631</v>
      </c>
      <c r="Z39" s="76">
        <f t="shared" si="22"/>
        <v>0.230152984363119</v>
      </c>
      <c r="AA39" s="22">
        <f t="shared" si="23"/>
        <v>0.0769236111111111</v>
      </c>
      <c r="AB39" s="76">
        <f t="shared" si="24"/>
        <v>0.154509370169108</v>
      </c>
      <c r="AC39" s="77">
        <f t="shared" si="25"/>
        <v>0.00940675698222655</v>
      </c>
      <c r="AD39" s="77">
        <f t="shared" si="26"/>
        <v>0.401721572706536</v>
      </c>
      <c r="AE39" s="77">
        <f t="shared" si="27"/>
        <v>0.884461697723528</v>
      </c>
      <c r="AF39" s="78">
        <v>18895</v>
      </c>
      <c r="AG39" s="171">
        <f t="shared" si="11"/>
        <v>0.571549371358924</v>
      </c>
      <c r="AH39" s="84">
        <f t="shared" si="28"/>
        <v>10799.4253718269</v>
      </c>
      <c r="AI39" s="85">
        <f t="shared" si="29"/>
        <v>9407.01285853179</v>
      </c>
      <c r="AJ39" s="85">
        <f t="shared" si="30"/>
        <v>3967.95</v>
      </c>
      <c r="AK39" s="76">
        <f t="shared" si="31"/>
        <v>0.148018561708695</v>
      </c>
      <c r="AL39" s="76">
        <f t="shared" si="32"/>
        <v>1.72166367313773</v>
      </c>
    </row>
    <row r="40" ht="28" spans="1:38">
      <c r="A40" s="17">
        <v>36</v>
      </c>
      <c r="B40" s="18" t="s">
        <v>123</v>
      </c>
      <c r="C40" s="19" t="s">
        <v>124</v>
      </c>
      <c r="D40" s="20" t="s">
        <v>59</v>
      </c>
      <c r="E40" s="55">
        <v>0.003</v>
      </c>
      <c r="F40" s="55">
        <v>0.0030333</v>
      </c>
      <c r="G40" s="21">
        <v>18.5841</v>
      </c>
      <c r="H40" s="56">
        <v>0.98</v>
      </c>
      <c r="I40" s="21">
        <f t="shared" si="17"/>
        <v>0.0575215821734694</v>
      </c>
      <c r="J40" s="20" t="s">
        <v>120</v>
      </c>
      <c r="K40" s="21">
        <v>65.4545454545455</v>
      </c>
      <c r="L40" s="61">
        <v>55</v>
      </c>
      <c r="M40" s="20">
        <v>3</v>
      </c>
      <c r="N40" s="20">
        <v>39.75</v>
      </c>
      <c r="O40" s="20">
        <v>0.76</v>
      </c>
      <c r="P40" s="20">
        <v>22.5</v>
      </c>
      <c r="Q40" s="21">
        <f t="shared" si="18"/>
        <v>0.114583333333333</v>
      </c>
      <c r="R40" s="21">
        <v>0</v>
      </c>
      <c r="S40" s="31">
        <v>0.00468322222222222</v>
      </c>
      <c r="T40" s="31">
        <v>0.0111111111111111</v>
      </c>
      <c r="U40" s="20">
        <v>0.2</v>
      </c>
      <c r="V40" s="21">
        <f t="shared" si="19"/>
        <v>0.497857256339338</v>
      </c>
      <c r="W40" s="20">
        <v>0.21</v>
      </c>
      <c r="X40" s="62">
        <f t="shared" si="20"/>
        <v>0.287857256339338</v>
      </c>
      <c r="Y40" s="75">
        <f t="shared" si="21"/>
        <v>0.0223178651503631</v>
      </c>
      <c r="Z40" s="76">
        <f t="shared" si="22"/>
        <v>0.230152984363119</v>
      </c>
      <c r="AA40" s="22">
        <f t="shared" si="23"/>
        <v>0.0769236111111111</v>
      </c>
      <c r="AB40" s="76">
        <f t="shared" si="24"/>
        <v>0.154509370169108</v>
      </c>
      <c r="AC40" s="77">
        <f t="shared" si="25"/>
        <v>0.00940675698222655</v>
      </c>
      <c r="AD40" s="77">
        <f t="shared" si="26"/>
        <v>0.401721572706536</v>
      </c>
      <c r="AE40" s="77">
        <f t="shared" si="27"/>
        <v>0.884461697723528</v>
      </c>
      <c r="AF40" s="78">
        <v>21830</v>
      </c>
      <c r="AG40" s="171">
        <f t="shared" si="11"/>
        <v>0.571549371358924</v>
      </c>
      <c r="AH40" s="84">
        <f t="shared" si="28"/>
        <v>12476.9227767653</v>
      </c>
      <c r="AI40" s="85">
        <f t="shared" si="29"/>
        <v>10868.2239058877</v>
      </c>
      <c r="AJ40" s="85">
        <f t="shared" si="30"/>
        <v>4584.3</v>
      </c>
      <c r="AK40" s="76">
        <f t="shared" si="31"/>
        <v>0.148018561708695</v>
      </c>
      <c r="AL40" s="76">
        <f t="shared" si="32"/>
        <v>1.72166367313773</v>
      </c>
    </row>
    <row r="41" ht="28" spans="1:38">
      <c r="A41" s="17">
        <v>37</v>
      </c>
      <c r="B41" s="18" t="s">
        <v>125</v>
      </c>
      <c r="C41" s="19" t="s">
        <v>126</v>
      </c>
      <c r="D41" s="20" t="s">
        <v>59</v>
      </c>
      <c r="E41" s="55">
        <v>0.003</v>
      </c>
      <c r="F41" s="55">
        <v>0.0030333</v>
      </c>
      <c r="G41" s="21">
        <v>18.5841</v>
      </c>
      <c r="H41" s="56">
        <v>0.98</v>
      </c>
      <c r="I41" s="21">
        <f t="shared" si="17"/>
        <v>0.0575215821734694</v>
      </c>
      <c r="J41" s="20" t="s">
        <v>120</v>
      </c>
      <c r="K41" s="21">
        <v>65.4545454545455</v>
      </c>
      <c r="L41" s="61">
        <v>55</v>
      </c>
      <c r="M41" s="20">
        <v>3</v>
      </c>
      <c r="N41" s="20">
        <v>39.75</v>
      </c>
      <c r="O41" s="20">
        <v>0.76</v>
      </c>
      <c r="P41" s="20">
        <v>22.5</v>
      </c>
      <c r="Q41" s="21">
        <f t="shared" si="18"/>
        <v>0.114583333333333</v>
      </c>
      <c r="R41" s="21">
        <v>0</v>
      </c>
      <c r="S41" s="31">
        <v>0.00468322222222222</v>
      </c>
      <c r="T41" s="31">
        <v>0.0111111111111111</v>
      </c>
      <c r="U41" s="20">
        <v>0.2</v>
      </c>
      <c r="V41" s="21">
        <f t="shared" si="19"/>
        <v>0.497857256339338</v>
      </c>
      <c r="W41" s="20">
        <v>0.21</v>
      </c>
      <c r="X41" s="62">
        <f t="shared" si="20"/>
        <v>0.287857256339338</v>
      </c>
      <c r="Y41" s="75">
        <f t="shared" si="21"/>
        <v>0.0223178651503631</v>
      </c>
      <c r="Z41" s="76">
        <f t="shared" si="22"/>
        <v>0.230152984363119</v>
      </c>
      <c r="AA41" s="22">
        <f t="shared" si="23"/>
        <v>0.0769236111111111</v>
      </c>
      <c r="AB41" s="76">
        <f t="shared" si="24"/>
        <v>0.154509370169108</v>
      </c>
      <c r="AC41" s="77">
        <f t="shared" si="25"/>
        <v>0.00940675698222655</v>
      </c>
      <c r="AD41" s="77">
        <f t="shared" si="26"/>
        <v>0.401721572706536</v>
      </c>
      <c r="AE41" s="77">
        <f t="shared" si="27"/>
        <v>0.884461697723528</v>
      </c>
      <c r="AF41" s="78">
        <v>3440</v>
      </c>
      <c r="AG41" s="171">
        <f t="shared" si="11"/>
        <v>0.571549371358924</v>
      </c>
      <c r="AH41" s="84">
        <f t="shared" si="28"/>
        <v>1966.1298374747</v>
      </c>
      <c r="AI41" s="85">
        <f t="shared" si="29"/>
        <v>1712.62896180732</v>
      </c>
      <c r="AJ41" s="85">
        <f t="shared" si="30"/>
        <v>722.4</v>
      </c>
      <c r="AK41" s="76">
        <f t="shared" si="31"/>
        <v>0.148018561708695</v>
      </c>
      <c r="AL41" s="76">
        <f t="shared" si="32"/>
        <v>1.72166367313773</v>
      </c>
    </row>
    <row r="42" ht="28" spans="1:38">
      <c r="A42" s="17">
        <v>38</v>
      </c>
      <c r="B42" s="18" t="s">
        <v>127</v>
      </c>
      <c r="C42" s="19" t="s">
        <v>128</v>
      </c>
      <c r="D42" s="20" t="s">
        <v>86</v>
      </c>
      <c r="E42" s="55">
        <v>0.006</v>
      </c>
      <c r="F42" s="55">
        <v>0.0063</v>
      </c>
      <c r="G42" s="21">
        <v>13.7168</v>
      </c>
      <c r="H42" s="56">
        <v>0.98</v>
      </c>
      <c r="I42" s="21">
        <f t="shared" si="17"/>
        <v>0.0881794285714286</v>
      </c>
      <c r="J42" s="20" t="s">
        <v>47</v>
      </c>
      <c r="K42" s="21">
        <v>55.3846153846154</v>
      </c>
      <c r="L42" s="61">
        <v>65</v>
      </c>
      <c r="M42" s="20">
        <v>8</v>
      </c>
      <c r="N42" s="20">
        <v>21.2</v>
      </c>
      <c r="O42" s="20">
        <v>0.76</v>
      </c>
      <c r="P42" s="20">
        <v>22.5</v>
      </c>
      <c r="Q42" s="21">
        <f t="shared" si="18"/>
        <v>0.05078125</v>
      </c>
      <c r="R42" s="21">
        <v>0</v>
      </c>
      <c r="S42" s="31">
        <v>0.00468322222222222</v>
      </c>
      <c r="T42" s="31">
        <v>0.0111111111111111</v>
      </c>
      <c r="U42" s="20">
        <v>0</v>
      </c>
      <c r="V42" s="21">
        <f t="shared" si="19"/>
        <v>0.193782406341108</v>
      </c>
      <c r="W42" s="20">
        <v>0.28</v>
      </c>
      <c r="X42" s="62">
        <f t="shared" si="20"/>
        <v>-0.0862175936588922</v>
      </c>
      <c r="Y42" s="75">
        <f t="shared" si="21"/>
        <v>0.0573380799676552</v>
      </c>
      <c r="Z42" s="76">
        <f t="shared" si="22"/>
        <v>0.262052943602174</v>
      </c>
      <c r="AA42" s="22">
        <f t="shared" si="23"/>
        <v>0.0181819444444444</v>
      </c>
      <c r="AB42" s="76">
        <f t="shared" si="24"/>
        <v>0.0938266006070718</v>
      </c>
      <c r="AC42" s="77">
        <f t="shared" si="25"/>
        <v>0.024167427325567</v>
      </c>
      <c r="AD42" s="77">
        <f t="shared" si="26"/>
        <v>0</v>
      </c>
      <c r="AE42" s="77">
        <f t="shared" si="27"/>
        <v>0.544956478576236</v>
      </c>
      <c r="AF42" s="78">
        <v>13700</v>
      </c>
      <c r="AG42" s="171">
        <f t="shared" si="11"/>
        <v>0.240283794784581</v>
      </c>
      <c r="AH42" s="84">
        <f t="shared" si="28"/>
        <v>3291.88798854875</v>
      </c>
      <c r="AI42" s="85">
        <f t="shared" si="29"/>
        <v>2654.81896687318</v>
      </c>
      <c r="AJ42" s="85">
        <f t="shared" si="30"/>
        <v>3836</v>
      </c>
      <c r="AK42" s="76">
        <f t="shared" si="31"/>
        <v>0.239967029626094</v>
      </c>
      <c r="AL42" s="76">
        <f t="shared" si="32"/>
        <v>-0.14184359005507</v>
      </c>
    </row>
    <row r="43" spans="1:38">
      <c r="A43" s="17">
        <v>39</v>
      </c>
      <c r="B43" s="18" t="s">
        <v>129</v>
      </c>
      <c r="C43" s="23" t="s">
        <v>130</v>
      </c>
      <c r="D43" s="20" t="s">
        <v>43</v>
      </c>
      <c r="E43" s="55">
        <v>0.012</v>
      </c>
      <c r="F43" s="55">
        <v>0.01296</v>
      </c>
      <c r="G43" s="21">
        <v>15.3097</v>
      </c>
      <c r="H43" s="56">
        <v>0.94</v>
      </c>
      <c r="I43" s="21">
        <f t="shared" ref="I43:I65" si="33">F43*G43/H43</f>
        <v>0.211078417021277</v>
      </c>
      <c r="J43" s="20" t="s">
        <v>44</v>
      </c>
      <c r="K43" s="21">
        <v>51.4285714285715</v>
      </c>
      <c r="L43" s="61">
        <v>69.9999999999999</v>
      </c>
      <c r="M43" s="20">
        <v>2</v>
      </c>
      <c r="N43" s="20">
        <v>27.15</v>
      </c>
      <c r="O43" s="20">
        <v>0.76</v>
      </c>
      <c r="P43" s="20">
        <v>22.5</v>
      </c>
      <c r="Q43" s="21">
        <f t="shared" ref="Q43:Q65" si="34">P43/K43/M43</f>
        <v>0.21875</v>
      </c>
      <c r="R43" s="21">
        <v>0</v>
      </c>
      <c r="S43" s="31">
        <v>0.022338</v>
      </c>
      <c r="T43" s="31">
        <v>0.05</v>
      </c>
      <c r="U43" s="20">
        <v>0</v>
      </c>
      <c r="V43" s="21">
        <f t="shared" ref="V43:V65" si="35">(I43+Q43+(N43*O43/K43/M43)/2)/H43*1.11+R43*1.03+S43+T43+U43</f>
        <v>0.698345625418741</v>
      </c>
      <c r="W43" s="20">
        <v>1.33</v>
      </c>
      <c r="X43" s="62">
        <f t="shared" si="20"/>
        <v>-0.631654374581259</v>
      </c>
      <c r="Y43" s="75">
        <f t="shared" si="21"/>
        <v>0.0715977850795859</v>
      </c>
      <c r="Z43" s="76">
        <f t="shared" si="22"/>
        <v>0.313240309723188</v>
      </c>
      <c r="AA43" s="22">
        <f t="shared" si="23"/>
        <v>0.100304166666667</v>
      </c>
      <c r="AB43" s="76">
        <f t="shared" si="24"/>
        <v>0.143631123351739</v>
      </c>
      <c r="AC43" s="77">
        <f t="shared" si="25"/>
        <v>0.0319870264621558</v>
      </c>
      <c r="AD43" s="77">
        <f t="shared" si="26"/>
        <v>0</v>
      </c>
      <c r="AE43" s="77">
        <f t="shared" si="27"/>
        <v>0.697745057263428</v>
      </c>
      <c r="AF43" s="78">
        <v>1050</v>
      </c>
      <c r="AG43" s="171">
        <f t="shared" si="11"/>
        <v>0.86189716719481</v>
      </c>
      <c r="AH43" s="84">
        <f t="shared" si="28"/>
        <v>904.99202555455</v>
      </c>
      <c r="AI43" s="85">
        <f t="shared" si="29"/>
        <v>733.262906689678</v>
      </c>
      <c r="AJ43" s="85">
        <f t="shared" si="30"/>
        <v>1396.5</v>
      </c>
      <c r="AK43" s="76">
        <f t="shared" si="31"/>
        <v>0.234198562750357</v>
      </c>
      <c r="AL43" s="76">
        <f t="shared" si="32"/>
        <v>-0.35195701714676</v>
      </c>
    </row>
    <row r="44" spans="1:38">
      <c r="A44" s="17">
        <v>40</v>
      </c>
      <c r="B44" s="18" t="s">
        <v>131</v>
      </c>
      <c r="C44" s="23" t="s">
        <v>132</v>
      </c>
      <c r="D44" s="20" t="s">
        <v>86</v>
      </c>
      <c r="E44" s="55">
        <v>0</v>
      </c>
      <c r="F44" s="55">
        <v>0.0848</v>
      </c>
      <c r="G44" s="21">
        <v>13.7168</v>
      </c>
      <c r="H44" s="56">
        <v>0.95</v>
      </c>
      <c r="I44" s="21">
        <f t="shared" si="33"/>
        <v>1.22440488421053</v>
      </c>
      <c r="J44" s="20" t="s">
        <v>87</v>
      </c>
      <c r="K44" s="21">
        <v>34.2857142857143</v>
      </c>
      <c r="L44" s="61">
        <v>105</v>
      </c>
      <c r="M44" s="20">
        <v>2</v>
      </c>
      <c r="N44" s="20">
        <v>75.9</v>
      </c>
      <c r="O44" s="20">
        <v>0.76</v>
      </c>
      <c r="P44" s="20">
        <v>22.5</v>
      </c>
      <c r="Q44" s="21">
        <f t="shared" si="34"/>
        <v>0.328125</v>
      </c>
      <c r="R44" s="21">
        <v>0</v>
      </c>
      <c r="S44" s="31">
        <v>0.0560826666666667</v>
      </c>
      <c r="T44" s="31">
        <v>0.133333333333333</v>
      </c>
      <c r="U44" s="20">
        <v>0</v>
      </c>
      <c r="V44" s="21">
        <f t="shared" si="35"/>
        <v>2.49487710155125</v>
      </c>
      <c r="W44" s="20">
        <v>3.65</v>
      </c>
      <c r="X44" s="62">
        <f t="shared" si="20"/>
        <v>-1.15512289844875</v>
      </c>
      <c r="Y44" s="75">
        <f t="shared" si="21"/>
        <v>0.0534428462429792</v>
      </c>
      <c r="Z44" s="76">
        <f t="shared" si="22"/>
        <v>0.131519504426082</v>
      </c>
      <c r="AA44" s="22">
        <f t="shared" si="23"/>
        <v>0.4206125</v>
      </c>
      <c r="AB44" s="76">
        <f t="shared" si="24"/>
        <v>0.168590468740313</v>
      </c>
      <c r="AC44" s="77">
        <f t="shared" si="25"/>
        <v>0.022479129986722</v>
      </c>
      <c r="AD44" s="77">
        <f t="shared" si="26"/>
        <v>0</v>
      </c>
      <c r="AE44" s="77">
        <f t="shared" si="27"/>
        <v>0.509232385254878</v>
      </c>
      <c r="AF44" s="78">
        <v>8451</v>
      </c>
      <c r="AG44" s="171">
        <f t="shared" si="11"/>
        <v>3.09720477673131</v>
      </c>
      <c r="AH44" s="84">
        <f t="shared" si="28"/>
        <v>26174.4775681563</v>
      </c>
      <c r="AI44" s="85">
        <f t="shared" si="29"/>
        <v>21084.2063852096</v>
      </c>
      <c r="AJ44" s="85">
        <f t="shared" si="30"/>
        <v>30846.15</v>
      </c>
      <c r="AK44" s="76">
        <f t="shared" si="31"/>
        <v>0.241425789994042</v>
      </c>
      <c r="AL44" s="76">
        <f t="shared" si="32"/>
        <v>-0.151450746101012</v>
      </c>
    </row>
    <row r="45" spans="1:38">
      <c r="A45" s="17">
        <v>41</v>
      </c>
      <c r="B45" s="18" t="s">
        <v>133</v>
      </c>
      <c r="C45" s="23" t="s">
        <v>134</v>
      </c>
      <c r="D45" s="20" t="s">
        <v>86</v>
      </c>
      <c r="E45" s="55">
        <v>0</v>
      </c>
      <c r="F45" s="55">
        <v>0.23956</v>
      </c>
      <c r="G45" s="21">
        <v>13.7168</v>
      </c>
      <c r="H45" s="56">
        <v>0.95</v>
      </c>
      <c r="I45" s="21">
        <f t="shared" si="33"/>
        <v>3.45894379789474</v>
      </c>
      <c r="J45" s="20" t="s">
        <v>87</v>
      </c>
      <c r="K45" s="21">
        <v>34.2857142857143</v>
      </c>
      <c r="L45" s="61">
        <v>105</v>
      </c>
      <c r="M45" s="20">
        <v>2</v>
      </c>
      <c r="N45" s="20">
        <v>75.9</v>
      </c>
      <c r="O45" s="20">
        <v>0.76</v>
      </c>
      <c r="P45" s="20">
        <v>22.5</v>
      </c>
      <c r="Q45" s="21">
        <f t="shared" si="34"/>
        <v>0.328125</v>
      </c>
      <c r="R45" s="21">
        <v>0</v>
      </c>
      <c r="S45" s="31">
        <v>0.084124</v>
      </c>
      <c r="T45" s="31">
        <v>0.2</v>
      </c>
      <c r="U45" s="20">
        <v>0</v>
      </c>
      <c r="V45" s="21">
        <f t="shared" si="35"/>
        <v>5.20046741122438</v>
      </c>
      <c r="W45" s="20">
        <v>8.87</v>
      </c>
      <c r="X45" s="62">
        <f t="shared" si="20"/>
        <v>-3.66953258877562</v>
      </c>
      <c r="Y45" s="75">
        <f t="shared" si="21"/>
        <v>0.0384580815886533</v>
      </c>
      <c r="Z45" s="76">
        <f t="shared" si="22"/>
        <v>0.0630952901063844</v>
      </c>
      <c r="AA45" s="22">
        <f t="shared" si="23"/>
        <v>0.4206125</v>
      </c>
      <c r="AB45" s="76">
        <f t="shared" si="24"/>
        <v>0.0808797492110372</v>
      </c>
      <c r="AC45" s="77">
        <f t="shared" si="25"/>
        <v>0.0161762382778194</v>
      </c>
      <c r="AD45" s="77">
        <f t="shared" si="26"/>
        <v>0</v>
      </c>
      <c r="AE45" s="77">
        <f t="shared" si="27"/>
        <v>0.334878286049988</v>
      </c>
      <c r="AF45" s="78">
        <v>3710</v>
      </c>
      <c r="AG45" s="171">
        <f t="shared" si="11"/>
        <v>6.48491749163435</v>
      </c>
      <c r="AH45" s="84">
        <f t="shared" si="28"/>
        <v>24059.0438939635</v>
      </c>
      <c r="AI45" s="85">
        <f t="shared" si="29"/>
        <v>19293.7340956424</v>
      </c>
      <c r="AJ45" s="85">
        <f t="shared" si="30"/>
        <v>32907.7</v>
      </c>
      <c r="AK45" s="76">
        <f t="shared" si="31"/>
        <v>0.246987429944796</v>
      </c>
      <c r="AL45" s="76">
        <f t="shared" si="32"/>
        <v>-0.268893180199058</v>
      </c>
    </row>
    <row r="46" ht="28" spans="1:38">
      <c r="A46" s="17">
        <v>42</v>
      </c>
      <c r="B46" s="18" t="s">
        <v>135</v>
      </c>
      <c r="C46" s="19" t="s">
        <v>136</v>
      </c>
      <c r="D46" s="20" t="s">
        <v>86</v>
      </c>
      <c r="E46" s="55">
        <v>0.085</v>
      </c>
      <c r="F46" s="55">
        <v>0.08925</v>
      </c>
      <c r="G46" s="21">
        <v>13.7168</v>
      </c>
      <c r="H46" s="56">
        <v>0.95</v>
      </c>
      <c r="I46" s="21">
        <f t="shared" si="33"/>
        <v>1.28865726315789</v>
      </c>
      <c r="J46" s="20" t="s">
        <v>87</v>
      </c>
      <c r="K46" s="21">
        <v>48</v>
      </c>
      <c r="L46" s="61">
        <v>75</v>
      </c>
      <c r="M46" s="20">
        <v>2</v>
      </c>
      <c r="N46" s="20">
        <v>75.9</v>
      </c>
      <c r="O46" s="20">
        <v>0.76</v>
      </c>
      <c r="P46" s="20">
        <v>22.5</v>
      </c>
      <c r="Q46" s="21">
        <f t="shared" si="34"/>
        <v>0.234375</v>
      </c>
      <c r="R46" s="21">
        <v>0</v>
      </c>
      <c r="S46" s="31">
        <v>0.0947811111111111</v>
      </c>
      <c r="T46" s="31">
        <v>0.222222222222222</v>
      </c>
      <c r="U46" s="20">
        <v>0.3</v>
      </c>
      <c r="V46" s="21">
        <f t="shared" si="35"/>
        <v>2.74758379344414</v>
      </c>
      <c r="W46" s="20">
        <v>3.45</v>
      </c>
      <c r="X46" s="62">
        <f t="shared" si="20"/>
        <v>-0.702416206555864</v>
      </c>
      <c r="Y46" s="75">
        <f t="shared" si="21"/>
        <v>0.0808791428863623</v>
      </c>
      <c r="Z46" s="76">
        <f t="shared" si="22"/>
        <v>0.0853022210129603</v>
      </c>
      <c r="AA46" s="22">
        <f t="shared" si="23"/>
        <v>0.3004375</v>
      </c>
      <c r="AB46" s="76">
        <f t="shared" si="24"/>
        <v>0.109346073709147</v>
      </c>
      <c r="AC46" s="77">
        <f t="shared" si="25"/>
        <v>0.0344961676281769</v>
      </c>
      <c r="AD46" s="77">
        <f t="shared" si="26"/>
        <v>0.109186842896589</v>
      </c>
      <c r="AE46" s="77">
        <f t="shared" si="27"/>
        <v>0.530985272866769</v>
      </c>
      <c r="AF46" s="78">
        <v>4296</v>
      </c>
      <c r="AG46" s="171">
        <f t="shared" si="11"/>
        <v>3.30422193167128</v>
      </c>
      <c r="AH46" s="84">
        <f t="shared" si="28"/>
        <v>14194.9374184598</v>
      </c>
      <c r="AI46" s="85">
        <f t="shared" si="29"/>
        <v>11803.619976636</v>
      </c>
      <c r="AJ46" s="85">
        <f t="shared" si="30"/>
        <v>14821.2</v>
      </c>
      <c r="AK46" s="76">
        <f t="shared" si="31"/>
        <v>0.202591869829521</v>
      </c>
      <c r="AL46" s="76">
        <f t="shared" si="32"/>
        <v>-0.0422545125590504</v>
      </c>
    </row>
    <row r="47" ht="28" spans="1:38">
      <c r="A47" s="17">
        <v>43</v>
      </c>
      <c r="B47" s="18" t="s">
        <v>137</v>
      </c>
      <c r="C47" s="19" t="s">
        <v>138</v>
      </c>
      <c r="D47" s="20" t="s">
        <v>86</v>
      </c>
      <c r="E47" s="55">
        <v>0.085</v>
      </c>
      <c r="F47" s="55">
        <v>0.08925</v>
      </c>
      <c r="G47" s="21">
        <v>13.7168</v>
      </c>
      <c r="H47" s="56">
        <v>0.95</v>
      </c>
      <c r="I47" s="21">
        <f t="shared" si="33"/>
        <v>1.28865726315789</v>
      </c>
      <c r="J47" s="20" t="s">
        <v>87</v>
      </c>
      <c r="K47" s="21">
        <v>48</v>
      </c>
      <c r="L47" s="61">
        <v>75</v>
      </c>
      <c r="M47" s="20">
        <v>2</v>
      </c>
      <c r="N47" s="20">
        <v>75.9</v>
      </c>
      <c r="O47" s="20">
        <v>0.76</v>
      </c>
      <c r="P47" s="20">
        <v>22.5</v>
      </c>
      <c r="Q47" s="21">
        <f t="shared" si="34"/>
        <v>0.234375</v>
      </c>
      <c r="R47" s="21">
        <v>0</v>
      </c>
      <c r="S47" s="31">
        <v>0.0947811111111111</v>
      </c>
      <c r="T47" s="31">
        <v>0.222222222222222</v>
      </c>
      <c r="U47" s="20">
        <v>0</v>
      </c>
      <c r="V47" s="21">
        <f t="shared" si="35"/>
        <v>2.44758379344414</v>
      </c>
      <c r="W47" s="20">
        <v>3.45</v>
      </c>
      <c r="X47" s="62">
        <f t="shared" si="20"/>
        <v>-1.00241620655586</v>
      </c>
      <c r="Y47" s="75">
        <f t="shared" si="21"/>
        <v>0.090792488011011</v>
      </c>
      <c r="Z47" s="76">
        <f t="shared" si="22"/>
        <v>0.0957577021991133</v>
      </c>
      <c r="AA47" s="22">
        <f t="shared" si="23"/>
        <v>0.3004375</v>
      </c>
      <c r="AB47" s="76">
        <f t="shared" si="24"/>
        <v>0.122748606525637</v>
      </c>
      <c r="AC47" s="77">
        <f t="shared" si="25"/>
        <v>0.0387243580240164</v>
      </c>
      <c r="AD47" s="77">
        <f t="shared" si="26"/>
        <v>0</v>
      </c>
      <c r="AE47" s="77">
        <f t="shared" si="27"/>
        <v>0.473498203979957</v>
      </c>
      <c r="AF47" s="78">
        <v>6550</v>
      </c>
      <c r="AG47" s="171">
        <f t="shared" si="11"/>
        <v>3.00422193167128</v>
      </c>
      <c r="AH47" s="84">
        <f t="shared" si="28"/>
        <v>19677.6536524469</v>
      </c>
      <c r="AI47" s="85">
        <f t="shared" si="29"/>
        <v>16031.6738470591</v>
      </c>
      <c r="AJ47" s="85">
        <f t="shared" si="30"/>
        <v>22597.5</v>
      </c>
      <c r="AK47" s="76">
        <f t="shared" si="31"/>
        <v>0.227423526711565</v>
      </c>
      <c r="AL47" s="76">
        <f t="shared" si="32"/>
        <v>-0.129211034298181</v>
      </c>
    </row>
    <row r="48" ht="15" customHeight="1" spans="1:38">
      <c r="A48" s="17">
        <v>44</v>
      </c>
      <c r="B48" s="18" t="s">
        <v>139</v>
      </c>
      <c r="C48" s="19" t="s">
        <v>140</v>
      </c>
      <c r="D48" s="20" t="s">
        <v>86</v>
      </c>
      <c r="E48" s="55">
        <v>0.035</v>
      </c>
      <c r="F48" s="55">
        <v>0.03675</v>
      </c>
      <c r="G48" s="21">
        <v>13.7168</v>
      </c>
      <c r="H48" s="56">
        <v>0.93</v>
      </c>
      <c r="I48" s="21">
        <f t="shared" si="33"/>
        <v>0.542034838709677</v>
      </c>
      <c r="J48" s="20" t="s">
        <v>120</v>
      </c>
      <c r="K48" s="21">
        <v>51.4285714285715</v>
      </c>
      <c r="L48" s="61">
        <v>69.9999999999999</v>
      </c>
      <c r="M48" s="20">
        <v>2</v>
      </c>
      <c r="N48" s="20">
        <v>39.75</v>
      </c>
      <c r="O48" s="20">
        <v>0.76</v>
      </c>
      <c r="P48" s="20">
        <v>22.5</v>
      </c>
      <c r="Q48" s="21">
        <f t="shared" si="34"/>
        <v>0.21875</v>
      </c>
      <c r="R48" s="21">
        <v>0</v>
      </c>
      <c r="S48" s="31">
        <v>0.0140496666666667</v>
      </c>
      <c r="T48" s="31">
        <v>0.0333333333333333</v>
      </c>
      <c r="U48" s="20">
        <v>0</v>
      </c>
      <c r="V48" s="21">
        <f t="shared" si="35"/>
        <v>1.13069407093306</v>
      </c>
      <c r="W48" s="20">
        <v>1.56</v>
      </c>
      <c r="X48" s="62">
        <f t="shared" si="20"/>
        <v>-0.429305929066945</v>
      </c>
      <c r="Y48" s="75">
        <f t="shared" si="21"/>
        <v>0.0294804175508113</v>
      </c>
      <c r="Z48" s="76">
        <f t="shared" si="22"/>
        <v>0.1934652401772</v>
      </c>
      <c r="AA48" s="22">
        <f t="shared" si="23"/>
        <v>0.146854166666666</v>
      </c>
      <c r="AB48" s="76">
        <f t="shared" si="24"/>
        <v>0.129879664572293</v>
      </c>
      <c r="AC48" s="77">
        <f t="shared" si="25"/>
        <v>0.0124257011934915</v>
      </c>
      <c r="AD48" s="77">
        <f t="shared" si="26"/>
        <v>0</v>
      </c>
      <c r="AE48" s="77">
        <f t="shared" si="27"/>
        <v>0.520617598832561</v>
      </c>
      <c r="AF48" s="78">
        <v>7368</v>
      </c>
      <c r="AG48" s="171">
        <f t="shared" si="11"/>
        <v>1.41372128766331</v>
      </c>
      <c r="AH48" s="84">
        <f t="shared" si="28"/>
        <v>10416.2984475033</v>
      </c>
      <c r="AI48" s="85">
        <f t="shared" si="29"/>
        <v>8330.95391463479</v>
      </c>
      <c r="AJ48" s="85">
        <f t="shared" si="30"/>
        <v>11494.08</v>
      </c>
      <c r="AK48" s="76">
        <f t="shared" si="31"/>
        <v>0.250312815823555</v>
      </c>
      <c r="AL48" s="76">
        <f t="shared" si="32"/>
        <v>-0.0937684053440305</v>
      </c>
    </row>
    <row r="49" spans="1:38">
      <c r="A49" s="17">
        <v>45</v>
      </c>
      <c r="B49" s="18" t="s">
        <v>141</v>
      </c>
      <c r="C49" s="19" t="s">
        <v>142</v>
      </c>
      <c r="D49" s="20" t="s">
        <v>143</v>
      </c>
      <c r="E49" s="55">
        <v>0</v>
      </c>
      <c r="F49" s="55">
        <v>0.0176</v>
      </c>
      <c r="G49" s="21">
        <v>60.177</v>
      </c>
      <c r="H49" s="56">
        <v>0.65</v>
      </c>
      <c r="I49" s="21">
        <f t="shared" si="33"/>
        <v>1.629408</v>
      </c>
      <c r="J49" s="20" t="s">
        <v>65</v>
      </c>
      <c r="K49" s="21">
        <v>65</v>
      </c>
      <c r="L49" s="61">
        <v>55.3846153846154</v>
      </c>
      <c r="M49" s="20">
        <v>4</v>
      </c>
      <c r="N49" s="20">
        <v>48.5</v>
      </c>
      <c r="O49" s="20">
        <v>0.76</v>
      </c>
      <c r="P49" s="20">
        <v>22.5</v>
      </c>
      <c r="Q49" s="21">
        <f t="shared" si="34"/>
        <v>0.0865384615384615</v>
      </c>
      <c r="R49" s="21">
        <v>0</v>
      </c>
      <c r="S49" s="31">
        <v>0.022338</v>
      </c>
      <c r="T49" s="31">
        <v>0.05</v>
      </c>
      <c r="U49" s="20">
        <v>0</v>
      </c>
      <c r="V49" s="21">
        <f t="shared" si="35"/>
        <v>3.1236956852071</v>
      </c>
      <c r="W49" s="20">
        <v>2.87</v>
      </c>
      <c r="X49" s="62">
        <f t="shared" si="20"/>
        <v>0.2536956852071</v>
      </c>
      <c r="Y49" s="75">
        <f t="shared" si="21"/>
        <v>0.0160066808802103</v>
      </c>
      <c r="Z49" s="76">
        <f t="shared" si="22"/>
        <v>0.0277038707542102</v>
      </c>
      <c r="AA49" s="22">
        <f t="shared" si="23"/>
        <v>0.0708846153846154</v>
      </c>
      <c r="AB49" s="76">
        <f t="shared" si="24"/>
        <v>0.0226925483555597</v>
      </c>
      <c r="AC49" s="77">
        <f t="shared" si="25"/>
        <v>0.00715114475004277</v>
      </c>
      <c r="AD49" s="77">
        <f t="shared" si="26"/>
        <v>0</v>
      </c>
      <c r="AE49" s="77">
        <f t="shared" si="27"/>
        <v>0.478371722406765</v>
      </c>
      <c r="AF49" s="78">
        <v>68310</v>
      </c>
      <c r="AG49" s="171">
        <f t="shared" si="11"/>
        <v>3.92089724260355</v>
      </c>
      <c r="AH49" s="84">
        <f t="shared" si="28"/>
        <v>267836.490642248</v>
      </c>
      <c r="AI49" s="85">
        <f t="shared" si="29"/>
        <v>213379.652256497</v>
      </c>
      <c r="AJ49" s="85">
        <f t="shared" si="30"/>
        <v>196049.7</v>
      </c>
      <c r="AK49" s="76">
        <f t="shared" si="31"/>
        <v>0.255211018529033</v>
      </c>
      <c r="AL49" s="76">
        <f t="shared" si="32"/>
        <v>0.366166286621446</v>
      </c>
    </row>
    <row r="50" spans="1:38">
      <c r="A50" s="17">
        <v>46</v>
      </c>
      <c r="B50" s="18" t="s">
        <v>144</v>
      </c>
      <c r="C50" s="19" t="s">
        <v>145</v>
      </c>
      <c r="D50" s="20" t="s">
        <v>86</v>
      </c>
      <c r="E50" s="55">
        <v>0.015</v>
      </c>
      <c r="F50" s="55">
        <v>0.01575</v>
      </c>
      <c r="G50" s="21">
        <v>13.7168</v>
      </c>
      <c r="H50" s="56">
        <v>0.98</v>
      </c>
      <c r="I50" s="21">
        <f t="shared" si="33"/>
        <v>0.220448571428571</v>
      </c>
      <c r="J50" s="20" t="s">
        <v>65</v>
      </c>
      <c r="K50" s="21">
        <v>48</v>
      </c>
      <c r="L50" s="61">
        <v>75</v>
      </c>
      <c r="M50" s="20">
        <v>2</v>
      </c>
      <c r="N50" s="20">
        <v>48.5</v>
      </c>
      <c r="O50" s="20">
        <v>0.76</v>
      </c>
      <c r="P50" s="20">
        <v>22.5</v>
      </c>
      <c r="Q50" s="21">
        <f t="shared" si="34"/>
        <v>0.234375</v>
      </c>
      <c r="R50" s="21">
        <v>0</v>
      </c>
      <c r="S50" s="31">
        <v>0.0293483333333333</v>
      </c>
      <c r="T50" s="31">
        <v>0.0666666666666667</v>
      </c>
      <c r="U50" s="20">
        <v>0</v>
      </c>
      <c r="V50" s="21">
        <f t="shared" si="35"/>
        <v>0.828618101311953</v>
      </c>
      <c r="W50" s="20">
        <v>1.09</v>
      </c>
      <c r="X50" s="62">
        <f t="shared" si="20"/>
        <v>-0.261381898688047</v>
      </c>
      <c r="Y50" s="75">
        <f t="shared" si="21"/>
        <v>0.0804552381381884</v>
      </c>
      <c r="Z50" s="76">
        <f t="shared" si="22"/>
        <v>0.282850446579568</v>
      </c>
      <c r="AA50" s="22">
        <f t="shared" si="23"/>
        <v>0.191979166666667</v>
      </c>
      <c r="AB50" s="76">
        <f t="shared" si="24"/>
        <v>0.231685943576064</v>
      </c>
      <c r="AC50" s="77">
        <f t="shared" si="25"/>
        <v>0.0354184072093839</v>
      </c>
      <c r="AD50" s="77">
        <f t="shared" si="26"/>
        <v>0</v>
      </c>
      <c r="AE50" s="77">
        <f t="shared" si="27"/>
        <v>0.733956365327363</v>
      </c>
      <c r="AF50" s="78">
        <v>10533</v>
      </c>
      <c r="AG50" s="171">
        <f t="shared" si="11"/>
        <v>1.02001891156463</v>
      </c>
      <c r="AH50" s="84">
        <f t="shared" si="28"/>
        <v>10743.8591955102</v>
      </c>
      <c r="AI50" s="85">
        <f t="shared" si="29"/>
        <v>8727.8344611188</v>
      </c>
      <c r="AJ50" s="85">
        <f t="shared" si="30"/>
        <v>11480.97</v>
      </c>
      <c r="AK50" s="76">
        <f t="shared" si="31"/>
        <v>0.230987966530814</v>
      </c>
      <c r="AL50" s="76">
        <f t="shared" si="32"/>
        <v>-0.0642028334269494</v>
      </c>
    </row>
    <row r="51" spans="1:38">
      <c r="A51" s="17">
        <v>47</v>
      </c>
      <c r="B51" s="18" t="s">
        <v>146</v>
      </c>
      <c r="C51" s="19" t="s">
        <v>147</v>
      </c>
      <c r="D51" s="20" t="s">
        <v>43</v>
      </c>
      <c r="E51" s="55">
        <v>0</v>
      </c>
      <c r="F51" s="55">
        <v>0.01625</v>
      </c>
      <c r="G51" s="21">
        <v>15.3097</v>
      </c>
      <c r="H51" s="56">
        <v>0.95</v>
      </c>
      <c r="I51" s="21">
        <f t="shared" si="33"/>
        <v>0.261876447368421</v>
      </c>
      <c r="J51" s="20" t="s">
        <v>44</v>
      </c>
      <c r="K51" s="21">
        <v>65</v>
      </c>
      <c r="L51" s="61">
        <v>55.3846153846154</v>
      </c>
      <c r="M51" s="20">
        <v>2</v>
      </c>
      <c r="N51" s="20">
        <v>27.15</v>
      </c>
      <c r="O51" s="20">
        <v>0.76</v>
      </c>
      <c r="P51" s="20">
        <v>22.5</v>
      </c>
      <c r="Q51" s="21">
        <f t="shared" si="34"/>
        <v>0.173076923076923</v>
      </c>
      <c r="R51" s="21">
        <v>0</v>
      </c>
      <c r="S51" s="31">
        <v>0.022338</v>
      </c>
      <c r="T51" s="31">
        <v>0.05</v>
      </c>
      <c r="U51" s="20">
        <v>0</v>
      </c>
      <c r="V51" s="21">
        <f t="shared" si="35"/>
        <v>0.673274367249094</v>
      </c>
      <c r="W51" s="20">
        <v>0.76</v>
      </c>
      <c r="X51" s="62">
        <f t="shared" si="20"/>
        <v>-0.0867256327509056</v>
      </c>
      <c r="Y51" s="75">
        <f t="shared" si="21"/>
        <v>0.0742639292867974</v>
      </c>
      <c r="Z51" s="76">
        <f t="shared" si="22"/>
        <v>0.257067447531222</v>
      </c>
      <c r="AA51" s="22">
        <f t="shared" si="23"/>
        <v>0.0793615384615385</v>
      </c>
      <c r="AB51" s="76">
        <f t="shared" si="24"/>
        <v>0.117873993607983</v>
      </c>
      <c r="AC51" s="77">
        <f t="shared" si="25"/>
        <v>0.0331781530481696</v>
      </c>
      <c r="AD51" s="77">
        <f t="shared" si="26"/>
        <v>0</v>
      </c>
      <c r="AE51" s="77">
        <f t="shared" si="27"/>
        <v>0.611040520615077</v>
      </c>
      <c r="AF51" s="78">
        <v>10565</v>
      </c>
      <c r="AG51" s="171">
        <f t="shared" si="11"/>
        <v>0.830275760494353</v>
      </c>
      <c r="AH51" s="84">
        <f t="shared" si="28"/>
        <v>8771.86340962284</v>
      </c>
      <c r="AI51" s="85">
        <f t="shared" si="29"/>
        <v>7113.14368998668</v>
      </c>
      <c r="AJ51" s="85">
        <f t="shared" si="30"/>
        <v>8029.4</v>
      </c>
      <c r="AK51" s="76">
        <f t="shared" si="31"/>
        <v>0.233190807317892</v>
      </c>
      <c r="AL51" s="76">
        <f t="shared" si="32"/>
        <v>0.0924681059136224</v>
      </c>
    </row>
    <row r="52" ht="28" spans="1:38">
      <c r="A52" s="17">
        <v>48</v>
      </c>
      <c r="B52" s="18" t="s">
        <v>148</v>
      </c>
      <c r="C52" s="19" t="s">
        <v>149</v>
      </c>
      <c r="D52" s="20" t="s">
        <v>43</v>
      </c>
      <c r="E52" s="55">
        <v>0.014</v>
      </c>
      <c r="F52" s="55">
        <v>0.0147</v>
      </c>
      <c r="G52" s="21">
        <v>15.3097</v>
      </c>
      <c r="H52" s="56">
        <v>0.95</v>
      </c>
      <c r="I52" s="21">
        <f t="shared" si="33"/>
        <v>0.236897463157895</v>
      </c>
      <c r="J52" s="20" t="s">
        <v>44</v>
      </c>
      <c r="K52" s="21">
        <v>55.3846153846154</v>
      </c>
      <c r="L52" s="61">
        <v>65</v>
      </c>
      <c r="M52" s="20">
        <v>2</v>
      </c>
      <c r="N52" s="20">
        <v>27.15</v>
      </c>
      <c r="O52" s="20">
        <v>0.76</v>
      </c>
      <c r="P52" s="20">
        <v>22.5</v>
      </c>
      <c r="Q52" s="21">
        <f t="shared" si="34"/>
        <v>0.203125</v>
      </c>
      <c r="R52" s="21">
        <v>0</v>
      </c>
      <c r="S52" s="31">
        <v>0.0375736</v>
      </c>
      <c r="T52" s="31">
        <v>0.08</v>
      </c>
      <c r="U52" s="20">
        <v>0</v>
      </c>
      <c r="V52" s="21">
        <f t="shared" si="35"/>
        <v>0.740531359584488</v>
      </c>
      <c r="W52" s="20">
        <v>0.76</v>
      </c>
      <c r="X52" s="62">
        <f t="shared" si="20"/>
        <v>-0.0194686404155124</v>
      </c>
      <c r="Y52" s="75">
        <f t="shared" si="21"/>
        <v>0.108030536404141</v>
      </c>
      <c r="Z52" s="76">
        <f t="shared" si="22"/>
        <v>0.274296283838639</v>
      </c>
      <c r="AA52" s="22">
        <f t="shared" si="23"/>
        <v>0.0931395833333333</v>
      </c>
      <c r="AB52" s="76">
        <f t="shared" si="24"/>
        <v>0.125773989349477</v>
      </c>
      <c r="AC52" s="77">
        <f t="shared" si="25"/>
        <v>0.0507387020329329</v>
      </c>
      <c r="AD52" s="77">
        <f t="shared" si="26"/>
        <v>0</v>
      </c>
      <c r="AE52" s="77">
        <f t="shared" si="27"/>
        <v>0.680097999778405</v>
      </c>
      <c r="AF52" s="78">
        <v>0</v>
      </c>
      <c r="AG52" s="171">
        <f t="shared" si="11"/>
        <v>0.903286089566021</v>
      </c>
      <c r="AH52" s="84">
        <f t="shared" si="28"/>
        <v>0</v>
      </c>
      <c r="AI52" s="85">
        <f t="shared" si="29"/>
        <v>0</v>
      </c>
      <c r="AJ52" s="85">
        <f t="shared" si="30"/>
        <v>0</v>
      </c>
      <c r="AK52" s="76">
        <f t="shared" si="31"/>
        <v>0.219781009777701</v>
      </c>
      <c r="AL52" s="76">
        <f t="shared" si="32"/>
        <v>0.188534328376343</v>
      </c>
    </row>
    <row r="53" spans="1:38">
      <c r="A53" s="17">
        <v>49</v>
      </c>
      <c r="B53" s="18" t="s">
        <v>150</v>
      </c>
      <c r="C53" s="19" t="s">
        <v>151</v>
      </c>
      <c r="D53" s="20" t="s">
        <v>86</v>
      </c>
      <c r="E53" s="55">
        <v>0.008</v>
      </c>
      <c r="F53" s="55">
        <v>0.00848</v>
      </c>
      <c r="G53" s="21">
        <v>13.7168</v>
      </c>
      <c r="H53" s="56">
        <v>0.99</v>
      </c>
      <c r="I53" s="21">
        <f t="shared" si="33"/>
        <v>0.117493397979798</v>
      </c>
      <c r="J53" s="20" t="s">
        <v>120</v>
      </c>
      <c r="K53" s="21">
        <v>55.3846153846154</v>
      </c>
      <c r="L53" s="61">
        <v>65</v>
      </c>
      <c r="M53" s="20">
        <v>2</v>
      </c>
      <c r="N53" s="20">
        <v>39.75</v>
      </c>
      <c r="O53" s="20">
        <v>0.76</v>
      </c>
      <c r="P53" s="20">
        <v>22.5</v>
      </c>
      <c r="Q53" s="21">
        <f t="shared" si="34"/>
        <v>0.203125</v>
      </c>
      <c r="R53" s="21">
        <v>0</v>
      </c>
      <c r="S53" s="31">
        <v>0.0286233333333333</v>
      </c>
      <c r="T53" s="31">
        <v>0.0666666666666667</v>
      </c>
      <c r="U53" s="20">
        <v>0</v>
      </c>
      <c r="V53" s="21">
        <f t="shared" si="35"/>
        <v>0.607664857835935</v>
      </c>
      <c r="W53" s="20">
        <v>0.72</v>
      </c>
      <c r="X53" s="62">
        <f t="shared" si="20"/>
        <v>-0.112335142164065</v>
      </c>
      <c r="Y53" s="75">
        <f t="shared" si="21"/>
        <v>0.109709597003989</v>
      </c>
      <c r="Z53" s="76">
        <f t="shared" si="22"/>
        <v>0.334271428371529</v>
      </c>
      <c r="AA53" s="22">
        <f t="shared" si="23"/>
        <v>0.136364583333333</v>
      </c>
      <c r="AB53" s="76">
        <f t="shared" si="24"/>
        <v>0.224407552246753</v>
      </c>
      <c r="AC53" s="77">
        <f t="shared" si="25"/>
        <v>0.0471038154736626</v>
      </c>
      <c r="AD53" s="77">
        <f t="shared" si="26"/>
        <v>0</v>
      </c>
      <c r="AE53" s="77">
        <f t="shared" si="27"/>
        <v>0.806647699855106</v>
      </c>
      <c r="AF53" s="78">
        <v>9608</v>
      </c>
      <c r="AG53" s="171">
        <f t="shared" si="11"/>
        <v>0.741528559432711</v>
      </c>
      <c r="AH53" s="84">
        <f t="shared" si="28"/>
        <v>7124.60639902949</v>
      </c>
      <c r="AI53" s="85">
        <f t="shared" si="29"/>
        <v>5838.44395408766</v>
      </c>
      <c r="AJ53" s="85">
        <f t="shared" si="30"/>
        <v>6917.76</v>
      </c>
      <c r="AK53" s="76">
        <f t="shared" si="31"/>
        <v>0.220291991334668</v>
      </c>
      <c r="AL53" s="76">
        <f t="shared" si="32"/>
        <v>0.0299007769898763</v>
      </c>
    </row>
    <row r="54" spans="1:38">
      <c r="A54" s="17">
        <v>50</v>
      </c>
      <c r="B54" s="18" t="s">
        <v>152</v>
      </c>
      <c r="C54" s="19" t="s">
        <v>153</v>
      </c>
      <c r="D54" s="20" t="s">
        <v>86</v>
      </c>
      <c r="E54" s="55">
        <v>0.052</v>
      </c>
      <c r="F54" s="55">
        <v>0.05616</v>
      </c>
      <c r="G54" s="21">
        <v>13.7168</v>
      </c>
      <c r="H54" s="56">
        <v>0.98</v>
      </c>
      <c r="I54" s="21">
        <f t="shared" si="33"/>
        <v>0.786056620408163</v>
      </c>
      <c r="J54" s="20" t="s">
        <v>87</v>
      </c>
      <c r="K54" s="21">
        <v>48</v>
      </c>
      <c r="L54" s="61">
        <v>75</v>
      </c>
      <c r="M54" s="20">
        <v>2</v>
      </c>
      <c r="N54" s="20">
        <v>75.9</v>
      </c>
      <c r="O54" s="20">
        <v>0.76</v>
      </c>
      <c r="P54" s="20">
        <v>22.5</v>
      </c>
      <c r="Q54" s="21">
        <f t="shared" si="34"/>
        <v>0.234375</v>
      </c>
      <c r="R54" s="21">
        <v>0</v>
      </c>
      <c r="S54" s="31">
        <v>0.097224</v>
      </c>
      <c r="T54" s="31">
        <v>0.2</v>
      </c>
      <c r="U54" s="20">
        <v>0.3</v>
      </c>
      <c r="V54" s="21">
        <f t="shared" si="35"/>
        <v>2.09331045270721</v>
      </c>
      <c r="W54" s="20">
        <v>3.15</v>
      </c>
      <c r="X54" s="62">
        <f t="shared" si="20"/>
        <v>-1.05668954729279</v>
      </c>
      <c r="Y54" s="75">
        <f t="shared" si="21"/>
        <v>0.0955424455753071</v>
      </c>
      <c r="Z54" s="76">
        <f t="shared" si="22"/>
        <v>0.111963803408563</v>
      </c>
      <c r="AA54" s="22">
        <f t="shared" si="23"/>
        <v>0.3004375</v>
      </c>
      <c r="AB54" s="76">
        <f t="shared" si="24"/>
        <v>0.143522667462657</v>
      </c>
      <c r="AC54" s="77">
        <f t="shared" si="25"/>
        <v>0.0464450936430683</v>
      </c>
      <c r="AD54" s="77">
        <f t="shared" si="26"/>
        <v>0.143313668362961</v>
      </c>
      <c r="AE54" s="77">
        <f t="shared" si="27"/>
        <v>0.624491140627716</v>
      </c>
      <c r="AF54" s="78">
        <v>19664</v>
      </c>
      <c r="AG54" s="171">
        <f t="shared" si="11"/>
        <v>2.48417988629738</v>
      </c>
      <c r="AH54" s="84">
        <f t="shared" si="28"/>
        <v>48848.9132841516</v>
      </c>
      <c r="AI54" s="85">
        <f t="shared" si="29"/>
        <v>41162.8567420346</v>
      </c>
      <c r="AJ54" s="85">
        <f t="shared" si="30"/>
        <v>61941.6</v>
      </c>
      <c r="AK54" s="76">
        <f t="shared" si="31"/>
        <v>0.186723107929197</v>
      </c>
      <c r="AL54" s="76">
        <f t="shared" si="32"/>
        <v>-0.2113714646675</v>
      </c>
    </row>
    <row r="55" spans="1:38">
      <c r="A55" s="17">
        <v>51</v>
      </c>
      <c r="B55" s="18" t="s">
        <v>154</v>
      </c>
      <c r="C55" s="19" t="s">
        <v>155</v>
      </c>
      <c r="D55" s="20" t="s">
        <v>86</v>
      </c>
      <c r="E55" s="55">
        <v>0.052</v>
      </c>
      <c r="F55" s="55">
        <v>0.05616</v>
      </c>
      <c r="G55" s="21">
        <v>13.7168</v>
      </c>
      <c r="H55" s="56">
        <v>0.98</v>
      </c>
      <c r="I55" s="21">
        <f t="shared" si="33"/>
        <v>0.786056620408163</v>
      </c>
      <c r="J55" s="20" t="s">
        <v>87</v>
      </c>
      <c r="K55" s="21">
        <v>48</v>
      </c>
      <c r="L55" s="61">
        <v>75</v>
      </c>
      <c r="M55" s="20">
        <v>2</v>
      </c>
      <c r="N55" s="20">
        <v>75.9</v>
      </c>
      <c r="O55" s="20">
        <v>0.76</v>
      </c>
      <c r="P55" s="20">
        <v>22.5</v>
      </c>
      <c r="Q55" s="21">
        <f t="shared" si="34"/>
        <v>0.234375</v>
      </c>
      <c r="R55" s="21">
        <v>0</v>
      </c>
      <c r="S55" s="31">
        <v>0.106571111111111</v>
      </c>
      <c r="T55" s="31">
        <v>0.222222222222222</v>
      </c>
      <c r="U55" s="20">
        <v>0.3</v>
      </c>
      <c r="V55" s="21">
        <f t="shared" si="35"/>
        <v>2.12487978604054</v>
      </c>
      <c r="W55" s="20">
        <v>3.15</v>
      </c>
      <c r="X55" s="62">
        <f t="shared" si="20"/>
        <v>-1.02512021395946</v>
      </c>
      <c r="Y55" s="75">
        <f t="shared" si="21"/>
        <v>0.104581079683715</v>
      </c>
      <c r="Z55" s="76">
        <f t="shared" si="22"/>
        <v>0.110300357478919</v>
      </c>
      <c r="AA55" s="22">
        <f t="shared" si="23"/>
        <v>0.3004375</v>
      </c>
      <c r="AB55" s="76">
        <f t="shared" si="24"/>
        <v>0.141390351573643</v>
      </c>
      <c r="AC55" s="77">
        <f t="shared" si="25"/>
        <v>0.0501539483839194</v>
      </c>
      <c r="AD55" s="77">
        <f t="shared" si="26"/>
        <v>0.141184457573016</v>
      </c>
      <c r="AE55" s="77">
        <f t="shared" si="27"/>
        <v>0.630070074753318</v>
      </c>
      <c r="AF55" s="78">
        <v>0</v>
      </c>
      <c r="AG55" s="171">
        <f t="shared" si="11"/>
        <v>2.51574921963071</v>
      </c>
      <c r="AH55" s="84">
        <f t="shared" si="28"/>
        <v>0</v>
      </c>
      <c r="AI55" s="85">
        <f t="shared" si="29"/>
        <v>0</v>
      </c>
      <c r="AJ55" s="85">
        <f t="shared" si="30"/>
        <v>0</v>
      </c>
      <c r="AK55" s="76">
        <f t="shared" si="31"/>
        <v>0.183948963211</v>
      </c>
      <c r="AL55" s="76">
        <f t="shared" si="32"/>
        <v>-0.201349454085489</v>
      </c>
    </row>
    <row r="56" ht="28" spans="1:38">
      <c r="A56" s="17">
        <v>52</v>
      </c>
      <c r="B56" s="18" t="s">
        <v>156</v>
      </c>
      <c r="C56" s="19" t="s">
        <v>157</v>
      </c>
      <c r="D56" s="20" t="s">
        <v>86</v>
      </c>
      <c r="E56" s="55">
        <v>0.078</v>
      </c>
      <c r="F56" s="55">
        <v>0.0819</v>
      </c>
      <c r="G56" s="21">
        <v>13.7168</v>
      </c>
      <c r="H56" s="56">
        <v>0.96</v>
      </c>
      <c r="I56" s="21">
        <f t="shared" si="33"/>
        <v>1.1702145</v>
      </c>
      <c r="J56" s="20" t="s">
        <v>87</v>
      </c>
      <c r="K56" s="21">
        <v>45</v>
      </c>
      <c r="L56" s="61">
        <v>80</v>
      </c>
      <c r="M56" s="20">
        <v>2</v>
      </c>
      <c r="N56" s="20">
        <v>75.9</v>
      </c>
      <c r="O56" s="20">
        <v>0.76</v>
      </c>
      <c r="P56" s="20">
        <v>22.5</v>
      </c>
      <c r="Q56" s="21">
        <f t="shared" si="34"/>
        <v>0.25</v>
      </c>
      <c r="R56" s="21">
        <v>0</v>
      </c>
      <c r="S56" s="31">
        <v>0.084124</v>
      </c>
      <c r="T56" s="31">
        <v>0.2</v>
      </c>
      <c r="U56" s="20">
        <v>0</v>
      </c>
      <c r="V56" s="21">
        <f t="shared" si="35"/>
        <v>2.29678659895833</v>
      </c>
      <c r="W56" s="20">
        <v>3.31</v>
      </c>
      <c r="X56" s="62">
        <f t="shared" si="20"/>
        <v>-1.01321340104167</v>
      </c>
      <c r="Y56" s="75">
        <f t="shared" si="21"/>
        <v>0.0870781813559461</v>
      </c>
      <c r="Z56" s="76">
        <f t="shared" si="22"/>
        <v>0.108847726694933</v>
      </c>
      <c r="AA56" s="22">
        <f t="shared" si="23"/>
        <v>0.320466666666667</v>
      </c>
      <c r="AB56" s="76">
        <f t="shared" si="24"/>
        <v>0.139528272592678</v>
      </c>
      <c r="AC56" s="77">
        <f t="shared" si="25"/>
        <v>0.036626824641938</v>
      </c>
      <c r="AD56" s="77">
        <f t="shared" si="26"/>
        <v>0</v>
      </c>
      <c r="AE56" s="77">
        <f t="shared" si="27"/>
        <v>0.490499247718211</v>
      </c>
      <c r="AF56" s="78">
        <v>58120</v>
      </c>
      <c r="AG56" s="171">
        <f t="shared" si="11"/>
        <v>2.82261736805556</v>
      </c>
      <c r="AH56" s="84">
        <f t="shared" si="28"/>
        <v>164050.521431389</v>
      </c>
      <c r="AI56" s="85">
        <f t="shared" si="29"/>
        <v>133489.237131458</v>
      </c>
      <c r="AJ56" s="85">
        <f t="shared" si="30"/>
        <v>192377.2</v>
      </c>
      <c r="AK56" s="76">
        <f t="shared" si="31"/>
        <v>0.228941935369924</v>
      </c>
      <c r="AL56" s="76">
        <f t="shared" si="32"/>
        <v>-0.147245508140316</v>
      </c>
    </row>
    <row r="57" ht="28" spans="1:38">
      <c r="A57" s="17">
        <v>53</v>
      </c>
      <c r="B57" s="18" t="s">
        <v>158</v>
      </c>
      <c r="C57" s="19" t="s">
        <v>159</v>
      </c>
      <c r="D57" s="20" t="s">
        <v>86</v>
      </c>
      <c r="E57" s="55">
        <v>0.078</v>
      </c>
      <c r="F57" s="55">
        <v>0.0819</v>
      </c>
      <c r="G57" s="21">
        <v>13.7168</v>
      </c>
      <c r="H57" s="56">
        <v>0.96</v>
      </c>
      <c r="I57" s="21">
        <f t="shared" si="33"/>
        <v>1.1702145</v>
      </c>
      <c r="J57" s="20" t="s">
        <v>87</v>
      </c>
      <c r="K57" s="21">
        <v>45</v>
      </c>
      <c r="L57" s="61">
        <v>80</v>
      </c>
      <c r="M57" s="20">
        <v>2</v>
      </c>
      <c r="N57" s="20">
        <v>75.9</v>
      </c>
      <c r="O57" s="20">
        <v>0.76</v>
      </c>
      <c r="P57" s="20">
        <v>22.5</v>
      </c>
      <c r="Q57" s="21">
        <f t="shared" si="34"/>
        <v>0.25</v>
      </c>
      <c r="R57" s="21">
        <v>0</v>
      </c>
      <c r="S57" s="31">
        <v>0.084124</v>
      </c>
      <c r="T57" s="31">
        <v>0.2</v>
      </c>
      <c r="U57" s="20">
        <v>0</v>
      </c>
      <c r="V57" s="21">
        <f t="shared" si="35"/>
        <v>2.29678659895833</v>
      </c>
      <c r="W57" s="20">
        <v>3.31</v>
      </c>
      <c r="X57" s="62">
        <f t="shared" si="20"/>
        <v>-1.01321340104167</v>
      </c>
      <c r="Y57" s="75">
        <f t="shared" si="21"/>
        <v>0.0870781813559461</v>
      </c>
      <c r="Z57" s="76">
        <f t="shared" si="22"/>
        <v>0.108847726694933</v>
      </c>
      <c r="AA57" s="22">
        <f t="shared" si="23"/>
        <v>0.320466666666667</v>
      </c>
      <c r="AB57" s="76">
        <f t="shared" si="24"/>
        <v>0.139528272592678</v>
      </c>
      <c r="AC57" s="77">
        <f t="shared" si="25"/>
        <v>0.036626824641938</v>
      </c>
      <c r="AD57" s="77">
        <f t="shared" si="26"/>
        <v>0</v>
      </c>
      <c r="AE57" s="77">
        <f t="shared" si="27"/>
        <v>0.490499247718211</v>
      </c>
      <c r="AF57" s="78">
        <v>0</v>
      </c>
      <c r="AG57" s="171">
        <f t="shared" si="11"/>
        <v>2.82261736805556</v>
      </c>
      <c r="AH57" s="84">
        <f t="shared" si="28"/>
        <v>0</v>
      </c>
      <c r="AI57" s="85">
        <f t="shared" si="29"/>
        <v>0</v>
      </c>
      <c r="AJ57" s="85">
        <f t="shared" si="30"/>
        <v>0</v>
      </c>
      <c r="AK57" s="76">
        <f t="shared" si="31"/>
        <v>0.228941935369924</v>
      </c>
      <c r="AL57" s="76">
        <f t="shared" si="32"/>
        <v>-0.147245508140316</v>
      </c>
    </row>
    <row r="58" ht="28" spans="1:38">
      <c r="A58" s="17">
        <v>54</v>
      </c>
      <c r="B58" s="18" t="s">
        <v>160</v>
      </c>
      <c r="C58" s="19" t="s">
        <v>161</v>
      </c>
      <c r="D58" s="20" t="s">
        <v>143</v>
      </c>
      <c r="E58" s="55">
        <v>0.015</v>
      </c>
      <c r="F58" s="55">
        <v>0.021</v>
      </c>
      <c r="G58" s="21">
        <v>60.177</v>
      </c>
      <c r="H58" s="56">
        <v>0.65</v>
      </c>
      <c r="I58" s="21">
        <f t="shared" si="33"/>
        <v>1.94418</v>
      </c>
      <c r="J58" s="20" t="s">
        <v>87</v>
      </c>
      <c r="K58" s="21">
        <v>36</v>
      </c>
      <c r="L58" s="61">
        <v>100</v>
      </c>
      <c r="M58" s="20">
        <v>2</v>
      </c>
      <c r="N58" s="20">
        <v>75.9</v>
      </c>
      <c r="O58" s="20">
        <v>0.76</v>
      </c>
      <c r="P58" s="20">
        <v>22.5</v>
      </c>
      <c r="Q58" s="21">
        <f t="shared" si="34"/>
        <v>0.3125</v>
      </c>
      <c r="R58" s="21">
        <v>0</v>
      </c>
      <c r="S58" s="31">
        <v>0.044676</v>
      </c>
      <c r="T58" s="31">
        <v>0.1</v>
      </c>
      <c r="U58" s="20">
        <v>0</v>
      </c>
      <c r="V58" s="21">
        <f t="shared" si="35"/>
        <v>4.68246415384615</v>
      </c>
      <c r="W58" s="20">
        <v>2.52</v>
      </c>
      <c r="X58" s="62">
        <f t="shared" si="20"/>
        <v>2.16246415384615</v>
      </c>
      <c r="Y58" s="75">
        <f t="shared" si="21"/>
        <v>0.0213562766770698</v>
      </c>
      <c r="Z58" s="76">
        <f t="shared" si="22"/>
        <v>0.0667383646158432</v>
      </c>
      <c r="AA58" s="22">
        <f t="shared" si="23"/>
        <v>0.400583333333333</v>
      </c>
      <c r="AB58" s="76">
        <f t="shared" si="24"/>
        <v>0.0855496849888955</v>
      </c>
      <c r="AC58" s="77">
        <f t="shared" si="25"/>
        <v>0.00954113016824771</v>
      </c>
      <c r="AD58" s="77">
        <f t="shared" si="26"/>
        <v>0</v>
      </c>
      <c r="AE58" s="77">
        <f t="shared" si="27"/>
        <v>0.584795540099744</v>
      </c>
      <c r="AF58" s="78"/>
      <c r="AG58" s="171">
        <f t="shared" si="11"/>
        <v>5.86801241025641</v>
      </c>
      <c r="AH58" s="84">
        <f t="shared" si="28"/>
        <v>0</v>
      </c>
      <c r="AI58" s="85">
        <f t="shared" si="29"/>
        <v>0</v>
      </c>
      <c r="AJ58" s="85">
        <f t="shared" si="30"/>
        <v>0</v>
      </c>
      <c r="AK58" s="76">
        <f t="shared" si="31"/>
        <v>0.253188965779152</v>
      </c>
      <c r="AL58" s="76">
        <f t="shared" si="32"/>
        <v>1.32857635327635</v>
      </c>
    </row>
    <row r="59" ht="28" spans="1:38">
      <c r="A59" s="17">
        <v>55</v>
      </c>
      <c r="B59" s="18" t="s">
        <v>162</v>
      </c>
      <c r="C59" s="19" t="s">
        <v>163</v>
      </c>
      <c r="D59" s="20" t="s">
        <v>143</v>
      </c>
      <c r="E59" s="55">
        <v>0.015</v>
      </c>
      <c r="F59" s="55">
        <v>0.021</v>
      </c>
      <c r="G59" s="21">
        <v>60.177</v>
      </c>
      <c r="H59" s="56">
        <v>0.65</v>
      </c>
      <c r="I59" s="21">
        <f t="shared" si="33"/>
        <v>1.94418</v>
      </c>
      <c r="J59" s="20" t="s">
        <v>87</v>
      </c>
      <c r="K59" s="21">
        <v>36</v>
      </c>
      <c r="L59" s="61">
        <v>100</v>
      </c>
      <c r="M59" s="20">
        <v>2</v>
      </c>
      <c r="N59" s="20">
        <v>75.9</v>
      </c>
      <c r="O59" s="20">
        <v>0.76</v>
      </c>
      <c r="P59" s="20">
        <v>22.5</v>
      </c>
      <c r="Q59" s="21">
        <f t="shared" si="34"/>
        <v>0.3125</v>
      </c>
      <c r="R59" s="21">
        <v>0</v>
      </c>
      <c r="S59" s="31">
        <v>0.044676</v>
      </c>
      <c r="T59" s="31">
        <v>0.1</v>
      </c>
      <c r="U59" s="20">
        <v>0</v>
      </c>
      <c r="V59" s="21">
        <f t="shared" si="35"/>
        <v>4.68246415384615</v>
      </c>
      <c r="W59" s="20">
        <v>2.52</v>
      </c>
      <c r="X59" s="62">
        <f t="shared" si="20"/>
        <v>2.16246415384615</v>
      </c>
      <c r="Y59" s="75">
        <f t="shared" si="21"/>
        <v>0.0213562766770698</v>
      </c>
      <c r="Z59" s="76">
        <f t="shared" si="22"/>
        <v>0.0667383646158432</v>
      </c>
      <c r="AA59" s="22">
        <f t="shared" si="23"/>
        <v>0.400583333333333</v>
      </c>
      <c r="AB59" s="76">
        <f t="shared" si="24"/>
        <v>0.0855496849888955</v>
      </c>
      <c r="AC59" s="77">
        <f t="shared" si="25"/>
        <v>0.00954113016824771</v>
      </c>
      <c r="AD59" s="77">
        <f t="shared" si="26"/>
        <v>0</v>
      </c>
      <c r="AE59" s="77">
        <f t="shared" si="27"/>
        <v>0.584795540099744</v>
      </c>
      <c r="AF59" s="78"/>
      <c r="AG59" s="171">
        <f t="shared" si="11"/>
        <v>5.86801241025641</v>
      </c>
      <c r="AH59" s="84">
        <f t="shared" si="28"/>
        <v>0</v>
      </c>
      <c r="AI59" s="85">
        <f t="shared" si="29"/>
        <v>0</v>
      </c>
      <c r="AJ59" s="85">
        <f t="shared" si="30"/>
        <v>0</v>
      </c>
      <c r="AK59" s="76">
        <f t="shared" si="31"/>
        <v>0.253188965779152</v>
      </c>
      <c r="AL59" s="76">
        <f t="shared" si="32"/>
        <v>1.32857635327635</v>
      </c>
    </row>
    <row r="60" spans="1:38">
      <c r="A60" s="17">
        <v>56</v>
      </c>
      <c r="B60" s="18" t="s">
        <v>164</v>
      </c>
      <c r="C60" s="19" t="s">
        <v>145</v>
      </c>
      <c r="D60" s="20" t="s">
        <v>59</v>
      </c>
      <c r="E60" s="55">
        <v>0.047</v>
      </c>
      <c r="F60" s="55">
        <v>0.04935</v>
      </c>
      <c r="G60" s="21">
        <v>18.5841</v>
      </c>
      <c r="H60" s="56">
        <v>0.96</v>
      </c>
      <c r="I60" s="21">
        <f t="shared" si="33"/>
        <v>0.955338890625</v>
      </c>
      <c r="J60" s="20" t="s">
        <v>165</v>
      </c>
      <c r="K60" s="21">
        <v>45</v>
      </c>
      <c r="L60" s="61">
        <v>80</v>
      </c>
      <c r="M60" s="20">
        <v>2</v>
      </c>
      <c r="N60" s="20">
        <v>67.9</v>
      </c>
      <c r="O60" s="20">
        <v>0.76</v>
      </c>
      <c r="P60" s="20">
        <v>22.5</v>
      </c>
      <c r="Q60" s="21">
        <f t="shared" si="34"/>
        <v>0.25</v>
      </c>
      <c r="R60" s="21">
        <v>0</v>
      </c>
      <c r="S60" s="31">
        <v>0.106571111111111</v>
      </c>
      <c r="T60" s="31">
        <v>0.222222222222222</v>
      </c>
      <c r="U60" s="20">
        <v>0.3</v>
      </c>
      <c r="V60" s="21">
        <f t="shared" si="35"/>
        <v>2.35395045339627</v>
      </c>
      <c r="W60" s="20">
        <v>2.88</v>
      </c>
      <c r="X60" s="62">
        <f t="shared" si="20"/>
        <v>-0.526049546603733</v>
      </c>
      <c r="Y60" s="75">
        <f t="shared" si="21"/>
        <v>0.0944039505596223</v>
      </c>
      <c r="Z60" s="76">
        <f t="shared" si="22"/>
        <v>0.106204444379575</v>
      </c>
      <c r="AA60" s="22">
        <f t="shared" si="23"/>
        <v>0.286688888888889</v>
      </c>
      <c r="AB60" s="76">
        <f t="shared" si="24"/>
        <v>0.121790536616969</v>
      </c>
      <c r="AC60" s="77">
        <f t="shared" si="25"/>
        <v>0.0452733025698781</v>
      </c>
      <c r="AD60" s="77">
        <f t="shared" si="26"/>
        <v>0.12744533325549</v>
      </c>
      <c r="AE60" s="77">
        <f t="shared" si="27"/>
        <v>0.594155055707889</v>
      </c>
      <c r="AF60" s="78"/>
      <c r="AG60" s="171">
        <f t="shared" si="11"/>
        <v>2.80466717845775</v>
      </c>
      <c r="AH60" s="84">
        <f t="shared" si="28"/>
        <v>0</v>
      </c>
      <c r="AI60" s="85">
        <f t="shared" si="29"/>
        <v>0</v>
      </c>
      <c r="AJ60" s="85">
        <f t="shared" si="30"/>
        <v>0</v>
      </c>
      <c r="AK60" s="76">
        <f t="shared" si="31"/>
        <v>0.191472477430947</v>
      </c>
      <c r="AL60" s="76">
        <f t="shared" si="32"/>
        <v>-0.0261572297021687</v>
      </c>
    </row>
    <row r="61" spans="1:38">
      <c r="A61" s="17">
        <v>57</v>
      </c>
      <c r="B61" s="18" t="s">
        <v>166</v>
      </c>
      <c r="C61" s="19" t="s">
        <v>167</v>
      </c>
      <c r="D61" s="20" t="s">
        <v>59</v>
      </c>
      <c r="E61" s="55">
        <v>0.047</v>
      </c>
      <c r="F61" s="55">
        <v>0.04935</v>
      </c>
      <c r="G61" s="21">
        <v>18.5841</v>
      </c>
      <c r="H61" s="56">
        <v>0.96</v>
      </c>
      <c r="I61" s="21">
        <f t="shared" si="33"/>
        <v>0.955338890625</v>
      </c>
      <c r="J61" s="20" t="s">
        <v>165</v>
      </c>
      <c r="K61" s="21">
        <v>45</v>
      </c>
      <c r="L61" s="61">
        <v>80</v>
      </c>
      <c r="M61" s="20">
        <v>2</v>
      </c>
      <c r="N61" s="20">
        <v>67.9</v>
      </c>
      <c r="O61" s="20">
        <v>0.76</v>
      </c>
      <c r="P61" s="20">
        <v>22.5</v>
      </c>
      <c r="Q61" s="21">
        <f t="shared" si="34"/>
        <v>0.25</v>
      </c>
      <c r="R61" s="21">
        <v>0</v>
      </c>
      <c r="S61" s="31">
        <v>0.106571111111111</v>
      </c>
      <c r="T61" s="31">
        <v>0.222222222222222</v>
      </c>
      <c r="U61" s="20">
        <v>0.3</v>
      </c>
      <c r="V61" s="21">
        <f t="shared" si="35"/>
        <v>2.35395045339627</v>
      </c>
      <c r="W61" s="20">
        <v>2.88</v>
      </c>
      <c r="X61" s="62">
        <f t="shared" si="20"/>
        <v>-0.526049546603733</v>
      </c>
      <c r="Y61" s="75">
        <f t="shared" si="21"/>
        <v>0.0944039505596223</v>
      </c>
      <c r="Z61" s="76">
        <f t="shared" si="22"/>
        <v>0.106204444379575</v>
      </c>
      <c r="AA61" s="22">
        <f t="shared" si="23"/>
        <v>0.286688888888889</v>
      </c>
      <c r="AB61" s="76">
        <f t="shared" si="24"/>
        <v>0.121790536616969</v>
      </c>
      <c r="AC61" s="77">
        <f t="shared" si="25"/>
        <v>0.0452733025698781</v>
      </c>
      <c r="AD61" s="77">
        <f t="shared" si="26"/>
        <v>0.12744533325549</v>
      </c>
      <c r="AE61" s="77">
        <f t="shared" si="27"/>
        <v>0.594155055707889</v>
      </c>
      <c r="AF61" s="78"/>
      <c r="AG61" s="171">
        <f t="shared" si="11"/>
        <v>2.80466717845775</v>
      </c>
      <c r="AH61" s="84">
        <f t="shared" si="28"/>
        <v>0</v>
      </c>
      <c r="AI61" s="85">
        <f t="shared" si="29"/>
        <v>0</v>
      </c>
      <c r="AJ61" s="85">
        <f t="shared" si="30"/>
        <v>0</v>
      </c>
      <c r="AK61" s="76">
        <f t="shared" si="31"/>
        <v>0.191472477430947</v>
      </c>
      <c r="AL61" s="76">
        <f t="shared" si="32"/>
        <v>-0.0261572297021687</v>
      </c>
    </row>
    <row r="62" spans="1:38">
      <c r="A62" s="17">
        <v>58</v>
      </c>
      <c r="B62" s="18" t="s">
        <v>168</v>
      </c>
      <c r="C62" s="19" t="s">
        <v>147</v>
      </c>
      <c r="D62" s="20" t="s">
        <v>86</v>
      </c>
      <c r="E62" s="55">
        <v>0.022</v>
      </c>
      <c r="F62" s="55">
        <v>0.0231</v>
      </c>
      <c r="G62" s="21">
        <v>13.7168</v>
      </c>
      <c r="H62" s="56">
        <v>0.96</v>
      </c>
      <c r="I62" s="21">
        <f t="shared" si="33"/>
        <v>0.3300605</v>
      </c>
      <c r="J62" s="20" t="s">
        <v>87</v>
      </c>
      <c r="K62" s="21">
        <v>48</v>
      </c>
      <c r="L62" s="61">
        <v>75</v>
      </c>
      <c r="M62" s="20">
        <v>2</v>
      </c>
      <c r="N62" s="20">
        <v>75.9</v>
      </c>
      <c r="O62" s="20">
        <v>0.76</v>
      </c>
      <c r="P62" s="20">
        <v>22.5</v>
      </c>
      <c r="Q62" s="21">
        <f t="shared" si="34"/>
        <v>0.234375</v>
      </c>
      <c r="R62" s="21">
        <v>0</v>
      </c>
      <c r="S62" s="31">
        <v>0.084124</v>
      </c>
      <c r="T62" s="31">
        <v>0.2</v>
      </c>
      <c r="U62" s="20">
        <v>0</v>
      </c>
      <c r="V62" s="21">
        <f t="shared" si="35"/>
        <v>1.28413340625</v>
      </c>
      <c r="W62" s="20">
        <v>1.31</v>
      </c>
      <c r="X62" s="62">
        <f t="shared" si="20"/>
        <v>-0.02586659375</v>
      </c>
      <c r="Y62" s="75">
        <f t="shared" si="21"/>
        <v>0.155747057919824</v>
      </c>
      <c r="Z62" s="76">
        <f t="shared" si="22"/>
        <v>0.182516083499794</v>
      </c>
      <c r="AA62" s="22">
        <f t="shared" si="23"/>
        <v>0.3004375</v>
      </c>
      <c r="AB62" s="76">
        <f t="shared" si="24"/>
        <v>0.233961283568936</v>
      </c>
      <c r="AC62" s="77">
        <f t="shared" si="25"/>
        <v>0.0655103275022365</v>
      </c>
      <c r="AD62" s="77">
        <f t="shared" si="26"/>
        <v>0</v>
      </c>
      <c r="AE62" s="77">
        <f t="shared" si="27"/>
        <v>0.742970240947269</v>
      </c>
      <c r="AF62" s="78"/>
      <c r="AG62" s="171">
        <f t="shared" si="11"/>
        <v>1.545397125</v>
      </c>
      <c r="AH62" s="84">
        <f t="shared" si="28"/>
        <v>0</v>
      </c>
      <c r="AI62" s="85">
        <f t="shared" si="29"/>
        <v>0</v>
      </c>
      <c r="AJ62" s="85">
        <f t="shared" si="30"/>
        <v>0</v>
      </c>
      <c r="AK62" s="76">
        <f t="shared" si="31"/>
        <v>0.203455277682525</v>
      </c>
      <c r="AL62" s="76">
        <f t="shared" si="32"/>
        <v>0.179692461832061</v>
      </c>
    </row>
    <row r="63" ht="28" spans="1:38">
      <c r="A63" s="17">
        <v>59</v>
      </c>
      <c r="B63" s="18" t="s">
        <v>169</v>
      </c>
      <c r="C63" s="19" t="s">
        <v>170</v>
      </c>
      <c r="D63" s="20" t="s">
        <v>143</v>
      </c>
      <c r="E63" s="55">
        <v>0.006</v>
      </c>
      <c r="F63" s="55">
        <v>0.0084</v>
      </c>
      <c r="G63" s="21">
        <v>60.177</v>
      </c>
      <c r="H63" s="56">
        <v>0.7</v>
      </c>
      <c r="I63" s="21">
        <f t="shared" si="33"/>
        <v>0.722124</v>
      </c>
      <c r="J63" s="20" t="s">
        <v>44</v>
      </c>
      <c r="K63" s="21">
        <v>37.8947368421053</v>
      </c>
      <c r="L63" s="61">
        <v>94.9999999999999</v>
      </c>
      <c r="M63" s="20">
        <v>2</v>
      </c>
      <c r="N63" s="20">
        <v>27.15</v>
      </c>
      <c r="O63" s="20">
        <v>0.76</v>
      </c>
      <c r="P63" s="20">
        <v>22.5</v>
      </c>
      <c r="Q63" s="21">
        <f t="shared" si="34"/>
        <v>0.296875</v>
      </c>
      <c r="R63" s="21">
        <v>0</v>
      </c>
      <c r="S63" s="31">
        <v>0.0146026666666667</v>
      </c>
      <c r="T63" s="31">
        <v>0.0333333333333333</v>
      </c>
      <c r="U63" s="20">
        <v>0</v>
      </c>
      <c r="V63" s="21">
        <f t="shared" si="35"/>
        <v>1.87963593214286</v>
      </c>
      <c r="W63" s="20">
        <v>1.16</v>
      </c>
      <c r="X63" s="62">
        <f t="shared" si="20"/>
        <v>0.719635932142857</v>
      </c>
      <c r="Y63" s="75">
        <f t="shared" si="21"/>
        <v>0.0177339306848279</v>
      </c>
      <c r="Z63" s="76">
        <f t="shared" si="22"/>
        <v>0.157942820161748</v>
      </c>
      <c r="AA63" s="22">
        <f t="shared" si="23"/>
        <v>0.136127083333333</v>
      </c>
      <c r="AB63" s="76">
        <f t="shared" si="24"/>
        <v>0.0724220478048336</v>
      </c>
      <c r="AC63" s="77">
        <f t="shared" si="25"/>
        <v>0.00776888035440942</v>
      </c>
      <c r="AD63" s="77">
        <f t="shared" si="26"/>
        <v>0</v>
      </c>
      <c r="AE63" s="77">
        <f t="shared" si="27"/>
        <v>0.61581709114448</v>
      </c>
      <c r="AF63" s="78"/>
      <c r="AG63" s="171">
        <f t="shared" si="11"/>
        <v>2.35818816666667</v>
      </c>
      <c r="AH63" s="84">
        <f t="shared" si="28"/>
        <v>0</v>
      </c>
      <c r="AI63" s="85">
        <f t="shared" si="29"/>
        <v>0</v>
      </c>
      <c r="AJ63" s="85">
        <f t="shared" si="30"/>
        <v>0</v>
      </c>
      <c r="AK63" s="76">
        <f t="shared" si="31"/>
        <v>0.25459836468344</v>
      </c>
      <c r="AL63" s="76">
        <f t="shared" si="32"/>
        <v>1.03292083333333</v>
      </c>
    </row>
    <row r="64" spans="1:38">
      <c r="A64" s="17">
        <v>60</v>
      </c>
      <c r="B64" s="18" t="s">
        <v>171</v>
      </c>
      <c r="C64" s="19" t="s">
        <v>172</v>
      </c>
      <c r="D64" s="20" t="s">
        <v>43</v>
      </c>
      <c r="E64" s="55">
        <v>0.002</v>
      </c>
      <c r="F64" s="55">
        <v>0.0026</v>
      </c>
      <c r="G64" s="21">
        <v>15.3097</v>
      </c>
      <c r="H64" s="56">
        <v>0.95</v>
      </c>
      <c r="I64" s="21">
        <f t="shared" si="33"/>
        <v>0.0419002315789474</v>
      </c>
      <c r="J64" s="20" t="s">
        <v>47</v>
      </c>
      <c r="K64" s="21">
        <v>72</v>
      </c>
      <c r="L64" s="61">
        <v>50</v>
      </c>
      <c r="M64" s="20">
        <v>3</v>
      </c>
      <c r="N64" s="20">
        <v>21.2</v>
      </c>
      <c r="O64" s="20">
        <v>0.76</v>
      </c>
      <c r="P64" s="20">
        <v>22.5</v>
      </c>
      <c r="Q64" s="21">
        <f t="shared" si="34"/>
        <v>0.104166666666667</v>
      </c>
      <c r="R64" s="21">
        <v>0</v>
      </c>
      <c r="S64" s="31">
        <v>0.00143116666666667</v>
      </c>
      <c r="T64" s="31">
        <v>0.00333333333333333</v>
      </c>
      <c r="U64" s="20">
        <v>0</v>
      </c>
      <c r="V64" s="21">
        <f t="shared" si="35"/>
        <v>0.219009916780548</v>
      </c>
      <c r="W64" s="20">
        <v>0.2</v>
      </c>
      <c r="X64" s="62">
        <f t="shared" si="20"/>
        <v>0.0190099167805479</v>
      </c>
      <c r="Y64" s="75">
        <f t="shared" si="21"/>
        <v>0.0152200109581037</v>
      </c>
      <c r="Z64" s="76">
        <f t="shared" si="22"/>
        <v>0.475625342440744</v>
      </c>
      <c r="AA64" s="22">
        <f t="shared" si="23"/>
        <v>0.0372962962962963</v>
      </c>
      <c r="AB64" s="76">
        <f t="shared" si="24"/>
        <v>0.170295011497894</v>
      </c>
      <c r="AC64" s="77">
        <f t="shared" si="25"/>
        <v>0.00653471170486187</v>
      </c>
      <c r="AD64" s="77">
        <f t="shared" si="26"/>
        <v>0</v>
      </c>
      <c r="AE64" s="77">
        <f t="shared" si="27"/>
        <v>0.808683404866401</v>
      </c>
      <c r="AF64" s="78"/>
      <c r="AG64" s="171">
        <f t="shared" si="11"/>
        <v>0.274983944588079</v>
      </c>
      <c r="AH64" s="84">
        <f t="shared" si="28"/>
        <v>0</v>
      </c>
      <c r="AI64" s="85">
        <f t="shared" si="29"/>
        <v>0</v>
      </c>
      <c r="AJ64" s="85">
        <f t="shared" si="30"/>
        <v>0</v>
      </c>
      <c r="AK64" s="76">
        <f t="shared" si="31"/>
        <v>0.255577594979948</v>
      </c>
      <c r="AL64" s="76">
        <f t="shared" si="32"/>
        <v>0.374919722940395</v>
      </c>
    </row>
    <row r="65" spans="1:38">
      <c r="A65" s="17">
        <v>61</v>
      </c>
      <c r="B65" s="18" t="s">
        <v>173</v>
      </c>
      <c r="C65" s="19" t="s">
        <v>174</v>
      </c>
      <c r="D65" s="20" t="s">
        <v>43</v>
      </c>
      <c r="E65" s="55">
        <v>0.001</v>
      </c>
      <c r="F65" s="55">
        <v>0.0013</v>
      </c>
      <c r="G65" s="21">
        <v>15.3097</v>
      </c>
      <c r="H65" s="56">
        <v>0.95</v>
      </c>
      <c r="I65" s="21">
        <f t="shared" si="33"/>
        <v>0.0209501157894737</v>
      </c>
      <c r="J65" s="20" t="s">
        <v>47</v>
      </c>
      <c r="K65" s="21">
        <v>72</v>
      </c>
      <c r="L65" s="61">
        <v>50</v>
      </c>
      <c r="M65" s="20">
        <v>3</v>
      </c>
      <c r="N65" s="20">
        <v>21.2</v>
      </c>
      <c r="O65" s="20">
        <v>0.76</v>
      </c>
      <c r="P65" s="20">
        <v>22.5</v>
      </c>
      <c r="Q65" s="21">
        <f t="shared" si="34"/>
        <v>0.104166666666667</v>
      </c>
      <c r="R65" s="21">
        <v>0</v>
      </c>
      <c r="S65" s="31">
        <v>0.00143116666666667</v>
      </c>
      <c r="T65" s="31">
        <v>0.00333333333333333</v>
      </c>
      <c r="U65" s="20">
        <v>0</v>
      </c>
      <c r="V65" s="21">
        <f t="shared" si="35"/>
        <v>0.194531360437058</v>
      </c>
      <c r="W65" s="20">
        <v>0.17</v>
      </c>
      <c r="X65" s="62">
        <f t="shared" si="20"/>
        <v>0.0245313604370576</v>
      </c>
      <c r="Y65" s="75">
        <f t="shared" si="21"/>
        <v>0.0171351977688546</v>
      </c>
      <c r="Z65" s="76">
        <f t="shared" si="22"/>
        <v>0.535474930276709</v>
      </c>
      <c r="AA65" s="22">
        <f t="shared" si="23"/>
        <v>0.0372962962962963</v>
      </c>
      <c r="AB65" s="76">
        <f t="shared" si="24"/>
        <v>0.191723823924851</v>
      </c>
      <c r="AC65" s="77">
        <f t="shared" si="25"/>
        <v>0.00735699716205776</v>
      </c>
      <c r="AD65" s="77">
        <f t="shared" si="26"/>
        <v>0</v>
      </c>
      <c r="AE65" s="77">
        <f t="shared" si="27"/>
        <v>0.892304686800089</v>
      </c>
      <c r="AF65" s="78"/>
      <c r="AG65" s="171">
        <f t="shared" si="11"/>
        <v>0.244110089740434</v>
      </c>
      <c r="AH65" s="84">
        <f t="shared" si="28"/>
        <v>0</v>
      </c>
      <c r="AI65" s="85">
        <f t="shared" si="29"/>
        <v>0</v>
      </c>
      <c r="AJ65" s="85">
        <f t="shared" si="30"/>
        <v>0</v>
      </c>
      <c r="AK65" s="76">
        <f t="shared" si="31"/>
        <v>0.254862399522555</v>
      </c>
      <c r="AL65" s="76">
        <f t="shared" si="32"/>
        <v>0.435941704355491</v>
      </c>
    </row>
    <row r="66" spans="1:38">
      <c r="A66" s="17">
        <v>62</v>
      </c>
      <c r="B66" s="18" t="s">
        <v>175</v>
      </c>
      <c r="C66" s="19" t="s">
        <v>176</v>
      </c>
      <c r="D66" s="20" t="s">
        <v>43</v>
      </c>
      <c r="E66" s="55">
        <v>0.002</v>
      </c>
      <c r="F66" s="55">
        <v>0.0026</v>
      </c>
      <c r="G66" s="21">
        <v>15.3097</v>
      </c>
      <c r="H66" s="56">
        <v>0.95</v>
      </c>
      <c r="I66" s="21">
        <f t="shared" ref="I66:I97" si="36">F66*G66/H66</f>
        <v>0.0419002315789474</v>
      </c>
      <c r="J66" s="20" t="s">
        <v>47</v>
      </c>
      <c r="K66" s="21">
        <v>72</v>
      </c>
      <c r="L66" s="61">
        <v>50</v>
      </c>
      <c r="M66" s="20">
        <v>3</v>
      </c>
      <c r="N66" s="20">
        <v>21.2</v>
      </c>
      <c r="O66" s="20">
        <v>0.76</v>
      </c>
      <c r="P66" s="20">
        <v>22.5</v>
      </c>
      <c r="Q66" s="21">
        <f t="shared" ref="Q66:Q97" si="37">P66/K66/M66</f>
        <v>0.104166666666667</v>
      </c>
      <c r="R66" s="21">
        <v>0</v>
      </c>
      <c r="S66" s="31">
        <v>0.00143116666666667</v>
      </c>
      <c r="T66" s="31">
        <v>0.00333333333333333</v>
      </c>
      <c r="U66" s="20">
        <v>0</v>
      </c>
      <c r="V66" s="21">
        <f t="shared" ref="V66:V97" si="38">(I66+Q66+(N66*O66/K66/M66)/2)/H66*1.11+R66*1.03+S66+T66+U66</f>
        <v>0.219009916780548</v>
      </c>
      <c r="W66" s="20">
        <v>0.2</v>
      </c>
      <c r="X66" s="62">
        <f t="shared" si="20"/>
        <v>0.0190099167805479</v>
      </c>
      <c r="Y66" s="75">
        <f t="shared" si="21"/>
        <v>0.0152200109581037</v>
      </c>
      <c r="Z66" s="76">
        <f t="shared" si="22"/>
        <v>0.475625342440744</v>
      </c>
      <c r="AA66" s="22">
        <f t="shared" si="23"/>
        <v>0.0372962962962963</v>
      </c>
      <c r="AB66" s="76">
        <f t="shared" si="24"/>
        <v>0.170295011497894</v>
      </c>
      <c r="AC66" s="77">
        <f t="shared" si="25"/>
        <v>0.00653471170486187</v>
      </c>
      <c r="AD66" s="77">
        <f t="shared" si="26"/>
        <v>0</v>
      </c>
      <c r="AE66" s="77">
        <f t="shared" si="27"/>
        <v>0.808683404866401</v>
      </c>
      <c r="AF66" s="78"/>
      <c r="AG66" s="171">
        <f t="shared" si="11"/>
        <v>0.274983944588079</v>
      </c>
      <c r="AH66" s="84">
        <f t="shared" si="28"/>
        <v>0</v>
      </c>
      <c r="AI66" s="85">
        <f t="shared" si="29"/>
        <v>0</v>
      </c>
      <c r="AJ66" s="85">
        <f t="shared" si="30"/>
        <v>0</v>
      </c>
      <c r="AK66" s="76">
        <f t="shared" si="31"/>
        <v>0.255577594979948</v>
      </c>
      <c r="AL66" s="76">
        <f t="shared" si="32"/>
        <v>0.374919722940395</v>
      </c>
    </row>
    <row r="67" spans="1:38">
      <c r="A67" s="17">
        <v>63</v>
      </c>
      <c r="B67" s="18" t="s">
        <v>177</v>
      </c>
      <c r="C67" s="23" t="s">
        <v>178</v>
      </c>
      <c r="D67" s="20" t="s">
        <v>59</v>
      </c>
      <c r="E67" s="55">
        <v>0.052</v>
      </c>
      <c r="F67" s="55">
        <v>0.0546</v>
      </c>
      <c r="G67" s="21">
        <v>18.5841</v>
      </c>
      <c r="H67" s="56">
        <v>0.96</v>
      </c>
      <c r="I67" s="21">
        <f t="shared" si="36"/>
        <v>1.0569706875</v>
      </c>
      <c r="J67" s="20" t="s">
        <v>165</v>
      </c>
      <c r="K67" s="21">
        <v>48</v>
      </c>
      <c r="L67" s="61">
        <v>75</v>
      </c>
      <c r="M67" s="20">
        <v>2</v>
      </c>
      <c r="N67" s="20">
        <v>67.9</v>
      </c>
      <c r="O67" s="20">
        <v>0.76</v>
      </c>
      <c r="P67" s="20">
        <v>22.5</v>
      </c>
      <c r="Q67" s="21">
        <f t="shared" si="37"/>
        <v>0.234375</v>
      </c>
      <c r="R67" s="21">
        <v>0</v>
      </c>
      <c r="S67" s="31">
        <v>0.106571111111111</v>
      </c>
      <c r="T67" s="31">
        <v>0.222222222222222</v>
      </c>
      <c r="U67" s="20">
        <v>0.3</v>
      </c>
      <c r="V67" s="21">
        <f t="shared" si="38"/>
        <v>2.43267806054687</v>
      </c>
      <c r="W67" s="20">
        <v>3.44</v>
      </c>
      <c r="X67" s="62">
        <f t="shared" si="20"/>
        <v>-1.00732193945313</v>
      </c>
      <c r="Y67" s="75">
        <f t="shared" si="21"/>
        <v>0.0913488002486717</v>
      </c>
      <c r="Z67" s="76">
        <f t="shared" si="22"/>
        <v>0.096344437762271</v>
      </c>
      <c r="AA67" s="22">
        <f t="shared" si="23"/>
        <v>0.268770833333333</v>
      </c>
      <c r="AB67" s="76">
        <f t="shared" si="24"/>
        <v>0.110483519250761</v>
      </c>
      <c r="AC67" s="77">
        <f t="shared" si="25"/>
        <v>0.0438081441352555</v>
      </c>
      <c r="AD67" s="77">
        <f t="shared" si="26"/>
        <v>0.123320880335707</v>
      </c>
      <c r="AE67" s="77">
        <f t="shared" si="27"/>
        <v>0.565511481094876</v>
      </c>
      <c r="AF67" s="78">
        <v>3730</v>
      </c>
      <c r="AG67" s="171">
        <f t="shared" si="11"/>
        <v>2.90396325954861</v>
      </c>
      <c r="AH67" s="84">
        <f t="shared" si="28"/>
        <v>10831.7829581163</v>
      </c>
      <c r="AI67" s="85">
        <f t="shared" si="29"/>
        <v>9073.88916583982</v>
      </c>
      <c r="AJ67" s="85">
        <f t="shared" si="30"/>
        <v>12831.2</v>
      </c>
      <c r="AK67" s="76">
        <f t="shared" si="31"/>
        <v>0.193731018766945</v>
      </c>
      <c r="AL67" s="76">
        <f t="shared" si="32"/>
        <v>-0.155824633852148</v>
      </c>
    </row>
    <row r="68" spans="1:38">
      <c r="A68" s="17">
        <v>64</v>
      </c>
      <c r="B68" s="18" t="s">
        <v>179</v>
      </c>
      <c r="C68" s="23" t="s">
        <v>180</v>
      </c>
      <c r="D68" s="20" t="s">
        <v>59</v>
      </c>
      <c r="E68" s="55">
        <v>0.047</v>
      </c>
      <c r="F68" s="55">
        <v>0.04935</v>
      </c>
      <c r="G68" s="21">
        <v>18.5841</v>
      </c>
      <c r="H68" s="56">
        <v>0.96</v>
      </c>
      <c r="I68" s="21">
        <f t="shared" si="36"/>
        <v>0.955338890625</v>
      </c>
      <c r="J68" s="20" t="s">
        <v>165</v>
      </c>
      <c r="K68" s="21">
        <v>48</v>
      </c>
      <c r="L68" s="61">
        <v>75</v>
      </c>
      <c r="M68" s="20">
        <v>2</v>
      </c>
      <c r="N68" s="20">
        <v>67.9</v>
      </c>
      <c r="O68" s="20">
        <v>0.76</v>
      </c>
      <c r="P68" s="20">
        <v>22.5</v>
      </c>
      <c r="Q68" s="21">
        <f t="shared" si="37"/>
        <v>0.234375</v>
      </c>
      <c r="R68" s="21">
        <v>0</v>
      </c>
      <c r="S68" s="31">
        <v>0.106571111111111</v>
      </c>
      <c r="T68" s="31">
        <v>0.222222222222222</v>
      </c>
      <c r="U68" s="20">
        <v>0.3</v>
      </c>
      <c r="V68" s="21">
        <f t="shared" si="38"/>
        <v>2.31516629541016</v>
      </c>
      <c r="W68" s="20">
        <v>2.97</v>
      </c>
      <c r="X68" s="62">
        <f t="shared" si="20"/>
        <v>-0.654833704589844</v>
      </c>
      <c r="Y68" s="75">
        <f t="shared" si="21"/>
        <v>0.0959854256097196</v>
      </c>
      <c r="Z68" s="76">
        <f t="shared" si="22"/>
        <v>0.101234628572751</v>
      </c>
      <c r="AA68" s="22">
        <f t="shared" si="23"/>
        <v>0.268770833333333</v>
      </c>
      <c r="AB68" s="76">
        <f t="shared" si="24"/>
        <v>0.116091372730406</v>
      </c>
      <c r="AC68" s="77">
        <f t="shared" si="25"/>
        <v>0.0460317305596532</v>
      </c>
      <c r="AD68" s="77">
        <f t="shared" si="26"/>
        <v>0.129580324573122</v>
      </c>
      <c r="AE68" s="77">
        <f t="shared" si="27"/>
        <v>0.587356254918289</v>
      </c>
      <c r="AF68" s="78">
        <v>21171</v>
      </c>
      <c r="AG68" s="171">
        <f t="shared" si="11"/>
        <v>2.75575022243924</v>
      </c>
      <c r="AH68" s="84">
        <f t="shared" si="28"/>
        <v>58341.9879592611</v>
      </c>
      <c r="AI68" s="85">
        <f t="shared" si="29"/>
        <v>49014.3856401285</v>
      </c>
      <c r="AJ68" s="85">
        <f t="shared" si="30"/>
        <v>62877.87</v>
      </c>
      <c r="AK68" s="76">
        <f t="shared" si="31"/>
        <v>0.190303360887094</v>
      </c>
      <c r="AL68" s="76">
        <f t="shared" si="32"/>
        <v>-0.0721379722426817</v>
      </c>
    </row>
    <row r="69" ht="28" spans="1:38">
      <c r="A69" s="17">
        <v>65</v>
      </c>
      <c r="B69" s="18" t="s">
        <v>181</v>
      </c>
      <c r="C69" s="19" t="s">
        <v>182</v>
      </c>
      <c r="D69" s="20" t="s">
        <v>86</v>
      </c>
      <c r="E69" s="55">
        <v>0.024</v>
      </c>
      <c r="F69" s="55">
        <v>0.0252</v>
      </c>
      <c r="G69" s="21">
        <v>13.7168</v>
      </c>
      <c r="H69" s="56">
        <v>0.98</v>
      </c>
      <c r="I69" s="21">
        <f t="shared" si="36"/>
        <v>0.352717714285714</v>
      </c>
      <c r="J69" s="20" t="s">
        <v>120</v>
      </c>
      <c r="K69" s="21">
        <v>48</v>
      </c>
      <c r="L69" s="61">
        <v>75</v>
      </c>
      <c r="M69" s="20">
        <v>1</v>
      </c>
      <c r="N69" s="20">
        <v>39.75</v>
      </c>
      <c r="O69" s="20">
        <v>0.76</v>
      </c>
      <c r="P69" s="20">
        <v>22.5</v>
      </c>
      <c r="Q69" s="21">
        <f t="shared" si="37"/>
        <v>0.46875</v>
      </c>
      <c r="R69" s="21">
        <v>0</v>
      </c>
      <c r="S69" s="31">
        <v>0.084124</v>
      </c>
      <c r="T69" s="31">
        <v>0.2</v>
      </c>
      <c r="U69" s="20">
        <v>0</v>
      </c>
      <c r="V69" s="21">
        <f t="shared" si="38"/>
        <v>1.57099368148688</v>
      </c>
      <c r="W69" s="20">
        <v>1.34</v>
      </c>
      <c r="X69" s="62">
        <f t="shared" si="20"/>
        <v>0.23099368148688</v>
      </c>
      <c r="Y69" s="75">
        <f t="shared" si="21"/>
        <v>0.12730795951433</v>
      </c>
      <c r="Z69" s="76">
        <f t="shared" si="22"/>
        <v>0.298378030111711</v>
      </c>
      <c r="AA69" s="22">
        <f t="shared" si="23"/>
        <v>0.3146875</v>
      </c>
      <c r="AB69" s="76">
        <f t="shared" si="24"/>
        <v>0.200311117548329</v>
      </c>
      <c r="AC69" s="77">
        <f t="shared" si="25"/>
        <v>0.0535482739309175</v>
      </c>
      <c r="AD69" s="77">
        <f t="shared" si="26"/>
        <v>0</v>
      </c>
      <c r="AE69" s="77">
        <f t="shared" si="27"/>
        <v>0.775481137548636</v>
      </c>
      <c r="AF69" s="78">
        <v>28781</v>
      </c>
      <c r="AG69" s="171">
        <f t="shared" si="11"/>
        <v>1.90720287755102</v>
      </c>
      <c r="AH69" s="84">
        <f t="shared" si="28"/>
        <v>54891.2060187959</v>
      </c>
      <c r="AI69" s="85">
        <f t="shared" si="29"/>
        <v>45214.7691468739</v>
      </c>
      <c r="AJ69" s="85">
        <f t="shared" si="30"/>
        <v>38566.54</v>
      </c>
      <c r="AK69" s="76">
        <f t="shared" si="31"/>
        <v>0.214010533604395</v>
      </c>
      <c r="AL69" s="76">
        <f t="shared" si="32"/>
        <v>0.423285729515687</v>
      </c>
    </row>
    <row r="70" spans="1:38">
      <c r="A70" s="17">
        <v>66</v>
      </c>
      <c r="B70" s="18" t="s">
        <v>183</v>
      </c>
      <c r="C70" s="19" t="s">
        <v>151</v>
      </c>
      <c r="D70" s="20" t="s">
        <v>86</v>
      </c>
      <c r="E70" s="55">
        <v>0.018</v>
      </c>
      <c r="F70" s="55">
        <v>0.0189</v>
      </c>
      <c r="G70" s="21">
        <v>13.7168</v>
      </c>
      <c r="H70" s="56">
        <v>0.98</v>
      </c>
      <c r="I70" s="21">
        <f t="shared" si="36"/>
        <v>0.264538285714286</v>
      </c>
      <c r="J70" s="20" t="s">
        <v>120</v>
      </c>
      <c r="K70" s="21">
        <v>48</v>
      </c>
      <c r="L70" s="61">
        <v>75</v>
      </c>
      <c r="M70" s="20">
        <v>1</v>
      </c>
      <c r="N70" s="20">
        <v>39.75</v>
      </c>
      <c r="O70" s="20">
        <v>0.76</v>
      </c>
      <c r="P70" s="20">
        <v>22.5</v>
      </c>
      <c r="Q70" s="21">
        <f t="shared" si="37"/>
        <v>0.46875</v>
      </c>
      <c r="R70" s="21">
        <v>0</v>
      </c>
      <c r="S70" s="31">
        <v>0.0146026666666667</v>
      </c>
      <c r="T70" s="31">
        <v>0.0333333333333333</v>
      </c>
      <c r="U70" s="20">
        <v>0</v>
      </c>
      <c r="V70" s="21">
        <f t="shared" si="38"/>
        <v>1.23492898177843</v>
      </c>
      <c r="W70" s="20">
        <v>1.19</v>
      </c>
      <c r="X70" s="62">
        <f t="shared" ref="X70:X101" si="39">V70-W70</f>
        <v>0.0449289817784257</v>
      </c>
      <c r="Y70" s="75">
        <f t="shared" ref="Y70:Y101" si="40">T70/V70</f>
        <v>0.0269921054774581</v>
      </c>
      <c r="Z70" s="76">
        <f t="shared" ref="Z70:Z101" si="41">Q70/V70</f>
        <v>0.379576483276755</v>
      </c>
      <c r="AA70" s="22">
        <f t="shared" ref="AA70:AA101" si="42">(N70*O70/K70/M70)/2</f>
        <v>0.3146875</v>
      </c>
      <c r="AB70" s="76">
        <f t="shared" ref="AB70:AB101" si="43">AA70/V70</f>
        <v>0.254822345773128</v>
      </c>
      <c r="AC70" s="77">
        <f t="shared" ref="AC70:AC101" si="44">S70/V70</f>
        <v>0.0118247015675649</v>
      </c>
      <c r="AD70" s="77">
        <f t="shared" ref="AD70:AD101" si="45">U70/V70</f>
        <v>0</v>
      </c>
      <c r="AE70" s="77">
        <f t="shared" ref="AE70:AE101" si="46">1-I70/V70</f>
        <v>0.785786640675221</v>
      </c>
      <c r="AF70" s="78">
        <v>16997</v>
      </c>
      <c r="AG70" s="171">
        <f t="shared" ref="AG70:AG133" si="47">(I70+Q70+(N70*O70/K70/M70)/2)/H70*1.4+R70*1.1+S70+T70+U70</f>
        <v>1.54504426530612</v>
      </c>
      <c r="AH70" s="84">
        <f t="shared" ref="AH70:AH101" si="48">AG70*AF70</f>
        <v>26261.1173774082</v>
      </c>
      <c r="AI70" s="85">
        <f t="shared" ref="AI70:AI101" si="49">V70*AF70</f>
        <v>20990.087903288</v>
      </c>
      <c r="AJ70" s="85">
        <f t="shared" ref="AJ70:AJ101" si="50">W70*AF70</f>
        <v>20226.43</v>
      </c>
      <c r="AK70" s="76">
        <f t="shared" ref="AK70:AK101" si="51">(AG70-V70)/V70</f>
        <v>0.251119933294539</v>
      </c>
      <c r="AL70" s="76">
        <f t="shared" ref="AL70:AL101" si="52">(AG70-W70)/W70</f>
        <v>0.29835652546733</v>
      </c>
    </row>
    <row r="71" ht="28" spans="1:38">
      <c r="A71" s="17">
        <v>67</v>
      </c>
      <c r="B71" s="18" t="s">
        <v>184</v>
      </c>
      <c r="C71" s="19" t="s">
        <v>185</v>
      </c>
      <c r="D71" s="20" t="s">
        <v>59</v>
      </c>
      <c r="E71" s="55">
        <v>0.035</v>
      </c>
      <c r="F71" s="55">
        <v>0.03675</v>
      </c>
      <c r="G71" s="21">
        <v>18.5841</v>
      </c>
      <c r="H71" s="56">
        <v>0.9</v>
      </c>
      <c r="I71" s="21">
        <f t="shared" si="36"/>
        <v>0.75885075</v>
      </c>
      <c r="J71" s="20" t="s">
        <v>120</v>
      </c>
      <c r="K71" s="21">
        <v>48</v>
      </c>
      <c r="L71" s="61">
        <v>75</v>
      </c>
      <c r="M71" s="20">
        <v>2</v>
      </c>
      <c r="N71" s="20">
        <v>39.75</v>
      </c>
      <c r="O71" s="20">
        <v>0.76</v>
      </c>
      <c r="P71" s="20">
        <v>22.5</v>
      </c>
      <c r="Q71" s="21">
        <f t="shared" si="37"/>
        <v>0.234375</v>
      </c>
      <c r="R71" s="21">
        <v>0</v>
      </c>
      <c r="S71" s="31">
        <v>0.106571111111111</v>
      </c>
      <c r="T71" s="31">
        <v>0.222222222222222</v>
      </c>
      <c r="U71" s="20">
        <v>0.3</v>
      </c>
      <c r="V71" s="21">
        <f t="shared" si="38"/>
        <v>2.04782905</v>
      </c>
      <c r="W71" s="20">
        <v>3.27</v>
      </c>
      <c r="X71" s="62">
        <f t="shared" si="39"/>
        <v>-1.22217095</v>
      </c>
      <c r="Y71" s="75">
        <f t="shared" si="40"/>
        <v>0.108516002457442</v>
      </c>
      <c r="Z71" s="76">
        <f t="shared" si="41"/>
        <v>0.114450471341834</v>
      </c>
      <c r="AA71" s="22">
        <f t="shared" si="42"/>
        <v>0.15734375</v>
      </c>
      <c r="AB71" s="76">
        <f t="shared" si="43"/>
        <v>0.0768344164274845</v>
      </c>
      <c r="AC71" s="77">
        <f t="shared" si="44"/>
        <v>0.0520410192985157</v>
      </c>
      <c r="AD71" s="77">
        <f t="shared" si="45"/>
        <v>0.146496603317547</v>
      </c>
      <c r="AE71" s="77">
        <f t="shared" si="46"/>
        <v>0.629436475666755</v>
      </c>
      <c r="AF71" s="78">
        <v>6419</v>
      </c>
      <c r="AG71" s="171">
        <f t="shared" si="47"/>
        <v>2.41856811111111</v>
      </c>
      <c r="AH71" s="84">
        <f t="shared" si="48"/>
        <v>15524.7887052222</v>
      </c>
      <c r="AI71" s="85">
        <f t="shared" si="49"/>
        <v>13145.01467195</v>
      </c>
      <c r="AJ71" s="85">
        <f t="shared" si="50"/>
        <v>20990.13</v>
      </c>
      <c r="AK71" s="76">
        <f t="shared" si="51"/>
        <v>0.181040043899715</v>
      </c>
      <c r="AL71" s="76">
        <f t="shared" si="52"/>
        <v>-0.260376724430853</v>
      </c>
    </row>
    <row r="72" spans="1:38">
      <c r="A72" s="17">
        <v>68</v>
      </c>
      <c r="B72" s="18" t="s">
        <v>186</v>
      </c>
      <c r="C72" s="23" t="s">
        <v>178</v>
      </c>
      <c r="D72" s="20" t="s">
        <v>59</v>
      </c>
      <c r="E72" s="55">
        <v>0</v>
      </c>
      <c r="F72" s="55">
        <v>0.03702</v>
      </c>
      <c r="G72" s="21">
        <v>18.5841</v>
      </c>
      <c r="H72" s="56">
        <v>0.9</v>
      </c>
      <c r="I72" s="21">
        <f t="shared" si="36"/>
        <v>0.76442598</v>
      </c>
      <c r="J72" s="20" t="s">
        <v>120</v>
      </c>
      <c r="K72" s="21">
        <v>55</v>
      </c>
      <c r="L72" s="61">
        <v>65.4545454545455</v>
      </c>
      <c r="M72" s="20">
        <v>2</v>
      </c>
      <c r="N72" s="20">
        <v>39.75</v>
      </c>
      <c r="O72" s="20">
        <v>0.76</v>
      </c>
      <c r="P72" s="20">
        <v>22.5</v>
      </c>
      <c r="Q72" s="21">
        <f t="shared" si="37"/>
        <v>0.204545454545455</v>
      </c>
      <c r="R72" s="21">
        <v>0</v>
      </c>
      <c r="S72" s="31">
        <v>0.106571111111111</v>
      </c>
      <c r="T72" s="31">
        <v>0.222222222222222</v>
      </c>
      <c r="U72" s="20">
        <v>0.3</v>
      </c>
      <c r="V72" s="21">
        <f t="shared" si="38"/>
        <v>1.99321719351515</v>
      </c>
      <c r="W72" s="20">
        <v>2.79</v>
      </c>
      <c r="X72" s="62">
        <f t="shared" si="39"/>
        <v>-0.796782806484849</v>
      </c>
      <c r="Y72" s="75">
        <f t="shared" si="40"/>
        <v>0.111489215999748</v>
      </c>
      <c r="Z72" s="76">
        <f t="shared" si="41"/>
        <v>0.102620755636132</v>
      </c>
      <c r="AA72" s="22">
        <f t="shared" si="42"/>
        <v>0.137318181818182</v>
      </c>
      <c r="AB72" s="76">
        <f t="shared" si="43"/>
        <v>0.0688927339503898</v>
      </c>
      <c r="AC72" s="77">
        <f t="shared" si="44"/>
        <v>0.0534668833169991</v>
      </c>
      <c r="AD72" s="77">
        <f t="shared" si="45"/>
        <v>0.15051044159966</v>
      </c>
      <c r="AE72" s="77">
        <f t="shared" si="46"/>
        <v>0.616486360599824</v>
      </c>
      <c r="AF72" s="78">
        <v>2500</v>
      </c>
      <c r="AG72" s="171">
        <f t="shared" si="47"/>
        <v>2.34968829212121</v>
      </c>
      <c r="AH72" s="84">
        <f t="shared" si="48"/>
        <v>5874.22073030303</v>
      </c>
      <c r="AI72" s="85">
        <f t="shared" si="49"/>
        <v>4983.04298378787</v>
      </c>
      <c r="AJ72" s="85">
        <f t="shared" si="50"/>
        <v>6975</v>
      </c>
      <c r="AK72" s="76">
        <f t="shared" si="51"/>
        <v>0.178842074895714</v>
      </c>
      <c r="AL72" s="76">
        <f t="shared" si="52"/>
        <v>-0.15781781644401</v>
      </c>
    </row>
    <row r="73" spans="1:38">
      <c r="A73" s="17">
        <v>69</v>
      </c>
      <c r="B73" s="18" t="s">
        <v>187</v>
      </c>
      <c r="C73" s="23" t="s">
        <v>188</v>
      </c>
      <c r="D73" s="20" t="s">
        <v>86</v>
      </c>
      <c r="E73" s="55">
        <v>0.048</v>
      </c>
      <c r="F73" s="55">
        <v>0.0504</v>
      </c>
      <c r="G73" s="21">
        <v>13.7168</v>
      </c>
      <c r="H73" s="56">
        <v>0.95</v>
      </c>
      <c r="I73" s="21">
        <f t="shared" si="36"/>
        <v>0.727712336842105</v>
      </c>
      <c r="J73" s="20" t="s">
        <v>120</v>
      </c>
      <c r="K73" s="21">
        <v>42.3529411764705</v>
      </c>
      <c r="L73" s="61">
        <v>85.0000000000002</v>
      </c>
      <c r="M73" s="20">
        <v>2</v>
      </c>
      <c r="N73" s="20">
        <v>39.75</v>
      </c>
      <c r="O73" s="20">
        <v>0.76</v>
      </c>
      <c r="P73" s="20">
        <v>22.5</v>
      </c>
      <c r="Q73" s="21">
        <f t="shared" si="37"/>
        <v>0.265625000000001</v>
      </c>
      <c r="R73" s="21">
        <v>0</v>
      </c>
      <c r="S73" s="31">
        <v>0.042062</v>
      </c>
      <c r="T73" s="31">
        <v>0.1</v>
      </c>
      <c r="U73" s="20">
        <v>0</v>
      </c>
      <c r="V73" s="21">
        <f t="shared" si="38"/>
        <v>1.5110545067313</v>
      </c>
      <c r="W73" s="20">
        <v>2.48</v>
      </c>
      <c r="X73" s="62">
        <f t="shared" si="39"/>
        <v>-0.968945493268697</v>
      </c>
      <c r="Y73" s="75">
        <f t="shared" si="40"/>
        <v>0.066178949570998</v>
      </c>
      <c r="Z73" s="76">
        <f t="shared" si="41"/>
        <v>0.175787834797964</v>
      </c>
      <c r="AA73" s="22">
        <f t="shared" si="42"/>
        <v>0.178322916666667</v>
      </c>
      <c r="AB73" s="76">
        <f t="shared" si="43"/>
        <v>0.118012233094366</v>
      </c>
      <c r="AC73" s="77">
        <f t="shared" si="44"/>
        <v>0.0278361897685532</v>
      </c>
      <c r="AD73" s="77">
        <f t="shared" si="45"/>
        <v>0</v>
      </c>
      <c r="AE73" s="77">
        <f t="shared" si="46"/>
        <v>0.518407619579332</v>
      </c>
      <c r="AF73" s="78">
        <v>10500</v>
      </c>
      <c r="AG73" s="171">
        <f t="shared" si="47"/>
        <v>1.86871921569714</v>
      </c>
      <c r="AH73" s="84">
        <f t="shared" si="48"/>
        <v>19621.55176482</v>
      </c>
      <c r="AI73" s="85">
        <f t="shared" si="49"/>
        <v>15866.0723206786</v>
      </c>
      <c r="AJ73" s="85">
        <f t="shared" si="50"/>
        <v>26040</v>
      </c>
      <c r="AK73" s="76">
        <f t="shared" si="51"/>
        <v>0.23669874737976</v>
      </c>
      <c r="AL73" s="76">
        <f t="shared" si="52"/>
        <v>-0.246484187218895</v>
      </c>
    </row>
    <row r="74" spans="1:38">
      <c r="A74" s="17">
        <v>70</v>
      </c>
      <c r="B74" s="18" t="s">
        <v>189</v>
      </c>
      <c r="C74" s="23" t="s">
        <v>190</v>
      </c>
      <c r="D74" s="20" t="s">
        <v>43</v>
      </c>
      <c r="E74" s="55">
        <v>0.012</v>
      </c>
      <c r="F74" s="55">
        <v>0.0126</v>
      </c>
      <c r="G74" s="21">
        <v>15.3097</v>
      </c>
      <c r="H74" s="56">
        <v>0.95</v>
      </c>
      <c r="I74" s="21">
        <f t="shared" si="36"/>
        <v>0.203054968421053</v>
      </c>
      <c r="J74" s="20" t="s">
        <v>65</v>
      </c>
      <c r="K74" s="21">
        <v>55.3846153846154</v>
      </c>
      <c r="L74" s="61">
        <v>65</v>
      </c>
      <c r="M74" s="20">
        <v>2</v>
      </c>
      <c r="N74" s="20">
        <v>48.5</v>
      </c>
      <c r="O74" s="20">
        <v>0.76</v>
      </c>
      <c r="P74" s="20">
        <v>22.5</v>
      </c>
      <c r="Q74" s="21">
        <f t="shared" si="37"/>
        <v>0.203125</v>
      </c>
      <c r="R74" s="21">
        <v>0</v>
      </c>
      <c r="S74" s="31">
        <v>0.084124</v>
      </c>
      <c r="T74" s="31">
        <v>0.2</v>
      </c>
      <c r="U74" s="20">
        <v>0</v>
      </c>
      <c r="V74" s="21">
        <f t="shared" si="38"/>
        <v>0.953117392927054</v>
      </c>
      <c r="W74" s="20">
        <v>0.72</v>
      </c>
      <c r="X74" s="62">
        <f t="shared" si="39"/>
        <v>0.233117392927054</v>
      </c>
      <c r="Y74" s="75">
        <f t="shared" si="40"/>
        <v>0.209837740328915</v>
      </c>
      <c r="Z74" s="76">
        <f t="shared" si="41"/>
        <v>0.213116455021555</v>
      </c>
      <c r="AA74" s="22">
        <f t="shared" si="42"/>
        <v>0.166381944444444</v>
      </c>
      <c r="AB74" s="76">
        <f t="shared" si="43"/>
        <v>0.174566056268767</v>
      </c>
      <c r="AC74" s="77">
        <f t="shared" si="44"/>
        <v>0.0882619503371484</v>
      </c>
      <c r="AD74" s="77">
        <f t="shared" si="45"/>
        <v>0</v>
      </c>
      <c r="AE74" s="77">
        <f t="shared" si="46"/>
        <v>0.786957021319835</v>
      </c>
      <c r="AF74" s="78">
        <v>10625</v>
      </c>
      <c r="AG74" s="171">
        <f t="shared" si="47"/>
        <v>1.12789945053863</v>
      </c>
      <c r="AH74" s="84">
        <f t="shared" si="48"/>
        <v>11983.9316619729</v>
      </c>
      <c r="AI74" s="85">
        <f t="shared" si="49"/>
        <v>10126.8722998499</v>
      </c>
      <c r="AJ74" s="85">
        <f t="shared" si="50"/>
        <v>7650</v>
      </c>
      <c r="AK74" s="76">
        <f t="shared" si="51"/>
        <v>0.183379360096255</v>
      </c>
      <c r="AL74" s="76">
        <f t="shared" si="52"/>
        <v>0.566527014636983</v>
      </c>
    </row>
    <row r="75" spans="1:38">
      <c r="A75" s="17">
        <v>71</v>
      </c>
      <c r="B75" s="18" t="s">
        <v>191</v>
      </c>
      <c r="C75" s="23" t="s">
        <v>192</v>
      </c>
      <c r="D75" s="20" t="s">
        <v>43</v>
      </c>
      <c r="E75" s="55">
        <v>0.006</v>
      </c>
      <c r="F75" s="55">
        <v>0.0063</v>
      </c>
      <c r="G75" s="21">
        <v>15.3097</v>
      </c>
      <c r="H75" s="56">
        <v>0.95</v>
      </c>
      <c r="I75" s="21">
        <f t="shared" si="36"/>
        <v>0.101527484210526</v>
      </c>
      <c r="J75" s="20" t="s">
        <v>65</v>
      </c>
      <c r="K75" s="21">
        <v>65.4545454545455</v>
      </c>
      <c r="L75" s="61">
        <v>55</v>
      </c>
      <c r="M75" s="20">
        <v>6</v>
      </c>
      <c r="N75" s="20">
        <v>48.5</v>
      </c>
      <c r="O75" s="20">
        <v>0.76</v>
      </c>
      <c r="P75" s="20">
        <v>22.5</v>
      </c>
      <c r="Q75" s="21">
        <f t="shared" si="37"/>
        <v>0.0572916666666666</v>
      </c>
      <c r="R75" s="21">
        <v>0</v>
      </c>
      <c r="S75" s="31">
        <v>0.00477055555555556</v>
      </c>
      <c r="T75" s="31">
        <v>0.0111111111111111</v>
      </c>
      <c r="U75" s="20">
        <v>0</v>
      </c>
      <c r="V75" s="21">
        <f t="shared" si="38"/>
        <v>0.256281250557094</v>
      </c>
      <c r="W75" s="20">
        <v>0.46</v>
      </c>
      <c r="X75" s="62">
        <f t="shared" si="39"/>
        <v>-0.203718749442906</v>
      </c>
      <c r="Y75" s="75">
        <f t="shared" si="40"/>
        <v>0.0433551462971177</v>
      </c>
      <c r="Z75" s="76">
        <f t="shared" si="41"/>
        <v>0.223549973094513</v>
      </c>
      <c r="AA75" s="22">
        <f t="shared" si="42"/>
        <v>0.0469282407407407</v>
      </c>
      <c r="AB75" s="76">
        <f t="shared" si="43"/>
        <v>0.183112266850306</v>
      </c>
      <c r="AC75" s="77">
        <f t="shared" si="44"/>
        <v>0.0186145320626675</v>
      </c>
      <c r="AD75" s="77">
        <f t="shared" si="45"/>
        <v>0</v>
      </c>
      <c r="AE75" s="77">
        <f t="shared" si="46"/>
        <v>0.60384349619869</v>
      </c>
      <c r="AF75" s="78">
        <v>74291</v>
      </c>
      <c r="AG75" s="171">
        <f t="shared" si="47"/>
        <v>0.319088349050989</v>
      </c>
      <c r="AH75" s="84">
        <f t="shared" si="48"/>
        <v>23705.3925393471</v>
      </c>
      <c r="AI75" s="85">
        <f t="shared" si="49"/>
        <v>19039.3903851371</v>
      </c>
      <c r="AJ75" s="85">
        <f t="shared" si="50"/>
        <v>34173.86</v>
      </c>
      <c r="AK75" s="76">
        <f t="shared" si="51"/>
        <v>0.245070984933029</v>
      </c>
      <c r="AL75" s="76">
        <f t="shared" si="52"/>
        <v>-0.30632967597611</v>
      </c>
    </row>
    <row r="76" spans="1:38">
      <c r="A76" s="17">
        <v>72</v>
      </c>
      <c r="B76" s="18" t="s">
        <v>193</v>
      </c>
      <c r="C76" s="23" t="s">
        <v>194</v>
      </c>
      <c r="D76" s="20" t="s">
        <v>43</v>
      </c>
      <c r="E76" s="55">
        <v>0.004</v>
      </c>
      <c r="F76" s="55">
        <v>0.0042</v>
      </c>
      <c r="G76" s="21">
        <v>15.3097</v>
      </c>
      <c r="H76" s="56">
        <v>0.95</v>
      </c>
      <c r="I76" s="21">
        <f t="shared" si="36"/>
        <v>0.0676849894736842</v>
      </c>
      <c r="J76" s="20" t="s">
        <v>65</v>
      </c>
      <c r="K76" s="21">
        <v>65.4545454545455</v>
      </c>
      <c r="L76" s="61">
        <v>55</v>
      </c>
      <c r="M76" s="20">
        <v>6</v>
      </c>
      <c r="N76" s="20">
        <v>48.5</v>
      </c>
      <c r="O76" s="20">
        <v>0.76</v>
      </c>
      <c r="P76" s="20">
        <v>22.5</v>
      </c>
      <c r="Q76" s="21">
        <f t="shared" si="37"/>
        <v>0.0572916666666666</v>
      </c>
      <c r="R76" s="21">
        <v>0</v>
      </c>
      <c r="S76" s="31">
        <v>0.00477055555555556</v>
      </c>
      <c r="T76" s="31">
        <v>0.0111111111111111</v>
      </c>
      <c r="U76" s="20">
        <v>0</v>
      </c>
      <c r="V76" s="21">
        <f t="shared" si="38"/>
        <v>0.216738967232995</v>
      </c>
      <c r="W76" s="20">
        <v>0.32</v>
      </c>
      <c r="X76" s="62">
        <f t="shared" si="39"/>
        <v>-0.103261032767005</v>
      </c>
      <c r="Y76" s="75">
        <f t="shared" si="40"/>
        <v>0.051264944430443</v>
      </c>
      <c r="Z76" s="76">
        <f t="shared" si="41"/>
        <v>0.264334869719472</v>
      </c>
      <c r="AA76" s="22">
        <f t="shared" si="42"/>
        <v>0.0469282407407407</v>
      </c>
      <c r="AB76" s="76">
        <f t="shared" si="43"/>
        <v>0.216519628841327</v>
      </c>
      <c r="AC76" s="77">
        <f t="shared" si="44"/>
        <v>0.0220106038912108</v>
      </c>
      <c r="AD76" s="77">
        <f t="shared" si="45"/>
        <v>0</v>
      </c>
      <c r="AE76" s="77">
        <f t="shared" si="46"/>
        <v>0.687711949827081</v>
      </c>
      <c r="AF76" s="78">
        <v>74969</v>
      </c>
      <c r="AG76" s="171">
        <f t="shared" si="47"/>
        <v>0.269215198912486</v>
      </c>
      <c r="AH76" s="84">
        <f t="shared" si="48"/>
        <v>20182.7942472701</v>
      </c>
      <c r="AI76" s="85">
        <f t="shared" si="49"/>
        <v>16248.7036344904</v>
      </c>
      <c r="AJ76" s="85">
        <f t="shared" si="50"/>
        <v>23990.08</v>
      </c>
      <c r="AK76" s="76">
        <f t="shared" si="51"/>
        <v>0.242117199087133</v>
      </c>
      <c r="AL76" s="76">
        <f t="shared" si="52"/>
        <v>-0.158702503398482</v>
      </c>
    </row>
    <row r="77" spans="1:38">
      <c r="A77" s="17">
        <v>73</v>
      </c>
      <c r="B77" s="18" t="s">
        <v>195</v>
      </c>
      <c r="C77" s="23" t="s">
        <v>196</v>
      </c>
      <c r="D77" s="20" t="s">
        <v>43</v>
      </c>
      <c r="E77" s="55">
        <v>0.001</v>
      </c>
      <c r="F77" s="55">
        <v>0.00105</v>
      </c>
      <c r="G77" s="21">
        <v>15.3097</v>
      </c>
      <c r="H77" s="56">
        <v>0.95</v>
      </c>
      <c r="I77" s="21">
        <f t="shared" si="36"/>
        <v>0.0169212473684211</v>
      </c>
      <c r="J77" s="20" t="s">
        <v>65</v>
      </c>
      <c r="K77" s="21">
        <v>65.4545454545455</v>
      </c>
      <c r="L77" s="61">
        <v>55</v>
      </c>
      <c r="M77" s="20">
        <v>6</v>
      </c>
      <c r="N77" s="20">
        <v>48.5</v>
      </c>
      <c r="O77" s="20">
        <v>0.76</v>
      </c>
      <c r="P77" s="20">
        <v>22.5</v>
      </c>
      <c r="Q77" s="21">
        <f t="shared" si="37"/>
        <v>0.0572916666666666</v>
      </c>
      <c r="R77" s="21">
        <v>0</v>
      </c>
      <c r="S77" s="31">
        <v>0.00143116666666667</v>
      </c>
      <c r="T77" s="31">
        <v>0.00333333333333333</v>
      </c>
      <c r="U77" s="20">
        <v>0</v>
      </c>
      <c r="V77" s="21">
        <f t="shared" si="38"/>
        <v>0.146308375580178</v>
      </c>
      <c r="W77" s="20">
        <v>0.18</v>
      </c>
      <c r="X77" s="62">
        <f t="shared" si="39"/>
        <v>-0.0336916244198215</v>
      </c>
      <c r="Y77" s="75">
        <f t="shared" si="40"/>
        <v>0.0227829290026301</v>
      </c>
      <c r="Z77" s="76">
        <f t="shared" si="41"/>
        <v>0.391581592232704</v>
      </c>
      <c r="AA77" s="22">
        <f t="shared" si="42"/>
        <v>0.0469282407407407</v>
      </c>
      <c r="AB77" s="76">
        <f t="shared" si="43"/>
        <v>0.320748833104389</v>
      </c>
      <c r="AC77" s="77">
        <f t="shared" si="44"/>
        <v>0.00978185056727925</v>
      </c>
      <c r="AD77" s="77">
        <f t="shared" si="45"/>
        <v>0</v>
      </c>
      <c r="AE77" s="77">
        <f t="shared" si="46"/>
        <v>0.884345326770796</v>
      </c>
      <c r="AF77" s="78">
        <v>141071</v>
      </c>
      <c r="AG77" s="171">
        <f t="shared" si="47"/>
        <v>0.183288307038063</v>
      </c>
      <c r="AH77" s="84">
        <f t="shared" si="48"/>
        <v>25856.6647621666</v>
      </c>
      <c r="AI77" s="85">
        <f t="shared" si="49"/>
        <v>20639.8688514713</v>
      </c>
      <c r="AJ77" s="85">
        <f t="shared" si="50"/>
        <v>25392.78</v>
      </c>
      <c r="AK77" s="76">
        <f t="shared" si="51"/>
        <v>0.252753345878136</v>
      </c>
      <c r="AL77" s="76">
        <f t="shared" si="52"/>
        <v>0.0182683724336828</v>
      </c>
    </row>
    <row r="78" spans="1:38">
      <c r="A78" s="17">
        <v>74</v>
      </c>
      <c r="B78" s="18" t="s">
        <v>197</v>
      </c>
      <c r="C78" s="19" t="s">
        <v>198</v>
      </c>
      <c r="D78" s="20" t="s">
        <v>59</v>
      </c>
      <c r="E78" s="55">
        <v>0.014</v>
      </c>
      <c r="F78" s="55">
        <v>0.0147</v>
      </c>
      <c r="G78" s="21">
        <v>18.5841</v>
      </c>
      <c r="H78" s="56">
        <v>0.96</v>
      </c>
      <c r="I78" s="21">
        <f t="shared" si="36"/>
        <v>0.28456903125</v>
      </c>
      <c r="J78" s="20" t="s">
        <v>65</v>
      </c>
      <c r="K78" s="21">
        <v>48</v>
      </c>
      <c r="L78" s="61">
        <v>75</v>
      </c>
      <c r="M78" s="20">
        <v>2</v>
      </c>
      <c r="N78" s="20">
        <v>48.5</v>
      </c>
      <c r="O78" s="20">
        <v>0.76</v>
      </c>
      <c r="P78" s="20">
        <v>22.5</v>
      </c>
      <c r="Q78" s="21">
        <f t="shared" si="37"/>
        <v>0.234375</v>
      </c>
      <c r="R78" s="21">
        <v>0</v>
      </c>
      <c r="S78" s="31">
        <v>0.035438</v>
      </c>
      <c r="T78" s="31">
        <v>0.05</v>
      </c>
      <c r="U78" s="20">
        <v>0</v>
      </c>
      <c r="V78" s="21">
        <f t="shared" si="38"/>
        <v>0.907442947591146</v>
      </c>
      <c r="W78" s="20">
        <v>1.04</v>
      </c>
      <c r="X78" s="62">
        <f t="shared" si="39"/>
        <v>-0.132557052408854</v>
      </c>
      <c r="Y78" s="75">
        <f t="shared" si="40"/>
        <v>0.0550998827339257</v>
      </c>
      <c r="Z78" s="76">
        <f t="shared" si="41"/>
        <v>0.258280700315277</v>
      </c>
      <c r="AA78" s="22">
        <f t="shared" si="42"/>
        <v>0.191979166666667</v>
      </c>
      <c r="AB78" s="76">
        <f t="shared" si="43"/>
        <v>0.211560591413802</v>
      </c>
      <c r="AC78" s="77">
        <f t="shared" si="44"/>
        <v>0.0390525928864972</v>
      </c>
      <c r="AD78" s="77">
        <f t="shared" si="45"/>
        <v>0</v>
      </c>
      <c r="AE78" s="77">
        <f t="shared" si="46"/>
        <v>0.686405594968363</v>
      </c>
      <c r="AF78" s="78">
        <v>27360</v>
      </c>
      <c r="AG78" s="171">
        <f t="shared" si="47"/>
        <v>1.12220099696181</v>
      </c>
      <c r="AH78" s="84">
        <f t="shared" si="48"/>
        <v>30703.419276875</v>
      </c>
      <c r="AI78" s="85">
        <f t="shared" si="49"/>
        <v>24827.6390460938</v>
      </c>
      <c r="AJ78" s="85">
        <f t="shared" si="50"/>
        <v>28454.4</v>
      </c>
      <c r="AK78" s="76">
        <f t="shared" si="51"/>
        <v>0.236662866729799</v>
      </c>
      <c r="AL78" s="76">
        <f t="shared" si="52"/>
        <v>0.0790394201555823</v>
      </c>
    </row>
    <row r="79" spans="1:38">
      <c r="A79" s="17">
        <v>75</v>
      </c>
      <c r="B79" s="18" t="s">
        <v>199</v>
      </c>
      <c r="C79" s="19" t="s">
        <v>200</v>
      </c>
      <c r="D79" s="20" t="s">
        <v>59</v>
      </c>
      <c r="E79" s="55">
        <v>0.015</v>
      </c>
      <c r="F79" s="55">
        <v>0.01575</v>
      </c>
      <c r="G79" s="21">
        <v>18.5841</v>
      </c>
      <c r="H79" s="56">
        <v>0.96</v>
      </c>
      <c r="I79" s="21">
        <f t="shared" si="36"/>
        <v>0.304895390625</v>
      </c>
      <c r="J79" s="20" t="s">
        <v>65</v>
      </c>
      <c r="K79" s="21">
        <v>48</v>
      </c>
      <c r="L79" s="61">
        <v>75</v>
      </c>
      <c r="M79" s="20">
        <v>2</v>
      </c>
      <c r="N79" s="20">
        <v>48.5</v>
      </c>
      <c r="O79" s="20">
        <v>0.76</v>
      </c>
      <c r="P79" s="20">
        <v>22.5</v>
      </c>
      <c r="Q79" s="21">
        <f t="shared" si="37"/>
        <v>0.234375</v>
      </c>
      <c r="R79" s="21">
        <v>0</v>
      </c>
      <c r="S79" s="31">
        <v>0.0437553333333333</v>
      </c>
      <c r="T79" s="31">
        <v>0.0666666666666667</v>
      </c>
      <c r="U79" s="20">
        <v>0</v>
      </c>
      <c r="V79" s="21">
        <f t="shared" si="38"/>
        <v>0.95592930061849</v>
      </c>
      <c r="W79" s="20">
        <v>1.04</v>
      </c>
      <c r="X79" s="62">
        <f t="shared" si="39"/>
        <v>-0.0840706993815103</v>
      </c>
      <c r="Y79" s="75">
        <f t="shared" si="40"/>
        <v>0.0697401644907558</v>
      </c>
      <c r="Z79" s="76">
        <f t="shared" si="41"/>
        <v>0.245180265787813</v>
      </c>
      <c r="AA79" s="22">
        <f t="shared" si="42"/>
        <v>0.191979166666667</v>
      </c>
      <c r="AB79" s="76">
        <f t="shared" si="43"/>
        <v>0.200829879931973</v>
      </c>
      <c r="AC79" s="77">
        <f t="shared" si="44"/>
        <v>0.0457725621602177</v>
      </c>
      <c r="AD79" s="77">
        <f t="shared" si="45"/>
        <v>0</v>
      </c>
      <c r="AE79" s="77">
        <f t="shared" si="46"/>
        <v>0.681048179580089</v>
      </c>
      <c r="AF79" s="78">
        <v>0</v>
      </c>
      <c r="AG79" s="171">
        <f t="shared" si="47"/>
        <v>1.17682760438368</v>
      </c>
      <c r="AH79" s="84">
        <f t="shared" si="48"/>
        <v>0</v>
      </c>
      <c r="AI79" s="85">
        <f t="shared" si="49"/>
        <v>0</v>
      </c>
      <c r="AJ79" s="85">
        <f t="shared" si="50"/>
        <v>0</v>
      </c>
      <c r="AK79" s="76">
        <f t="shared" si="51"/>
        <v>0.2310822606047</v>
      </c>
      <c r="AL79" s="76">
        <f t="shared" si="52"/>
        <v>0.131565004215078</v>
      </c>
    </row>
    <row r="80" spans="1:38">
      <c r="A80" s="17">
        <v>76</v>
      </c>
      <c r="B80" s="18" t="s">
        <v>201</v>
      </c>
      <c r="C80" s="19" t="s">
        <v>202</v>
      </c>
      <c r="D80" s="20" t="s">
        <v>59</v>
      </c>
      <c r="E80" s="55">
        <v>0.015</v>
      </c>
      <c r="F80" s="55">
        <v>0.01575</v>
      </c>
      <c r="G80" s="21">
        <v>18.5841</v>
      </c>
      <c r="H80" s="56">
        <v>0.96</v>
      </c>
      <c r="I80" s="21">
        <f t="shared" si="36"/>
        <v>0.304895390625</v>
      </c>
      <c r="J80" s="20" t="s">
        <v>65</v>
      </c>
      <c r="K80" s="21">
        <v>48</v>
      </c>
      <c r="L80" s="61">
        <v>75</v>
      </c>
      <c r="M80" s="20">
        <v>2</v>
      </c>
      <c r="N80" s="20">
        <v>48.5</v>
      </c>
      <c r="O80" s="20">
        <v>0.76</v>
      </c>
      <c r="P80" s="20">
        <v>22.5</v>
      </c>
      <c r="Q80" s="21">
        <f t="shared" si="37"/>
        <v>0.234375</v>
      </c>
      <c r="R80" s="21">
        <v>0</v>
      </c>
      <c r="S80" s="31">
        <v>0.0437553333333333</v>
      </c>
      <c r="T80" s="31">
        <v>0.0666666666666667</v>
      </c>
      <c r="U80" s="20">
        <v>0.3</v>
      </c>
      <c r="V80" s="21">
        <f t="shared" si="38"/>
        <v>1.25592930061849</v>
      </c>
      <c r="W80" s="20">
        <v>1.22</v>
      </c>
      <c r="X80" s="62">
        <f t="shared" si="39"/>
        <v>0.0359293006184898</v>
      </c>
      <c r="Y80" s="75">
        <f t="shared" si="40"/>
        <v>0.0530815441871101</v>
      </c>
      <c r="Z80" s="76">
        <f t="shared" si="41"/>
        <v>0.186614803782809</v>
      </c>
      <c r="AA80" s="22">
        <f t="shared" si="42"/>
        <v>0.191979166666667</v>
      </c>
      <c r="AB80" s="76">
        <f t="shared" si="43"/>
        <v>0.152858259276319</v>
      </c>
      <c r="AC80" s="77">
        <f t="shared" si="44"/>
        <v>0.0348390098963259</v>
      </c>
      <c r="AD80" s="77">
        <f t="shared" si="45"/>
        <v>0.238866948841995</v>
      </c>
      <c r="AE80" s="77">
        <f t="shared" si="46"/>
        <v>0.757235227751393</v>
      </c>
      <c r="AF80" s="78">
        <v>20551</v>
      </c>
      <c r="AG80" s="171">
        <f t="shared" si="47"/>
        <v>1.47682760438368</v>
      </c>
      <c r="AH80" s="84">
        <f t="shared" si="48"/>
        <v>30350.284097689</v>
      </c>
      <c r="AI80" s="85">
        <f t="shared" si="49"/>
        <v>25810.6030570106</v>
      </c>
      <c r="AJ80" s="85">
        <f t="shared" si="50"/>
        <v>25072.22</v>
      </c>
      <c r="AK80" s="76">
        <f t="shared" si="51"/>
        <v>0.175884346082545</v>
      </c>
      <c r="AL80" s="76">
        <f t="shared" si="52"/>
        <v>0.210514429822689</v>
      </c>
    </row>
    <row r="81" spans="1:38">
      <c r="A81" s="17">
        <v>77</v>
      </c>
      <c r="B81" s="18" t="s">
        <v>203</v>
      </c>
      <c r="C81" s="23" t="s">
        <v>204</v>
      </c>
      <c r="D81" s="20" t="s">
        <v>86</v>
      </c>
      <c r="E81" s="55">
        <v>0</v>
      </c>
      <c r="F81" s="55">
        <v>0.124</v>
      </c>
      <c r="G81" s="21">
        <v>13.7168</v>
      </c>
      <c r="H81" s="56">
        <v>0.95</v>
      </c>
      <c r="I81" s="21">
        <f t="shared" si="36"/>
        <v>1.79040336842105</v>
      </c>
      <c r="J81" s="20" t="s">
        <v>87</v>
      </c>
      <c r="K81" s="21">
        <v>45</v>
      </c>
      <c r="L81" s="61">
        <v>80</v>
      </c>
      <c r="M81" s="20">
        <v>2</v>
      </c>
      <c r="N81" s="20">
        <v>75.9</v>
      </c>
      <c r="O81" s="20">
        <v>0.76</v>
      </c>
      <c r="P81" s="20">
        <v>22.5</v>
      </c>
      <c r="Q81" s="21">
        <f t="shared" si="37"/>
        <v>0.25</v>
      </c>
      <c r="R81" s="21">
        <v>0</v>
      </c>
      <c r="S81" s="31">
        <v>0.0560826666666667</v>
      </c>
      <c r="T81" s="31">
        <v>0.133333333333333</v>
      </c>
      <c r="U81" s="20">
        <v>0</v>
      </c>
      <c r="V81" s="21">
        <f t="shared" si="38"/>
        <v>2.94790625152355</v>
      </c>
      <c r="W81" s="20">
        <v>5</v>
      </c>
      <c r="X81" s="62">
        <f t="shared" si="39"/>
        <v>-2.05209374847645</v>
      </c>
      <c r="Y81" s="75">
        <f t="shared" si="40"/>
        <v>0.0452298417781851</v>
      </c>
      <c r="Z81" s="76">
        <f t="shared" si="41"/>
        <v>0.0848059533340973</v>
      </c>
      <c r="AA81" s="22">
        <f t="shared" si="42"/>
        <v>0.320466666666667</v>
      </c>
      <c r="AB81" s="76">
        <f t="shared" si="43"/>
        <v>0.108709924713868</v>
      </c>
      <c r="AC81" s="77">
        <f t="shared" si="44"/>
        <v>0.0190245760487403</v>
      </c>
      <c r="AD81" s="77">
        <f t="shared" si="45"/>
        <v>0</v>
      </c>
      <c r="AE81" s="77">
        <f t="shared" si="46"/>
        <v>0.392652541953895</v>
      </c>
      <c r="AF81" s="78">
        <v>48643</v>
      </c>
      <c r="AG81" s="171">
        <f t="shared" si="47"/>
        <v>3.66859289381348</v>
      </c>
      <c r="AH81" s="84">
        <f t="shared" si="48"/>
        <v>178451.364133769</v>
      </c>
      <c r="AI81" s="85">
        <f t="shared" si="49"/>
        <v>143395.00379286</v>
      </c>
      <c r="AJ81" s="85">
        <f t="shared" si="50"/>
        <v>243215</v>
      </c>
      <c r="AK81" s="76">
        <f t="shared" si="51"/>
        <v>0.244474071018187</v>
      </c>
      <c r="AL81" s="76">
        <f t="shared" si="52"/>
        <v>-0.266281421237305</v>
      </c>
    </row>
    <row r="82" spans="1:38">
      <c r="A82" s="17">
        <v>78</v>
      </c>
      <c r="B82" s="18" t="s">
        <v>205</v>
      </c>
      <c r="C82" s="23" t="s">
        <v>206</v>
      </c>
      <c r="D82" s="20" t="s">
        <v>86</v>
      </c>
      <c r="E82" s="55">
        <v>0</v>
      </c>
      <c r="F82" s="55">
        <v>0.09475</v>
      </c>
      <c r="G82" s="21">
        <v>13.7168</v>
      </c>
      <c r="H82" s="56">
        <v>0.95</v>
      </c>
      <c r="I82" s="21">
        <f t="shared" si="36"/>
        <v>1.36807031578947</v>
      </c>
      <c r="J82" s="20" t="s">
        <v>87</v>
      </c>
      <c r="K82" s="21">
        <v>45</v>
      </c>
      <c r="L82" s="61">
        <v>80</v>
      </c>
      <c r="M82" s="20">
        <v>2</v>
      </c>
      <c r="N82" s="20">
        <v>75.9</v>
      </c>
      <c r="O82" s="20">
        <v>0.76</v>
      </c>
      <c r="P82" s="20">
        <v>22.5</v>
      </c>
      <c r="Q82" s="21">
        <f t="shared" si="37"/>
        <v>0.25</v>
      </c>
      <c r="R82" s="21">
        <v>0</v>
      </c>
      <c r="S82" s="31">
        <v>0.0560826666666667</v>
      </c>
      <c r="T82" s="31">
        <v>0.133333333333333</v>
      </c>
      <c r="U82" s="20">
        <v>0</v>
      </c>
      <c r="V82" s="21">
        <f t="shared" si="38"/>
        <v>2.45444342160665</v>
      </c>
      <c r="W82" s="20">
        <v>4.46</v>
      </c>
      <c r="X82" s="62">
        <f t="shared" si="39"/>
        <v>-2.00555657839335</v>
      </c>
      <c r="Y82" s="75">
        <f t="shared" si="40"/>
        <v>0.0543232458159718</v>
      </c>
      <c r="Z82" s="76">
        <f t="shared" si="41"/>
        <v>0.101856085904947</v>
      </c>
      <c r="AA82" s="22">
        <f t="shared" si="42"/>
        <v>0.320466666666667</v>
      </c>
      <c r="AB82" s="76">
        <f t="shared" si="43"/>
        <v>0.130565921318689</v>
      </c>
      <c r="AC82" s="77">
        <f t="shared" si="44"/>
        <v>0.0228494436551141</v>
      </c>
      <c r="AD82" s="77">
        <f t="shared" si="45"/>
        <v>0</v>
      </c>
      <c r="AE82" s="77">
        <f t="shared" si="46"/>
        <v>0.442614849563757</v>
      </c>
      <c r="AF82" s="78">
        <v>49383</v>
      </c>
      <c r="AG82" s="171">
        <f t="shared" si="47"/>
        <v>3.04620734256694</v>
      </c>
      <c r="AH82" s="84">
        <f t="shared" si="48"/>
        <v>150430.857197983</v>
      </c>
      <c r="AI82" s="85">
        <f t="shared" si="49"/>
        <v>121207.779489201</v>
      </c>
      <c r="AJ82" s="85">
        <f t="shared" si="50"/>
        <v>220248.18</v>
      </c>
      <c r="AK82" s="76">
        <f t="shared" si="51"/>
        <v>0.241099027075118</v>
      </c>
      <c r="AL82" s="76">
        <f t="shared" si="52"/>
        <v>-0.31699386937961</v>
      </c>
    </row>
    <row r="83" spans="1:38">
      <c r="A83" s="17">
        <v>79</v>
      </c>
      <c r="B83" s="18" t="s">
        <v>207</v>
      </c>
      <c r="C83" s="23" t="s">
        <v>134</v>
      </c>
      <c r="D83" s="20" t="s">
        <v>86</v>
      </c>
      <c r="E83" s="55">
        <v>0.24</v>
      </c>
      <c r="F83" s="55">
        <v>0.2544</v>
      </c>
      <c r="G83" s="21">
        <v>13.7168</v>
      </c>
      <c r="H83" s="56">
        <v>0.95</v>
      </c>
      <c r="I83" s="21">
        <f t="shared" si="36"/>
        <v>3.67321465263158</v>
      </c>
      <c r="J83" s="20" t="s">
        <v>208</v>
      </c>
      <c r="K83" s="21">
        <v>32.7272727272727</v>
      </c>
      <c r="L83" s="61">
        <v>110</v>
      </c>
      <c r="M83" s="20">
        <v>2</v>
      </c>
      <c r="N83" s="20">
        <v>84.3</v>
      </c>
      <c r="O83" s="20">
        <v>0.76</v>
      </c>
      <c r="P83" s="20">
        <v>22.5</v>
      </c>
      <c r="Q83" s="21">
        <f t="shared" si="37"/>
        <v>0.34375</v>
      </c>
      <c r="R83" s="21">
        <v>0</v>
      </c>
      <c r="S83" s="31">
        <v>0.0560826666666667</v>
      </c>
      <c r="T83" s="31">
        <v>0.133333333333333</v>
      </c>
      <c r="U83" s="20">
        <v>0</v>
      </c>
      <c r="V83" s="21">
        <f t="shared" si="38"/>
        <v>5.45475706781164</v>
      </c>
      <c r="W83" s="20">
        <v>8.91</v>
      </c>
      <c r="X83" s="62">
        <f t="shared" si="39"/>
        <v>-3.45524293218836</v>
      </c>
      <c r="Y83" s="75">
        <f t="shared" si="40"/>
        <v>0.0244434961403009</v>
      </c>
      <c r="Z83" s="76">
        <f t="shared" si="41"/>
        <v>0.0630183884867135</v>
      </c>
      <c r="AA83" s="22">
        <f t="shared" si="42"/>
        <v>0.489408333333334</v>
      </c>
      <c r="AB83" s="76">
        <f t="shared" si="43"/>
        <v>0.0897213803014836</v>
      </c>
      <c r="AC83" s="77">
        <f t="shared" si="44"/>
        <v>0.0102814233465334</v>
      </c>
      <c r="AD83" s="77">
        <f t="shared" si="45"/>
        <v>0</v>
      </c>
      <c r="AE83" s="77">
        <f t="shared" si="46"/>
        <v>0.326603438619272</v>
      </c>
      <c r="AF83" s="78">
        <v>3841</v>
      </c>
      <c r="AG83" s="171">
        <f t="shared" si="47"/>
        <v>6.83038671615882</v>
      </c>
      <c r="AH83" s="84">
        <f t="shared" si="48"/>
        <v>26235.515376766</v>
      </c>
      <c r="AI83" s="85">
        <f t="shared" si="49"/>
        <v>20951.7218974645</v>
      </c>
      <c r="AJ83" s="85">
        <f t="shared" si="50"/>
        <v>34223.31</v>
      </c>
      <c r="AK83" s="76">
        <f t="shared" si="51"/>
        <v>0.252188984998934</v>
      </c>
      <c r="AL83" s="76">
        <f t="shared" si="52"/>
        <v>-0.233402164291939</v>
      </c>
    </row>
    <row r="84" spans="1:38">
      <c r="A84" s="17">
        <v>80</v>
      </c>
      <c r="B84" s="18" t="s">
        <v>209</v>
      </c>
      <c r="C84" s="23" t="s">
        <v>210</v>
      </c>
      <c r="D84" s="20" t="s">
        <v>86</v>
      </c>
      <c r="E84" s="55">
        <v>0.098</v>
      </c>
      <c r="F84" s="55">
        <v>0.1029</v>
      </c>
      <c r="G84" s="21">
        <v>13.7168</v>
      </c>
      <c r="H84" s="56">
        <v>0.95</v>
      </c>
      <c r="I84" s="21">
        <f t="shared" si="36"/>
        <v>1.48574602105263</v>
      </c>
      <c r="J84" s="20" t="s">
        <v>87</v>
      </c>
      <c r="K84" s="21">
        <v>30</v>
      </c>
      <c r="L84" s="61">
        <v>120</v>
      </c>
      <c r="M84" s="20">
        <v>1</v>
      </c>
      <c r="N84" s="20">
        <v>75.9</v>
      </c>
      <c r="O84" s="20">
        <v>0.76</v>
      </c>
      <c r="P84" s="20">
        <v>22.5</v>
      </c>
      <c r="Q84" s="21">
        <f t="shared" si="37"/>
        <v>0.75</v>
      </c>
      <c r="R84" s="21">
        <v>1.25</v>
      </c>
      <c r="S84" s="31">
        <v>0.0560826666666667</v>
      </c>
      <c r="T84" s="31">
        <v>0.133333333333333</v>
      </c>
      <c r="U84" s="20">
        <v>0</v>
      </c>
      <c r="V84" s="21">
        <f t="shared" si="38"/>
        <v>5.21252871933518</v>
      </c>
      <c r="W84" s="20">
        <v>5.22</v>
      </c>
      <c r="X84" s="62">
        <f t="shared" si="39"/>
        <v>-0.00747128066481917</v>
      </c>
      <c r="Y84" s="75">
        <f t="shared" si="40"/>
        <v>0.0255793954359907</v>
      </c>
      <c r="Z84" s="76">
        <f t="shared" si="41"/>
        <v>0.143884099327448</v>
      </c>
      <c r="AA84" s="22">
        <f t="shared" si="42"/>
        <v>0.9614</v>
      </c>
      <c r="AB84" s="76">
        <f t="shared" si="43"/>
        <v>0.184440230791212</v>
      </c>
      <c r="AC84" s="77">
        <f t="shared" si="44"/>
        <v>0.0107592053082865</v>
      </c>
      <c r="AD84" s="77">
        <f t="shared" si="45"/>
        <v>0</v>
      </c>
      <c r="AE84" s="77">
        <f t="shared" si="46"/>
        <v>0.714966362575336</v>
      </c>
      <c r="AF84" s="78">
        <v>3630</v>
      </c>
      <c r="AG84" s="171">
        <f t="shared" si="47"/>
        <v>6.2759996099723</v>
      </c>
      <c r="AH84" s="84">
        <f t="shared" si="48"/>
        <v>22781.8785841994</v>
      </c>
      <c r="AI84" s="85">
        <f t="shared" si="49"/>
        <v>18921.4792511867</v>
      </c>
      <c r="AJ84" s="85">
        <f t="shared" si="50"/>
        <v>18948.6</v>
      </c>
      <c r="AK84" s="76">
        <f t="shared" si="51"/>
        <v>0.204022068347041</v>
      </c>
      <c r="AL84" s="76">
        <f t="shared" si="52"/>
        <v>0.202298775856762</v>
      </c>
    </row>
    <row r="85" spans="1:38">
      <c r="A85" s="17">
        <v>81</v>
      </c>
      <c r="B85" s="18" t="s">
        <v>211</v>
      </c>
      <c r="C85" s="23" t="s">
        <v>212</v>
      </c>
      <c r="D85" s="20" t="s">
        <v>86</v>
      </c>
      <c r="E85" s="55">
        <v>0</v>
      </c>
      <c r="F85" s="55">
        <v>0.1372</v>
      </c>
      <c r="G85" s="21">
        <v>13.7168</v>
      </c>
      <c r="H85" s="56">
        <v>0.95</v>
      </c>
      <c r="I85" s="21">
        <f t="shared" si="36"/>
        <v>1.98099469473684</v>
      </c>
      <c r="J85" s="20" t="s">
        <v>213</v>
      </c>
      <c r="K85" s="21">
        <v>45</v>
      </c>
      <c r="L85" s="61">
        <v>80</v>
      </c>
      <c r="M85" s="20">
        <v>2</v>
      </c>
      <c r="N85" s="20">
        <v>52.05</v>
      </c>
      <c r="O85" s="20">
        <v>0.76</v>
      </c>
      <c r="P85" s="20">
        <v>22.5</v>
      </c>
      <c r="Q85" s="21">
        <f t="shared" si="37"/>
        <v>0.25</v>
      </c>
      <c r="R85" s="21">
        <v>1.05</v>
      </c>
      <c r="S85" s="31">
        <v>0.0560826666666667</v>
      </c>
      <c r="T85" s="31">
        <v>0.133333333333333</v>
      </c>
      <c r="U85" s="20">
        <v>0</v>
      </c>
      <c r="V85" s="21">
        <f t="shared" si="38"/>
        <v>4.13443716963989</v>
      </c>
      <c r="W85" s="20">
        <v>5.45</v>
      </c>
      <c r="X85" s="62">
        <f t="shared" si="39"/>
        <v>-1.31556283036011</v>
      </c>
      <c r="Y85" s="75">
        <f t="shared" si="40"/>
        <v>0.0322494520686951</v>
      </c>
      <c r="Z85" s="76">
        <f t="shared" si="41"/>
        <v>0.0604677226288034</v>
      </c>
      <c r="AA85" s="22">
        <f t="shared" si="42"/>
        <v>0.219766666666667</v>
      </c>
      <c r="AB85" s="76">
        <f t="shared" si="43"/>
        <v>0.0531551593722268</v>
      </c>
      <c r="AC85" s="77">
        <f t="shared" si="44"/>
        <v>0.0135647645291346</v>
      </c>
      <c r="AD85" s="77">
        <f t="shared" si="45"/>
        <v>0</v>
      </c>
      <c r="AE85" s="77">
        <f t="shared" si="46"/>
        <v>0.520855049078087</v>
      </c>
      <c r="AF85" s="78">
        <v>124551</v>
      </c>
      <c r="AG85" s="171">
        <f t="shared" si="47"/>
        <v>4.95606432206833</v>
      </c>
      <c r="AH85" s="84">
        <f t="shared" si="48"/>
        <v>617282.767377932</v>
      </c>
      <c r="AI85" s="85">
        <f t="shared" si="49"/>
        <v>514948.283915818</v>
      </c>
      <c r="AJ85" s="85">
        <f t="shared" si="50"/>
        <v>678802.95</v>
      </c>
      <c r="AK85" s="76">
        <f t="shared" si="51"/>
        <v>0.198727691029345</v>
      </c>
      <c r="AL85" s="76">
        <f t="shared" si="52"/>
        <v>-0.0906303996204908</v>
      </c>
    </row>
    <row r="86" spans="1:38">
      <c r="A86" s="17">
        <v>82</v>
      </c>
      <c r="B86" s="18" t="s">
        <v>214</v>
      </c>
      <c r="C86" s="23" t="s">
        <v>215</v>
      </c>
      <c r="D86" s="20" t="s">
        <v>86</v>
      </c>
      <c r="E86" s="55">
        <v>0</v>
      </c>
      <c r="F86" s="55">
        <v>0.0774</v>
      </c>
      <c r="G86" s="21">
        <v>13.7168</v>
      </c>
      <c r="H86" s="56">
        <v>0.95</v>
      </c>
      <c r="I86" s="21">
        <f t="shared" si="36"/>
        <v>1.11755823157895</v>
      </c>
      <c r="J86" s="20" t="s">
        <v>213</v>
      </c>
      <c r="K86" s="21">
        <v>45</v>
      </c>
      <c r="L86" s="61">
        <v>80</v>
      </c>
      <c r="M86" s="20">
        <v>2</v>
      </c>
      <c r="N86" s="20">
        <v>52.05</v>
      </c>
      <c r="O86" s="20">
        <v>0.76</v>
      </c>
      <c r="P86" s="20">
        <v>22.5</v>
      </c>
      <c r="Q86" s="21">
        <f t="shared" si="37"/>
        <v>0.25</v>
      </c>
      <c r="R86" s="21">
        <v>1.25</v>
      </c>
      <c r="S86" s="31">
        <v>0.042062</v>
      </c>
      <c r="T86" s="31">
        <v>0.1</v>
      </c>
      <c r="U86" s="20">
        <v>0</v>
      </c>
      <c r="V86" s="21">
        <f t="shared" si="38"/>
        <v>3.28422582847645</v>
      </c>
      <c r="W86" s="20">
        <v>3.14</v>
      </c>
      <c r="X86" s="62">
        <f t="shared" si="39"/>
        <v>0.144225828476455</v>
      </c>
      <c r="Y86" s="75">
        <f t="shared" si="40"/>
        <v>0.03044857607931</v>
      </c>
      <c r="Z86" s="76">
        <f t="shared" si="41"/>
        <v>0.0761214401982749</v>
      </c>
      <c r="AA86" s="22">
        <f t="shared" si="42"/>
        <v>0.219766666666667</v>
      </c>
      <c r="AB86" s="76">
        <f t="shared" si="43"/>
        <v>0.0669158206969635</v>
      </c>
      <c r="AC86" s="77">
        <f t="shared" si="44"/>
        <v>0.0128072800704794</v>
      </c>
      <c r="AD86" s="77">
        <f t="shared" si="45"/>
        <v>0</v>
      </c>
      <c r="AE86" s="77">
        <f t="shared" si="46"/>
        <v>0.659719431627092</v>
      </c>
      <c r="AF86" s="78">
        <v>126167</v>
      </c>
      <c r="AG86" s="171">
        <f t="shared" si="47"/>
        <v>3.85627763951986</v>
      </c>
      <c r="AH86" s="84">
        <f t="shared" si="48"/>
        <v>486534.980945302</v>
      </c>
      <c r="AI86" s="85">
        <f t="shared" si="49"/>
        <v>414360.920101388</v>
      </c>
      <c r="AJ86" s="85">
        <f t="shared" si="50"/>
        <v>396164.38</v>
      </c>
      <c r="AK86" s="76">
        <f t="shared" si="51"/>
        <v>0.174181630898622</v>
      </c>
      <c r="AL86" s="76">
        <f t="shared" si="52"/>
        <v>0.22811389793626</v>
      </c>
    </row>
    <row r="87" spans="1:38">
      <c r="A87" s="17">
        <v>83</v>
      </c>
      <c r="B87" s="18" t="s">
        <v>216</v>
      </c>
      <c r="C87" s="23" t="s">
        <v>217</v>
      </c>
      <c r="D87" s="20" t="s">
        <v>43</v>
      </c>
      <c r="E87" s="55">
        <v>0</v>
      </c>
      <c r="F87" s="55">
        <v>0.01155</v>
      </c>
      <c r="G87" s="21">
        <v>15.3097</v>
      </c>
      <c r="H87" s="56">
        <v>0.9</v>
      </c>
      <c r="I87" s="21">
        <f t="shared" si="36"/>
        <v>0.196474483333333</v>
      </c>
      <c r="J87" s="20" t="s">
        <v>47</v>
      </c>
      <c r="K87" s="21">
        <v>65</v>
      </c>
      <c r="L87" s="61">
        <v>55.3846153846154</v>
      </c>
      <c r="M87" s="20">
        <v>1</v>
      </c>
      <c r="N87" s="20">
        <v>21.2</v>
      </c>
      <c r="O87" s="20">
        <v>0.76</v>
      </c>
      <c r="P87" s="20">
        <v>22.5</v>
      </c>
      <c r="Q87" s="21">
        <f t="shared" si="37"/>
        <v>0.346153846153846</v>
      </c>
      <c r="R87" s="21">
        <v>0</v>
      </c>
      <c r="S87" s="31">
        <v>0.0168248</v>
      </c>
      <c r="T87" s="31">
        <v>0.04</v>
      </c>
      <c r="U87" s="20">
        <v>0</v>
      </c>
      <c r="V87" s="21">
        <f t="shared" si="38"/>
        <v>0.878923842264957</v>
      </c>
      <c r="W87" s="20">
        <v>2.06</v>
      </c>
      <c r="X87" s="62">
        <f t="shared" si="39"/>
        <v>-1.18107615773504</v>
      </c>
      <c r="Y87" s="75">
        <f t="shared" si="40"/>
        <v>0.0455102001749337</v>
      </c>
      <c r="Z87" s="76">
        <f t="shared" si="41"/>
        <v>0.393838270744618</v>
      </c>
      <c r="AA87" s="22">
        <f t="shared" si="42"/>
        <v>0.123938461538462</v>
      </c>
      <c r="AB87" s="76">
        <f t="shared" si="43"/>
        <v>0.141011604849717</v>
      </c>
      <c r="AC87" s="77">
        <f t="shared" si="44"/>
        <v>0.0191425003975806</v>
      </c>
      <c r="AD87" s="77">
        <f t="shared" si="45"/>
        <v>0</v>
      </c>
      <c r="AE87" s="77">
        <f t="shared" si="46"/>
        <v>0.776460173355834</v>
      </c>
      <c r="AF87" s="78">
        <v>67497</v>
      </c>
      <c r="AG87" s="171">
        <f t="shared" si="47"/>
        <v>1.09370647492877</v>
      </c>
      <c r="AH87" s="84">
        <f t="shared" si="48"/>
        <v>73821.9059382675</v>
      </c>
      <c r="AI87" s="85">
        <f t="shared" si="49"/>
        <v>59324.7225813578</v>
      </c>
      <c r="AJ87" s="85">
        <f t="shared" si="50"/>
        <v>139043.82</v>
      </c>
      <c r="AK87" s="76">
        <f t="shared" si="51"/>
        <v>0.244370015165739</v>
      </c>
      <c r="AL87" s="76">
        <f t="shared" si="52"/>
        <v>-0.469074526733605</v>
      </c>
    </row>
    <row r="88" spans="1:38">
      <c r="A88" s="17">
        <v>84</v>
      </c>
      <c r="B88" s="18" t="s">
        <v>218</v>
      </c>
      <c r="C88" s="23" t="s">
        <v>219</v>
      </c>
      <c r="D88" s="20" t="s">
        <v>43</v>
      </c>
      <c r="E88" s="55">
        <v>0</v>
      </c>
      <c r="F88" s="55">
        <v>0.00363</v>
      </c>
      <c r="G88" s="21">
        <v>15.3097</v>
      </c>
      <c r="H88" s="56">
        <v>0.88</v>
      </c>
      <c r="I88" s="21">
        <f t="shared" si="36"/>
        <v>0.0631525125</v>
      </c>
      <c r="J88" s="20" t="s">
        <v>54</v>
      </c>
      <c r="K88" s="21">
        <v>72</v>
      </c>
      <c r="L88" s="61">
        <v>50</v>
      </c>
      <c r="M88" s="20">
        <v>2</v>
      </c>
      <c r="N88" s="20">
        <v>17.41</v>
      </c>
      <c r="O88" s="20">
        <v>0.76</v>
      </c>
      <c r="P88" s="20">
        <v>22.5</v>
      </c>
      <c r="Q88" s="21">
        <f t="shared" si="37"/>
        <v>0.15625</v>
      </c>
      <c r="R88" s="21">
        <v>0</v>
      </c>
      <c r="S88" s="31">
        <v>0.00141516666666667</v>
      </c>
      <c r="T88" s="31">
        <v>0.00333333333333333</v>
      </c>
      <c r="U88" s="20">
        <v>0</v>
      </c>
      <c r="V88" s="21">
        <f t="shared" si="38"/>
        <v>0.33944575061553</v>
      </c>
      <c r="W88" s="20">
        <v>0.32</v>
      </c>
      <c r="X88" s="62">
        <f t="shared" si="39"/>
        <v>0.0194457506155303</v>
      </c>
      <c r="Y88" s="75">
        <f t="shared" si="40"/>
        <v>0.00981992948000931</v>
      </c>
      <c r="Z88" s="76">
        <f t="shared" si="41"/>
        <v>0.460309194375437</v>
      </c>
      <c r="AA88" s="22">
        <f t="shared" si="42"/>
        <v>0.0459430555555556</v>
      </c>
      <c r="AB88" s="76">
        <f t="shared" si="43"/>
        <v>0.135347269695512</v>
      </c>
      <c r="AC88" s="77">
        <f t="shared" si="44"/>
        <v>0.00416905106073797</v>
      </c>
      <c r="AD88" s="77">
        <f t="shared" si="45"/>
        <v>0</v>
      </c>
      <c r="AE88" s="77">
        <f t="shared" si="46"/>
        <v>0.813954034229378</v>
      </c>
      <c r="AF88" s="78">
        <v>128942</v>
      </c>
      <c r="AG88" s="171">
        <f t="shared" si="47"/>
        <v>0.42688917645202</v>
      </c>
      <c r="AH88" s="84">
        <f t="shared" si="48"/>
        <v>55043.9441900764</v>
      </c>
      <c r="AI88" s="85">
        <f t="shared" si="49"/>
        <v>43768.8139758677</v>
      </c>
      <c r="AJ88" s="85">
        <f t="shared" si="50"/>
        <v>41261.44</v>
      </c>
      <c r="AK88" s="76">
        <f t="shared" si="51"/>
        <v>0.257606482561427</v>
      </c>
      <c r="AL88" s="76">
        <f t="shared" si="52"/>
        <v>0.334028676412563</v>
      </c>
    </row>
    <row r="89" spans="1:38">
      <c r="A89" s="17">
        <v>85</v>
      </c>
      <c r="B89" s="18" t="s">
        <v>220</v>
      </c>
      <c r="C89" s="23" t="s">
        <v>221</v>
      </c>
      <c r="D89" s="20" t="s">
        <v>43</v>
      </c>
      <c r="E89" s="55">
        <v>0</v>
      </c>
      <c r="F89" s="55">
        <v>0.00046</v>
      </c>
      <c r="G89" s="21">
        <v>15.3097</v>
      </c>
      <c r="H89" s="56">
        <v>0.9</v>
      </c>
      <c r="I89" s="21">
        <f t="shared" si="36"/>
        <v>0.00782495777777778</v>
      </c>
      <c r="J89" s="20" t="s">
        <v>54</v>
      </c>
      <c r="K89" s="21">
        <v>65</v>
      </c>
      <c r="L89" s="61">
        <v>55.3846153846154</v>
      </c>
      <c r="M89" s="20">
        <v>2</v>
      </c>
      <c r="N89" s="20">
        <v>17.41</v>
      </c>
      <c r="O89" s="20">
        <v>0.76</v>
      </c>
      <c r="P89" s="20">
        <v>22.5</v>
      </c>
      <c r="Q89" s="21">
        <f t="shared" si="37"/>
        <v>0.173076923076923</v>
      </c>
      <c r="R89" s="21">
        <v>0</v>
      </c>
      <c r="S89" s="31">
        <v>0.000715583333333333</v>
      </c>
      <c r="T89" s="31">
        <v>0.00166666666666667</v>
      </c>
      <c r="U89" s="20">
        <v>0</v>
      </c>
      <c r="V89" s="21">
        <f t="shared" si="38"/>
        <v>0.28825985177208</v>
      </c>
      <c r="W89" s="20">
        <v>0.23</v>
      </c>
      <c r="X89" s="62">
        <f t="shared" si="39"/>
        <v>0.0582598517720798</v>
      </c>
      <c r="Y89" s="75">
        <f t="shared" si="40"/>
        <v>0.00578182031393141</v>
      </c>
      <c r="Z89" s="76">
        <f t="shared" si="41"/>
        <v>0.600419801831337</v>
      </c>
      <c r="AA89" s="22">
        <f t="shared" si="42"/>
        <v>0.0508907692307692</v>
      </c>
      <c r="AB89" s="76">
        <f t="shared" si="43"/>
        <v>0.176544769998034</v>
      </c>
      <c r="AC89" s="77">
        <f t="shared" si="44"/>
        <v>0.00248242455178645</v>
      </c>
      <c r="AD89" s="77">
        <f t="shared" si="45"/>
        <v>0</v>
      </c>
      <c r="AE89" s="77">
        <f t="shared" si="46"/>
        <v>0.972854500098873</v>
      </c>
      <c r="AF89" s="78">
        <v>25150</v>
      </c>
      <c r="AG89" s="171">
        <f t="shared" si="47"/>
        <v>0.362948594577398</v>
      </c>
      <c r="AH89" s="84">
        <f t="shared" si="48"/>
        <v>9128.15715362155</v>
      </c>
      <c r="AI89" s="85">
        <f t="shared" si="49"/>
        <v>7249.73527206781</v>
      </c>
      <c r="AJ89" s="85">
        <f t="shared" si="50"/>
        <v>5784.5</v>
      </c>
      <c r="AK89" s="76">
        <f t="shared" si="51"/>
        <v>0.25910213422427</v>
      </c>
      <c r="AL89" s="76">
        <f t="shared" si="52"/>
        <v>0.578037367727816</v>
      </c>
    </row>
    <row r="90" spans="1:38">
      <c r="A90" s="17">
        <v>86</v>
      </c>
      <c r="B90" s="18" t="s">
        <v>222</v>
      </c>
      <c r="C90" s="23" t="s">
        <v>223</v>
      </c>
      <c r="D90" s="20" t="s">
        <v>43</v>
      </c>
      <c r="E90" s="55">
        <v>0</v>
      </c>
      <c r="F90" s="55">
        <v>0.0022</v>
      </c>
      <c r="G90" s="21">
        <v>15.3097</v>
      </c>
      <c r="H90" s="56">
        <v>0.98</v>
      </c>
      <c r="I90" s="21">
        <f t="shared" si="36"/>
        <v>0.0343687142857143</v>
      </c>
      <c r="J90" s="20" t="s">
        <v>54</v>
      </c>
      <c r="K90" s="21">
        <v>65</v>
      </c>
      <c r="L90" s="61">
        <v>55.3846153846154</v>
      </c>
      <c r="M90" s="20">
        <v>4</v>
      </c>
      <c r="N90" s="20">
        <v>17.41</v>
      </c>
      <c r="O90" s="20">
        <v>0.76</v>
      </c>
      <c r="P90" s="20">
        <v>22.5</v>
      </c>
      <c r="Q90" s="21">
        <f t="shared" si="37"/>
        <v>0.0865384615384615</v>
      </c>
      <c r="R90" s="21">
        <v>0</v>
      </c>
      <c r="S90" s="31">
        <v>0.000715583333333333</v>
      </c>
      <c r="T90" s="31">
        <v>0.00166666666666667</v>
      </c>
      <c r="U90" s="20">
        <v>0</v>
      </c>
      <c r="V90" s="21">
        <f t="shared" si="38"/>
        <v>0.16814892559991</v>
      </c>
      <c r="W90" s="20">
        <v>0.14</v>
      </c>
      <c r="X90" s="62">
        <f t="shared" si="39"/>
        <v>0.0281489255999103</v>
      </c>
      <c r="Y90" s="75">
        <f t="shared" si="40"/>
        <v>0.00991184844458835</v>
      </c>
      <c r="Z90" s="76">
        <f t="shared" si="41"/>
        <v>0.51465366923824</v>
      </c>
      <c r="AA90" s="22">
        <f t="shared" si="42"/>
        <v>0.0254453846153846</v>
      </c>
      <c r="AB90" s="76">
        <f t="shared" si="43"/>
        <v>0.151326477553171</v>
      </c>
      <c r="AC90" s="77">
        <f t="shared" si="44"/>
        <v>0.004255652129684</v>
      </c>
      <c r="AD90" s="77">
        <f t="shared" si="45"/>
        <v>0</v>
      </c>
      <c r="AE90" s="77">
        <f t="shared" si="46"/>
        <v>0.795605507658785</v>
      </c>
      <c r="AF90" s="78">
        <v>170420</v>
      </c>
      <c r="AG90" s="171">
        <f t="shared" si="47"/>
        <v>0.211457336342229</v>
      </c>
      <c r="AH90" s="84">
        <f t="shared" si="48"/>
        <v>36036.5592594427</v>
      </c>
      <c r="AI90" s="85">
        <f t="shared" si="49"/>
        <v>28655.9399007367</v>
      </c>
      <c r="AJ90" s="85">
        <f t="shared" si="50"/>
        <v>23858.8</v>
      </c>
      <c r="AK90" s="76">
        <f t="shared" si="51"/>
        <v>0.257559842192309</v>
      </c>
      <c r="AL90" s="76">
        <f t="shared" si="52"/>
        <v>0.510409545301637</v>
      </c>
    </row>
    <row r="91" spans="1:38">
      <c r="A91" s="17">
        <v>87</v>
      </c>
      <c r="B91" s="18" t="s">
        <v>224</v>
      </c>
      <c r="C91" s="23" t="s">
        <v>225</v>
      </c>
      <c r="D91" s="20" t="s">
        <v>43</v>
      </c>
      <c r="E91" s="55">
        <v>0</v>
      </c>
      <c r="F91" s="55">
        <v>0.0064118</v>
      </c>
      <c r="G91" s="21">
        <v>15.3097</v>
      </c>
      <c r="H91" s="56">
        <v>0.98</v>
      </c>
      <c r="I91" s="21">
        <f t="shared" si="36"/>
        <v>0.100166055571429</v>
      </c>
      <c r="J91" s="20" t="s">
        <v>54</v>
      </c>
      <c r="K91" s="21">
        <v>103</v>
      </c>
      <c r="L91" s="61">
        <v>34.9514563106796</v>
      </c>
      <c r="M91" s="20">
        <v>4</v>
      </c>
      <c r="N91" s="20">
        <v>17.41</v>
      </c>
      <c r="O91" s="20">
        <v>0.76</v>
      </c>
      <c r="P91" s="20">
        <v>22.5</v>
      </c>
      <c r="Q91" s="21">
        <f t="shared" si="37"/>
        <v>0.0546116504854369</v>
      </c>
      <c r="R91" s="21">
        <v>0</v>
      </c>
      <c r="S91" s="31">
        <v>0.00283033333333333</v>
      </c>
      <c r="T91" s="31">
        <v>0.00666666666666667</v>
      </c>
      <c r="U91" s="20">
        <v>0</v>
      </c>
      <c r="V91" s="21">
        <f t="shared" si="38"/>
        <v>0.202994321512596</v>
      </c>
      <c r="W91" s="20">
        <v>0.08</v>
      </c>
      <c r="X91" s="62">
        <f t="shared" si="39"/>
        <v>0.122994321512596</v>
      </c>
      <c r="Y91" s="75">
        <f t="shared" si="40"/>
        <v>0.0328416411700117</v>
      </c>
      <c r="Z91" s="76">
        <f t="shared" si="41"/>
        <v>0.269030434341722</v>
      </c>
      <c r="AA91" s="22">
        <f t="shared" si="42"/>
        <v>0.0160577669902913</v>
      </c>
      <c r="AB91" s="76">
        <f t="shared" si="43"/>
        <v>0.0791045132230207</v>
      </c>
      <c r="AC91" s="77">
        <f t="shared" si="44"/>
        <v>0.0139429187587285</v>
      </c>
      <c r="AD91" s="77">
        <f t="shared" si="45"/>
        <v>0</v>
      </c>
      <c r="AE91" s="77">
        <f t="shared" si="46"/>
        <v>0.506557351826151</v>
      </c>
      <c r="AF91" s="78">
        <v>754050</v>
      </c>
      <c r="AG91" s="171">
        <f t="shared" si="47"/>
        <v>0.253547675781653</v>
      </c>
      <c r="AH91" s="84">
        <f t="shared" si="48"/>
        <v>191187.624923156</v>
      </c>
      <c r="AI91" s="85">
        <f t="shared" si="49"/>
        <v>153067.868136573</v>
      </c>
      <c r="AJ91" s="85">
        <f t="shared" si="50"/>
        <v>60324</v>
      </c>
      <c r="AK91" s="76">
        <f t="shared" si="51"/>
        <v>0.249038268126728</v>
      </c>
      <c r="AL91" s="76">
        <f t="shared" si="52"/>
        <v>2.16934594727066</v>
      </c>
    </row>
    <row r="92" spans="1:38">
      <c r="A92" s="17">
        <v>88</v>
      </c>
      <c r="B92" s="18" t="s">
        <v>226</v>
      </c>
      <c r="C92" s="19" t="s">
        <v>227</v>
      </c>
      <c r="D92" s="20" t="s">
        <v>86</v>
      </c>
      <c r="E92" s="55">
        <v>0.0392</v>
      </c>
      <c r="F92" s="55">
        <v>0.042336</v>
      </c>
      <c r="G92" s="21">
        <v>13.7168</v>
      </c>
      <c r="H92" s="56">
        <v>0.85</v>
      </c>
      <c r="I92" s="21">
        <f t="shared" si="36"/>
        <v>0.683193464470588</v>
      </c>
      <c r="J92" s="20" t="s">
        <v>87</v>
      </c>
      <c r="K92" s="21">
        <v>45</v>
      </c>
      <c r="L92" s="61">
        <v>80</v>
      </c>
      <c r="M92" s="20">
        <v>2</v>
      </c>
      <c r="N92" s="20">
        <v>75.9</v>
      </c>
      <c r="O92" s="20">
        <v>0.76</v>
      </c>
      <c r="P92" s="20">
        <v>22.5</v>
      </c>
      <c r="Q92" s="21">
        <f t="shared" si="37"/>
        <v>0.25</v>
      </c>
      <c r="R92" s="21">
        <v>0</v>
      </c>
      <c r="S92" s="31">
        <v>0.044676</v>
      </c>
      <c r="T92" s="31">
        <v>0.1</v>
      </c>
      <c r="U92" s="20">
        <v>0</v>
      </c>
      <c r="V92" s="21">
        <f t="shared" si="38"/>
        <v>1.78180864183806</v>
      </c>
      <c r="W92" s="20">
        <v>2.03</v>
      </c>
      <c r="X92" s="62">
        <f t="shared" si="39"/>
        <v>-0.248191358161937</v>
      </c>
      <c r="Y92" s="75">
        <f t="shared" si="40"/>
        <v>0.0561227494647478</v>
      </c>
      <c r="Z92" s="76">
        <f t="shared" si="41"/>
        <v>0.14030687366187</v>
      </c>
      <c r="AA92" s="22">
        <f t="shared" si="42"/>
        <v>0.320466666666667</v>
      </c>
      <c r="AB92" s="76">
        <f t="shared" si="43"/>
        <v>0.179854704451362</v>
      </c>
      <c r="AC92" s="77">
        <f t="shared" si="44"/>
        <v>0.0250733995508707</v>
      </c>
      <c r="AD92" s="77">
        <f t="shared" si="45"/>
        <v>0</v>
      </c>
      <c r="AE92" s="77">
        <f t="shared" si="46"/>
        <v>0.616573043575641</v>
      </c>
      <c r="AF92" s="78">
        <v>0</v>
      </c>
      <c r="AG92" s="171">
        <f t="shared" si="47"/>
        <v>2.20952798069665</v>
      </c>
      <c r="AH92" s="84">
        <f t="shared" si="48"/>
        <v>0</v>
      </c>
      <c r="AI92" s="85">
        <f t="shared" si="49"/>
        <v>0</v>
      </c>
      <c r="AJ92" s="85">
        <f t="shared" si="50"/>
        <v>0</v>
      </c>
      <c r="AK92" s="76">
        <f t="shared" si="51"/>
        <v>0.240047852959885</v>
      </c>
      <c r="AL92" s="76">
        <f t="shared" si="52"/>
        <v>0.0884374289146085</v>
      </c>
    </row>
    <row r="93" ht="28" spans="1:38">
      <c r="A93" s="17">
        <v>89</v>
      </c>
      <c r="B93" s="18" t="s">
        <v>228</v>
      </c>
      <c r="C93" s="19" t="s">
        <v>229</v>
      </c>
      <c r="D93" s="20" t="s">
        <v>86</v>
      </c>
      <c r="E93" s="55">
        <v>0.044</v>
      </c>
      <c r="F93" s="55">
        <v>0.0462</v>
      </c>
      <c r="G93" s="21">
        <v>13.7168</v>
      </c>
      <c r="H93" s="56">
        <v>0.98</v>
      </c>
      <c r="I93" s="21">
        <f t="shared" si="36"/>
        <v>0.646649142857143</v>
      </c>
      <c r="J93" s="20" t="s">
        <v>87</v>
      </c>
      <c r="K93" s="21">
        <v>42.3529411764705</v>
      </c>
      <c r="L93" s="61">
        <v>85.0000000000002</v>
      </c>
      <c r="M93" s="20">
        <v>2</v>
      </c>
      <c r="N93" s="20">
        <v>75.9</v>
      </c>
      <c r="O93" s="20">
        <v>0.76</v>
      </c>
      <c r="P93" s="20">
        <v>22.5</v>
      </c>
      <c r="Q93" s="21">
        <f t="shared" si="37"/>
        <v>0.265625000000001</v>
      </c>
      <c r="R93" s="21">
        <v>0</v>
      </c>
      <c r="S93" s="31">
        <v>0.044676</v>
      </c>
      <c r="T93" s="31">
        <v>0.1</v>
      </c>
      <c r="U93" s="20">
        <v>0</v>
      </c>
      <c r="V93" s="21">
        <f t="shared" si="38"/>
        <v>1.56362974854228</v>
      </c>
      <c r="W93" s="20">
        <v>1.74</v>
      </c>
      <c r="X93" s="62">
        <f t="shared" si="39"/>
        <v>-0.176370251457725</v>
      </c>
      <c r="Y93" s="75">
        <f t="shared" si="40"/>
        <v>0.0639537589338056</v>
      </c>
      <c r="Z93" s="76">
        <f t="shared" si="41"/>
        <v>0.169877172167922</v>
      </c>
      <c r="AA93" s="22">
        <f t="shared" si="42"/>
        <v>0.340495833333334</v>
      </c>
      <c r="AB93" s="76">
        <f t="shared" si="43"/>
        <v>0.217759884429653</v>
      </c>
      <c r="AC93" s="77">
        <f t="shared" si="44"/>
        <v>0.028571981341267</v>
      </c>
      <c r="AD93" s="77">
        <f t="shared" si="45"/>
        <v>0</v>
      </c>
      <c r="AE93" s="77">
        <f t="shared" si="46"/>
        <v>0.586443566029623</v>
      </c>
      <c r="AF93" s="78"/>
      <c r="AG93" s="171">
        <f t="shared" si="47"/>
        <v>1.93434739455783</v>
      </c>
      <c r="AH93" s="84">
        <f t="shared" si="48"/>
        <v>0</v>
      </c>
      <c r="AI93" s="85">
        <f t="shared" si="49"/>
        <v>0</v>
      </c>
      <c r="AJ93" s="85">
        <f t="shared" si="50"/>
        <v>0</v>
      </c>
      <c r="AK93" s="76">
        <f t="shared" si="51"/>
        <v>0.237087869657861</v>
      </c>
      <c r="AL93" s="76">
        <f t="shared" si="52"/>
        <v>0.111693904918291</v>
      </c>
    </row>
    <row r="94" spans="1:38">
      <c r="A94" s="17">
        <v>90</v>
      </c>
      <c r="B94" s="18" t="s">
        <v>230</v>
      </c>
      <c r="C94" s="19" t="s">
        <v>231</v>
      </c>
      <c r="D94" s="20" t="s">
        <v>43</v>
      </c>
      <c r="E94" s="55">
        <v>0.012</v>
      </c>
      <c r="F94" s="55">
        <v>0.0126</v>
      </c>
      <c r="G94" s="21">
        <v>15.3097</v>
      </c>
      <c r="H94" s="56">
        <v>0.99</v>
      </c>
      <c r="I94" s="21">
        <f t="shared" si="36"/>
        <v>0.194850727272727</v>
      </c>
      <c r="J94" s="20" t="s">
        <v>120</v>
      </c>
      <c r="K94" s="21">
        <v>36</v>
      </c>
      <c r="L94" s="61">
        <v>100</v>
      </c>
      <c r="M94" s="20">
        <v>4</v>
      </c>
      <c r="N94" s="20">
        <v>39.75</v>
      </c>
      <c r="O94" s="20">
        <v>0.76</v>
      </c>
      <c r="P94" s="20">
        <v>22.5</v>
      </c>
      <c r="Q94" s="21">
        <f t="shared" si="37"/>
        <v>0.15625</v>
      </c>
      <c r="R94" s="21">
        <v>0</v>
      </c>
      <c r="S94" s="31">
        <v>0.0286233333333333</v>
      </c>
      <c r="T94" s="31">
        <v>0.0666666666666667</v>
      </c>
      <c r="U94" s="20">
        <v>0</v>
      </c>
      <c r="V94" s="21">
        <f t="shared" si="38"/>
        <v>0.606558870982553</v>
      </c>
      <c r="W94" s="20">
        <v>0.68</v>
      </c>
      <c r="X94" s="62">
        <f t="shared" si="39"/>
        <v>-0.0734411290174473</v>
      </c>
      <c r="Y94" s="75">
        <f t="shared" si="40"/>
        <v>0.10990963920563</v>
      </c>
      <c r="Z94" s="76">
        <f t="shared" si="41"/>
        <v>0.257600716888195</v>
      </c>
      <c r="AA94" s="22">
        <f t="shared" si="42"/>
        <v>0.104895833333333</v>
      </c>
      <c r="AB94" s="76">
        <f t="shared" si="43"/>
        <v>0.172935947937608</v>
      </c>
      <c r="AC94" s="77">
        <f t="shared" si="44"/>
        <v>0.0471897035929372</v>
      </c>
      <c r="AD94" s="77">
        <f t="shared" si="45"/>
        <v>0</v>
      </c>
      <c r="AE94" s="77">
        <f t="shared" si="46"/>
        <v>0.6787604029975</v>
      </c>
      <c r="AF94" s="78"/>
      <c r="AG94" s="171">
        <f t="shared" si="47"/>
        <v>0.740133621059075</v>
      </c>
      <c r="AH94" s="84">
        <f t="shared" si="48"/>
        <v>0</v>
      </c>
      <c r="AI94" s="85">
        <f t="shared" si="49"/>
        <v>0</v>
      </c>
      <c r="AJ94" s="85">
        <f t="shared" si="50"/>
        <v>0</v>
      </c>
      <c r="AK94" s="76">
        <f t="shared" si="51"/>
        <v>0.220217288818391</v>
      </c>
      <c r="AL94" s="76">
        <f t="shared" si="52"/>
        <v>0.0884317956751105</v>
      </c>
    </row>
    <row r="95" spans="1:38">
      <c r="A95" s="17">
        <v>91</v>
      </c>
      <c r="B95" s="18" t="s">
        <v>232</v>
      </c>
      <c r="C95" s="19" t="s">
        <v>233</v>
      </c>
      <c r="D95" s="20" t="s">
        <v>43</v>
      </c>
      <c r="E95" s="55">
        <v>0.027</v>
      </c>
      <c r="F95" s="55">
        <v>0.02835</v>
      </c>
      <c r="G95" s="21">
        <v>15.3097</v>
      </c>
      <c r="H95" s="56">
        <v>0.98</v>
      </c>
      <c r="I95" s="21">
        <f t="shared" si="36"/>
        <v>0.44288775</v>
      </c>
      <c r="J95" s="20" t="s">
        <v>120</v>
      </c>
      <c r="K95" s="21">
        <v>36</v>
      </c>
      <c r="L95" s="61">
        <v>100</v>
      </c>
      <c r="M95" s="20">
        <v>4</v>
      </c>
      <c r="N95" s="20">
        <v>39.75</v>
      </c>
      <c r="O95" s="20">
        <v>0.76</v>
      </c>
      <c r="P95" s="20">
        <v>22.5</v>
      </c>
      <c r="Q95" s="21">
        <f t="shared" si="37"/>
        <v>0.15625</v>
      </c>
      <c r="R95" s="21">
        <v>0.45</v>
      </c>
      <c r="S95" s="31">
        <v>0.0286233333333333</v>
      </c>
      <c r="T95" s="31">
        <v>0.0666666666666667</v>
      </c>
      <c r="U95" s="20">
        <v>0</v>
      </c>
      <c r="V95" s="21">
        <f t="shared" si="38"/>
        <v>1.35621579336735</v>
      </c>
      <c r="W95" s="20">
        <v>2.47</v>
      </c>
      <c r="X95" s="62">
        <f t="shared" si="39"/>
        <v>-1.11378420663265</v>
      </c>
      <c r="Y95" s="75">
        <f t="shared" si="40"/>
        <v>0.0491563857261535</v>
      </c>
      <c r="Z95" s="76">
        <f t="shared" si="41"/>
        <v>0.115210279045672</v>
      </c>
      <c r="AA95" s="22">
        <f t="shared" si="42"/>
        <v>0.104895833333333</v>
      </c>
      <c r="AB95" s="76">
        <f t="shared" si="43"/>
        <v>0.0773445006659946</v>
      </c>
      <c r="AC95" s="77">
        <f t="shared" si="44"/>
        <v>0.021105294211524</v>
      </c>
      <c r="AD95" s="77">
        <f t="shared" si="45"/>
        <v>0</v>
      </c>
      <c r="AE95" s="77">
        <f t="shared" si="46"/>
        <v>0.673438583914177</v>
      </c>
      <c r="AF95" s="78"/>
      <c r="AG95" s="171">
        <f t="shared" si="47"/>
        <v>1.59605226190476</v>
      </c>
      <c r="AH95" s="84">
        <f t="shared" si="48"/>
        <v>0</v>
      </c>
      <c r="AI95" s="85">
        <f t="shared" si="49"/>
        <v>0</v>
      </c>
      <c r="AJ95" s="85">
        <f t="shared" si="50"/>
        <v>0</v>
      </c>
      <c r="AK95" s="76">
        <f t="shared" si="51"/>
        <v>0.176842409379352</v>
      </c>
      <c r="AL95" s="76">
        <f t="shared" si="52"/>
        <v>-0.353824995180258</v>
      </c>
    </row>
    <row r="96" spans="1:38">
      <c r="A96" s="17">
        <v>92</v>
      </c>
      <c r="B96" s="18" t="s">
        <v>234</v>
      </c>
      <c r="C96" s="23" t="s">
        <v>235</v>
      </c>
      <c r="D96" s="20" t="s">
        <v>86</v>
      </c>
      <c r="E96" s="55">
        <v>0</v>
      </c>
      <c r="F96" s="55">
        <v>0.04303</v>
      </c>
      <c r="G96" s="21">
        <v>13.7168</v>
      </c>
      <c r="H96" s="56">
        <v>0.85</v>
      </c>
      <c r="I96" s="21">
        <f t="shared" si="36"/>
        <v>0.694392828235294</v>
      </c>
      <c r="J96" s="20" t="s">
        <v>87</v>
      </c>
      <c r="K96" s="21">
        <v>72</v>
      </c>
      <c r="L96" s="61">
        <v>50</v>
      </c>
      <c r="M96" s="20">
        <v>2</v>
      </c>
      <c r="N96" s="20">
        <v>75.9</v>
      </c>
      <c r="O96" s="20">
        <v>0.76</v>
      </c>
      <c r="P96" s="20">
        <v>22.5</v>
      </c>
      <c r="Q96" s="21">
        <f t="shared" si="37"/>
        <v>0.15625</v>
      </c>
      <c r="R96" s="21">
        <v>0</v>
      </c>
      <c r="S96" s="31">
        <v>0.000871333333333333</v>
      </c>
      <c r="T96" s="31">
        <v>0.133333333333333</v>
      </c>
      <c r="U96" s="20">
        <v>0</v>
      </c>
      <c r="V96" s="21">
        <f t="shared" si="38"/>
        <v>1.50660147765629</v>
      </c>
      <c r="W96" s="20">
        <v>2.02</v>
      </c>
      <c r="X96" s="62">
        <f t="shared" si="39"/>
        <v>-0.513398522343714</v>
      </c>
      <c r="Y96" s="75">
        <f t="shared" si="40"/>
        <v>0.088499404328708</v>
      </c>
      <c r="Z96" s="76">
        <f t="shared" si="41"/>
        <v>0.103710239447705</v>
      </c>
      <c r="AA96" s="22">
        <f t="shared" si="42"/>
        <v>0.200291666666667</v>
      </c>
      <c r="AB96" s="76">
        <f t="shared" si="43"/>
        <v>0.132942698940031</v>
      </c>
      <c r="AC96" s="77">
        <f t="shared" si="44"/>
        <v>0.000578343607288108</v>
      </c>
      <c r="AD96" s="77">
        <f t="shared" si="45"/>
        <v>0</v>
      </c>
      <c r="AE96" s="77">
        <f t="shared" si="46"/>
        <v>0.539099862482871</v>
      </c>
      <c r="AF96" s="78">
        <v>42378</v>
      </c>
      <c r="AG96" s="171">
        <f t="shared" si="47"/>
        <v>1.86515559944637</v>
      </c>
      <c r="AH96" s="84">
        <f t="shared" si="48"/>
        <v>79041.5639933381</v>
      </c>
      <c r="AI96" s="85">
        <f t="shared" si="49"/>
        <v>63846.7574201183</v>
      </c>
      <c r="AJ96" s="85">
        <f t="shared" si="50"/>
        <v>85603.56</v>
      </c>
      <c r="AK96" s="76">
        <f t="shared" si="51"/>
        <v>0.237988696485187</v>
      </c>
      <c r="AL96" s="76">
        <f t="shared" si="52"/>
        <v>-0.0766556438384326</v>
      </c>
    </row>
    <row r="97" spans="1:38">
      <c r="A97" s="17">
        <v>93</v>
      </c>
      <c r="B97" s="18" t="s">
        <v>236</v>
      </c>
      <c r="C97" s="23" t="s">
        <v>237</v>
      </c>
      <c r="D97" s="20" t="s">
        <v>86</v>
      </c>
      <c r="E97" s="55">
        <v>0</v>
      </c>
      <c r="F97" s="55">
        <v>0.00985</v>
      </c>
      <c r="G97" s="21">
        <v>13.7168</v>
      </c>
      <c r="H97" s="56">
        <v>0.95</v>
      </c>
      <c r="I97" s="21">
        <f t="shared" si="36"/>
        <v>0.142221557894737</v>
      </c>
      <c r="J97" s="20" t="s">
        <v>65</v>
      </c>
      <c r="K97" s="21">
        <v>65</v>
      </c>
      <c r="L97" s="61">
        <v>55.3846153846154</v>
      </c>
      <c r="M97" s="20">
        <v>2</v>
      </c>
      <c r="N97" s="20">
        <v>48.5</v>
      </c>
      <c r="O97" s="20">
        <v>0.76</v>
      </c>
      <c r="P97" s="20">
        <v>22.5</v>
      </c>
      <c r="Q97" s="21">
        <f t="shared" si="37"/>
        <v>0.173076923076923</v>
      </c>
      <c r="R97" s="21">
        <v>0</v>
      </c>
      <c r="S97" s="31">
        <v>0.0216845</v>
      </c>
      <c r="T97" s="31">
        <v>0.05</v>
      </c>
      <c r="U97" s="20">
        <v>0</v>
      </c>
      <c r="V97" s="21">
        <f t="shared" si="38"/>
        <v>0.605732036876199</v>
      </c>
      <c r="W97" s="20">
        <v>1.09</v>
      </c>
      <c r="X97" s="62">
        <f t="shared" si="39"/>
        <v>-0.484267963123801</v>
      </c>
      <c r="Y97" s="75">
        <f t="shared" si="40"/>
        <v>0.0825447507413565</v>
      </c>
      <c r="Z97" s="76">
        <f t="shared" si="41"/>
        <v>0.285731829489311</v>
      </c>
      <c r="AA97" s="22">
        <f t="shared" si="42"/>
        <v>0.141769230769231</v>
      </c>
      <c r="AB97" s="76">
        <f t="shared" si="43"/>
        <v>0.2340461163328</v>
      </c>
      <c r="AC97" s="77">
        <f t="shared" si="44"/>
        <v>0.0357988329490189</v>
      </c>
      <c r="AD97" s="77">
        <f t="shared" si="45"/>
        <v>0</v>
      </c>
      <c r="AE97" s="77">
        <f t="shared" si="46"/>
        <v>0.765207139070631</v>
      </c>
      <c r="AF97" s="78">
        <v>48938</v>
      </c>
      <c r="AG97" s="171">
        <f t="shared" si="47"/>
        <v>0.745257969933944</v>
      </c>
      <c r="AH97" s="84">
        <f t="shared" si="48"/>
        <v>36471.4345326274</v>
      </c>
      <c r="AI97" s="85">
        <f t="shared" si="49"/>
        <v>29643.3144206474</v>
      </c>
      <c r="AJ97" s="85">
        <f t="shared" si="50"/>
        <v>53342.42</v>
      </c>
      <c r="AK97" s="76">
        <f t="shared" si="51"/>
        <v>0.230342667324136</v>
      </c>
      <c r="AL97" s="76">
        <f t="shared" si="52"/>
        <v>-0.316277091803721</v>
      </c>
    </row>
    <row r="98" spans="1:38">
      <c r="A98" s="17">
        <v>94</v>
      </c>
      <c r="B98" s="18" t="s">
        <v>238</v>
      </c>
      <c r="C98" s="23" t="s">
        <v>239</v>
      </c>
      <c r="D98" s="20" t="s">
        <v>86</v>
      </c>
      <c r="E98" s="55">
        <v>0</v>
      </c>
      <c r="F98" s="55">
        <v>0.03305</v>
      </c>
      <c r="G98" s="21">
        <v>13.7168</v>
      </c>
      <c r="H98" s="56">
        <v>0.95</v>
      </c>
      <c r="I98" s="21">
        <f t="shared" ref="I98:I146" si="53">F98*G98/H98</f>
        <v>0.477200252631579</v>
      </c>
      <c r="J98" s="20" t="s">
        <v>65</v>
      </c>
      <c r="K98" s="21">
        <v>42.3529411764705</v>
      </c>
      <c r="L98" s="61">
        <v>85.0000000000002</v>
      </c>
      <c r="M98" s="20">
        <v>2</v>
      </c>
      <c r="N98" s="20">
        <v>48.5</v>
      </c>
      <c r="O98" s="20">
        <v>0.76</v>
      </c>
      <c r="P98" s="20">
        <v>22.5</v>
      </c>
      <c r="Q98" s="21">
        <f t="shared" ref="Q98:Q146" si="54">P98/K98/M98</f>
        <v>0.265625000000001</v>
      </c>
      <c r="R98" s="21">
        <v>0</v>
      </c>
      <c r="S98" s="31">
        <v>0.022338</v>
      </c>
      <c r="T98" s="31">
        <v>0.05</v>
      </c>
      <c r="U98" s="20">
        <v>0</v>
      </c>
      <c r="V98" s="21">
        <f t="shared" ref="V98:V146" si="55">(I98+Q98+(N98*O98/K98/M98)/2)/H98*1.11+R98*1.03+S98+T98+U98</f>
        <v>1.19449149693444</v>
      </c>
      <c r="W98" s="20">
        <v>1.74</v>
      </c>
      <c r="X98" s="62">
        <f t="shared" si="39"/>
        <v>-0.545508503065558</v>
      </c>
      <c r="Y98" s="75">
        <f t="shared" si="40"/>
        <v>0.0418588161810449</v>
      </c>
      <c r="Z98" s="76">
        <f t="shared" si="41"/>
        <v>0.222374960961802</v>
      </c>
      <c r="AA98" s="22">
        <f t="shared" si="42"/>
        <v>0.217576388888889</v>
      </c>
      <c r="AB98" s="76">
        <f t="shared" si="43"/>
        <v>0.182149801356711</v>
      </c>
      <c r="AC98" s="77">
        <f t="shared" si="44"/>
        <v>0.0187008447170436</v>
      </c>
      <c r="AD98" s="77">
        <f t="shared" si="45"/>
        <v>0</v>
      </c>
      <c r="AE98" s="77">
        <f t="shared" si="46"/>
        <v>0.600499246870931</v>
      </c>
      <c r="AF98" s="78">
        <v>58483</v>
      </c>
      <c r="AG98" s="171">
        <f t="shared" si="47"/>
        <v>1.48766673487227</v>
      </c>
      <c r="AH98" s="84">
        <f t="shared" si="48"/>
        <v>87003.2136555349</v>
      </c>
      <c r="AI98" s="85">
        <f t="shared" si="49"/>
        <v>69857.446215217</v>
      </c>
      <c r="AJ98" s="85">
        <f t="shared" si="50"/>
        <v>101760.42</v>
      </c>
      <c r="AK98" s="76">
        <f t="shared" si="51"/>
        <v>0.245439367873472</v>
      </c>
      <c r="AL98" s="76">
        <f t="shared" si="52"/>
        <v>-0.1450191178895</v>
      </c>
    </row>
    <row r="99" spans="1:38">
      <c r="A99" s="17">
        <v>95</v>
      </c>
      <c r="B99" s="18" t="s">
        <v>240</v>
      </c>
      <c r="C99" s="23" t="s">
        <v>241</v>
      </c>
      <c r="D99" s="20" t="s">
        <v>43</v>
      </c>
      <c r="E99" s="55">
        <v>0</v>
      </c>
      <c r="F99" s="55">
        <v>0.00763</v>
      </c>
      <c r="G99" s="21">
        <v>15.3097</v>
      </c>
      <c r="H99" s="56">
        <v>0.85</v>
      </c>
      <c r="I99" s="21">
        <f t="shared" si="53"/>
        <v>0.137427071764706</v>
      </c>
      <c r="J99" s="20" t="s">
        <v>44</v>
      </c>
      <c r="K99" s="21">
        <v>60</v>
      </c>
      <c r="L99" s="61">
        <v>60</v>
      </c>
      <c r="M99" s="20">
        <v>4</v>
      </c>
      <c r="N99" s="20">
        <v>27.15</v>
      </c>
      <c r="O99" s="20">
        <v>0.76</v>
      </c>
      <c r="P99" s="20">
        <v>22.5</v>
      </c>
      <c r="Q99" s="21">
        <f t="shared" si="54"/>
        <v>0.09375</v>
      </c>
      <c r="R99" s="21">
        <v>0</v>
      </c>
      <c r="S99" s="31">
        <v>0.0143116666666667</v>
      </c>
      <c r="T99" s="31">
        <v>0.0333333333333333</v>
      </c>
      <c r="U99" s="20">
        <v>0</v>
      </c>
      <c r="V99" s="21">
        <f t="shared" si="55"/>
        <v>0.405671676069204</v>
      </c>
      <c r="W99" s="20">
        <v>0.81</v>
      </c>
      <c r="X99" s="62">
        <f t="shared" si="39"/>
        <v>-0.404328323930796</v>
      </c>
      <c r="Y99" s="75">
        <f t="shared" si="40"/>
        <v>0.0821682540332121</v>
      </c>
      <c r="Z99" s="76">
        <f t="shared" si="41"/>
        <v>0.231098214468409</v>
      </c>
      <c r="AA99" s="22">
        <f t="shared" si="42"/>
        <v>0.0429875</v>
      </c>
      <c r="AB99" s="76">
        <f t="shared" si="43"/>
        <v>0.105966234607581</v>
      </c>
      <c r="AC99" s="77">
        <f t="shared" si="44"/>
        <v>0.0352789398691597</v>
      </c>
      <c r="AD99" s="77">
        <f t="shared" si="45"/>
        <v>0</v>
      </c>
      <c r="AE99" s="77">
        <f t="shared" si="46"/>
        <v>0.661235723685915</v>
      </c>
      <c r="AF99" s="78">
        <v>56835</v>
      </c>
      <c r="AG99" s="171">
        <f t="shared" si="47"/>
        <v>0.499210177024222</v>
      </c>
      <c r="AH99" s="84">
        <f t="shared" si="48"/>
        <v>28372.6104111716</v>
      </c>
      <c r="AI99" s="85">
        <f t="shared" si="49"/>
        <v>23056.3497093932</v>
      </c>
      <c r="AJ99" s="85">
        <f t="shared" si="50"/>
        <v>46036.35</v>
      </c>
      <c r="AK99" s="76">
        <f t="shared" si="51"/>
        <v>0.230576859250731</v>
      </c>
      <c r="AL99" s="76">
        <f t="shared" si="52"/>
        <v>-0.38369113947627</v>
      </c>
    </row>
    <row r="100" spans="1:38">
      <c r="A100" s="17">
        <v>96</v>
      </c>
      <c r="B100" s="18" t="s">
        <v>242</v>
      </c>
      <c r="C100" s="23" t="s">
        <v>243</v>
      </c>
      <c r="D100" s="20" t="s">
        <v>43</v>
      </c>
      <c r="E100" s="55">
        <v>0</v>
      </c>
      <c r="F100" s="55">
        <v>0.00348</v>
      </c>
      <c r="G100" s="21">
        <v>15.3097</v>
      </c>
      <c r="H100" s="56">
        <v>0.95</v>
      </c>
      <c r="I100" s="21">
        <f t="shared" si="53"/>
        <v>0.0560818484210526</v>
      </c>
      <c r="J100" s="20" t="s">
        <v>44</v>
      </c>
      <c r="K100" s="21">
        <v>60</v>
      </c>
      <c r="L100" s="61">
        <v>60</v>
      </c>
      <c r="M100" s="20">
        <v>4</v>
      </c>
      <c r="N100" s="20">
        <v>27.15</v>
      </c>
      <c r="O100" s="20">
        <v>0.76</v>
      </c>
      <c r="P100" s="20">
        <v>22.5</v>
      </c>
      <c r="Q100" s="21">
        <f t="shared" si="54"/>
        <v>0.09375</v>
      </c>
      <c r="R100" s="21">
        <v>0</v>
      </c>
      <c r="S100" s="31">
        <v>0.00477055555555556</v>
      </c>
      <c r="T100" s="31">
        <v>0.0111111111111111</v>
      </c>
      <c r="U100" s="20">
        <v>0</v>
      </c>
      <c r="V100" s="21">
        <f t="shared" si="55"/>
        <v>0.241175852716528</v>
      </c>
      <c r="W100" s="20">
        <v>0.68</v>
      </c>
      <c r="X100" s="62">
        <f t="shared" si="39"/>
        <v>-0.438824147283472</v>
      </c>
      <c r="Y100" s="75">
        <f t="shared" si="40"/>
        <v>0.0460705787331488</v>
      </c>
      <c r="Z100" s="76">
        <f t="shared" si="41"/>
        <v>0.388720508060943</v>
      </c>
      <c r="AA100" s="22">
        <f t="shared" si="42"/>
        <v>0.0429875</v>
      </c>
      <c r="AB100" s="76">
        <f t="shared" si="43"/>
        <v>0.178241310296211</v>
      </c>
      <c r="AC100" s="77">
        <f t="shared" si="44"/>
        <v>0.0197804029790775</v>
      </c>
      <c r="AD100" s="77">
        <f t="shared" si="45"/>
        <v>0</v>
      </c>
      <c r="AE100" s="77">
        <f t="shared" si="46"/>
        <v>0.767464910813564</v>
      </c>
      <c r="AF100" s="78">
        <v>48784</v>
      </c>
      <c r="AG100" s="171">
        <f t="shared" si="47"/>
        <v>0.300036495918744</v>
      </c>
      <c r="AH100" s="84">
        <f t="shared" si="48"/>
        <v>14636.9804169</v>
      </c>
      <c r="AI100" s="85">
        <f t="shared" si="49"/>
        <v>11765.5227989231</v>
      </c>
      <c r="AJ100" s="85">
        <f t="shared" si="50"/>
        <v>33173.12</v>
      </c>
      <c r="AK100" s="76">
        <f t="shared" si="51"/>
        <v>0.244056950723833</v>
      </c>
      <c r="AL100" s="76">
        <f t="shared" si="52"/>
        <v>-0.558769858943023</v>
      </c>
    </row>
    <row r="101" spans="1:38">
      <c r="A101" s="17">
        <v>97</v>
      </c>
      <c r="B101" s="18" t="s">
        <v>244</v>
      </c>
      <c r="C101" s="23" t="s">
        <v>245</v>
      </c>
      <c r="D101" s="20" t="s">
        <v>43</v>
      </c>
      <c r="E101" s="55">
        <v>0</v>
      </c>
      <c r="F101" s="55">
        <v>0.01383</v>
      </c>
      <c r="G101" s="21">
        <v>15.3097</v>
      </c>
      <c r="H101" s="56">
        <v>0.95</v>
      </c>
      <c r="I101" s="21">
        <f t="shared" si="53"/>
        <v>0.222877001052632</v>
      </c>
      <c r="J101" s="20" t="s">
        <v>44</v>
      </c>
      <c r="K101" s="21">
        <v>60</v>
      </c>
      <c r="L101" s="61">
        <v>60</v>
      </c>
      <c r="M101" s="20">
        <v>4</v>
      </c>
      <c r="N101" s="20">
        <v>27.15</v>
      </c>
      <c r="O101" s="20">
        <v>0.76</v>
      </c>
      <c r="P101" s="20">
        <v>22.5</v>
      </c>
      <c r="Q101" s="21">
        <f t="shared" si="54"/>
        <v>0.09375</v>
      </c>
      <c r="R101" s="21">
        <v>0.45</v>
      </c>
      <c r="S101" s="31">
        <v>0.0143116666666667</v>
      </c>
      <c r="T101" s="31">
        <v>0.0333333333333333</v>
      </c>
      <c r="U101" s="20">
        <v>0</v>
      </c>
      <c r="V101" s="21">
        <f t="shared" si="55"/>
        <v>0.931326153861496</v>
      </c>
      <c r="W101" s="20">
        <v>1.81</v>
      </c>
      <c r="X101" s="62">
        <f t="shared" si="39"/>
        <v>-0.878673846138504</v>
      </c>
      <c r="Y101" s="75">
        <f t="shared" si="40"/>
        <v>0.0357912565808718</v>
      </c>
      <c r="Z101" s="76">
        <f t="shared" si="41"/>
        <v>0.100662909133702</v>
      </c>
      <c r="AA101" s="22">
        <f t="shared" si="42"/>
        <v>0.0429875</v>
      </c>
      <c r="AB101" s="76">
        <f t="shared" si="43"/>
        <v>0.0461572992681068</v>
      </c>
      <c r="AC101" s="77">
        <f t="shared" si="44"/>
        <v>0.0153669760129974</v>
      </c>
      <c r="AD101" s="77">
        <f t="shared" si="45"/>
        <v>0</v>
      </c>
      <c r="AE101" s="77">
        <f t="shared" si="46"/>
        <v>0.7606885620805</v>
      </c>
      <c r="AF101" s="78">
        <v>47668</v>
      </c>
      <c r="AG101" s="171">
        <f t="shared" si="47"/>
        <v>1.07260321207756</v>
      </c>
      <c r="AH101" s="84">
        <f t="shared" si="48"/>
        <v>51128.8499133133</v>
      </c>
      <c r="AI101" s="85">
        <f t="shared" si="49"/>
        <v>44394.4551022698</v>
      </c>
      <c r="AJ101" s="85">
        <f t="shared" si="50"/>
        <v>86279.08</v>
      </c>
      <c r="AK101" s="76">
        <f t="shared" si="51"/>
        <v>0.15169450318806</v>
      </c>
      <c r="AL101" s="76">
        <f t="shared" si="52"/>
        <v>-0.407401540288639</v>
      </c>
    </row>
    <row r="102" spans="1:38">
      <c r="A102" s="17">
        <v>98</v>
      </c>
      <c r="B102" s="18" t="s">
        <v>246</v>
      </c>
      <c r="C102" s="23" t="s">
        <v>247</v>
      </c>
      <c r="D102" s="20" t="s">
        <v>43</v>
      </c>
      <c r="E102" s="55">
        <v>0</v>
      </c>
      <c r="F102" s="55">
        <v>0.00208</v>
      </c>
      <c r="G102" s="21">
        <v>15.3097</v>
      </c>
      <c r="H102" s="56">
        <v>0.95</v>
      </c>
      <c r="I102" s="21">
        <f t="shared" si="53"/>
        <v>0.0335201852631579</v>
      </c>
      <c r="J102" s="20" t="s">
        <v>44</v>
      </c>
      <c r="K102" s="21">
        <v>60</v>
      </c>
      <c r="L102" s="61">
        <v>60</v>
      </c>
      <c r="M102" s="20">
        <v>4</v>
      </c>
      <c r="N102" s="20">
        <v>27.15</v>
      </c>
      <c r="O102" s="20">
        <v>0.76</v>
      </c>
      <c r="P102" s="20">
        <v>22.5</v>
      </c>
      <c r="Q102" s="21">
        <f t="shared" si="54"/>
        <v>0.09375</v>
      </c>
      <c r="R102" s="21">
        <v>0</v>
      </c>
      <c r="S102" s="31">
        <v>0.00477055555555556</v>
      </c>
      <c r="T102" s="31">
        <v>0.0111111111111111</v>
      </c>
      <c r="U102" s="20">
        <v>0</v>
      </c>
      <c r="V102" s="21">
        <f t="shared" si="55"/>
        <v>0.214814330500462</v>
      </c>
      <c r="W102" s="20">
        <v>0.2</v>
      </c>
      <c r="X102" s="62">
        <f t="shared" ref="X102:X145" si="56">V102-W102</f>
        <v>0.0148143305004617</v>
      </c>
      <c r="Y102" s="75">
        <f t="shared" ref="Y102:Y145" si="57">T102/V102</f>
        <v>0.0517242545468223</v>
      </c>
      <c r="Z102" s="76">
        <f t="shared" ref="Z102:Z145" si="58">Q102/V102</f>
        <v>0.436423397738814</v>
      </c>
      <c r="AA102" s="22">
        <f t="shared" ref="AA102:AA145" si="59">(N102*O102/K102/M102)/2</f>
        <v>0.0429875</v>
      </c>
      <c r="AB102" s="76">
        <f t="shared" ref="AB102:AB145" si="60">AA102/V102</f>
        <v>0.200114675309837</v>
      </c>
      <c r="AC102" s="77">
        <f t="shared" ref="AC102:AC145" si="61">S102/V102</f>
        <v>0.0222078086896782</v>
      </c>
      <c r="AD102" s="77">
        <f t="shared" ref="AD102:AD145" si="62">U102/V102</f>
        <v>0</v>
      </c>
      <c r="AE102" s="77">
        <f t="shared" ref="AE102:AE145" si="63">1-I102/V102</f>
        <v>0.84395740644926</v>
      </c>
      <c r="AF102" s="78">
        <v>57194</v>
      </c>
      <c r="AG102" s="171">
        <f t="shared" si="47"/>
        <v>0.266787729159741</v>
      </c>
      <c r="AH102" s="84">
        <f t="shared" ref="AH102:AH133" si="64">AG102*AF102</f>
        <v>15258.6573815623</v>
      </c>
      <c r="AI102" s="85">
        <f t="shared" ref="AI102:AI133" si="65">V102*AF102</f>
        <v>12286.0908186434</v>
      </c>
      <c r="AJ102" s="85">
        <f t="shared" ref="AJ102:AJ133" si="66">W102*AF102</f>
        <v>11438.8</v>
      </c>
      <c r="AK102" s="76">
        <f t="shared" ref="AK102:AK133" si="67">(AG102-V102)/V102</f>
        <v>0.241945677172446</v>
      </c>
      <c r="AL102" s="76">
        <f t="shared" ref="AL102:AL133" si="68">(AG102-W102)/W102</f>
        <v>0.333938645798707</v>
      </c>
    </row>
    <row r="103" ht="28" spans="1:38">
      <c r="A103" s="17">
        <v>99</v>
      </c>
      <c r="B103" s="18" t="s">
        <v>248</v>
      </c>
      <c r="C103" s="19" t="s">
        <v>249</v>
      </c>
      <c r="D103" s="20" t="s">
        <v>43</v>
      </c>
      <c r="E103" s="55">
        <v>0.0022</v>
      </c>
      <c r="F103" s="55">
        <v>0.00231</v>
      </c>
      <c r="G103" s="21">
        <v>15.3097</v>
      </c>
      <c r="H103" s="56">
        <v>0.95</v>
      </c>
      <c r="I103" s="21">
        <f t="shared" si="53"/>
        <v>0.0372267442105263</v>
      </c>
      <c r="J103" s="20" t="s">
        <v>44</v>
      </c>
      <c r="K103" s="21">
        <v>55.3846153846154</v>
      </c>
      <c r="L103" s="61">
        <v>65</v>
      </c>
      <c r="M103" s="20">
        <v>4</v>
      </c>
      <c r="N103" s="20">
        <v>27.15</v>
      </c>
      <c r="O103" s="20">
        <v>0.76</v>
      </c>
      <c r="P103" s="20">
        <v>22.5</v>
      </c>
      <c r="Q103" s="21">
        <f t="shared" si="54"/>
        <v>0.1015625</v>
      </c>
      <c r="R103" s="21">
        <v>0</v>
      </c>
      <c r="S103" s="31">
        <v>0.00477055555555556</v>
      </c>
      <c r="T103" s="31">
        <v>0.0111111111111111</v>
      </c>
      <c r="U103" s="20">
        <v>0</v>
      </c>
      <c r="V103" s="21">
        <f t="shared" si="55"/>
        <v>0.232459066481071</v>
      </c>
      <c r="W103" s="20">
        <v>0.21</v>
      </c>
      <c r="X103" s="62">
        <f t="shared" si="56"/>
        <v>0.0224590664810711</v>
      </c>
      <c r="Y103" s="75">
        <f t="shared" si="57"/>
        <v>0.0477981404610685</v>
      </c>
      <c r="Z103" s="76">
        <f t="shared" si="58"/>
        <v>0.436904877651955</v>
      </c>
      <c r="AA103" s="22">
        <f t="shared" si="59"/>
        <v>0.0465697916666667</v>
      </c>
      <c r="AB103" s="76">
        <f t="shared" si="60"/>
        <v>0.200335449899343</v>
      </c>
      <c r="AC103" s="77">
        <f t="shared" si="61"/>
        <v>0.0205221316069598</v>
      </c>
      <c r="AD103" s="77">
        <f t="shared" si="62"/>
        <v>0</v>
      </c>
      <c r="AE103" s="77">
        <f t="shared" si="63"/>
        <v>0.839856776618529</v>
      </c>
      <c r="AF103" s="78">
        <v>16420</v>
      </c>
      <c r="AG103" s="171">
        <f t="shared" si="47"/>
        <v>0.289042351117267</v>
      </c>
      <c r="AH103" s="84">
        <f t="shared" si="64"/>
        <v>4746.07540534552</v>
      </c>
      <c r="AI103" s="85">
        <f t="shared" si="65"/>
        <v>3816.97787161919</v>
      </c>
      <c r="AJ103" s="85">
        <f t="shared" si="66"/>
        <v>3448.2</v>
      </c>
      <c r="AK103" s="76">
        <f t="shared" si="67"/>
        <v>0.243411820811055</v>
      </c>
      <c r="AL103" s="76">
        <f t="shared" si="68"/>
        <v>0.376392148177461</v>
      </c>
    </row>
    <row r="104" spans="1:38">
      <c r="A104" s="17">
        <v>100</v>
      </c>
      <c r="B104" s="18" t="s">
        <v>250</v>
      </c>
      <c r="C104" s="23" t="s">
        <v>251</v>
      </c>
      <c r="D104" s="20" t="s">
        <v>252</v>
      </c>
      <c r="E104" s="55">
        <v>0.027</v>
      </c>
      <c r="F104" s="55">
        <v>0.02835</v>
      </c>
      <c r="G104" s="21">
        <v>9.02654867256637</v>
      </c>
      <c r="H104" s="56">
        <v>0.95</v>
      </c>
      <c r="I104" s="21">
        <f t="shared" si="53"/>
        <v>0.269371215649744</v>
      </c>
      <c r="J104" s="20" t="s">
        <v>65</v>
      </c>
      <c r="K104" s="21">
        <v>55.3846153846154</v>
      </c>
      <c r="L104" s="61">
        <v>65</v>
      </c>
      <c r="M104" s="20">
        <v>2</v>
      </c>
      <c r="N104" s="20">
        <v>48.5</v>
      </c>
      <c r="O104" s="20">
        <v>0.76</v>
      </c>
      <c r="P104" s="20">
        <v>22.5</v>
      </c>
      <c r="Q104" s="21">
        <f t="shared" si="54"/>
        <v>0.203125</v>
      </c>
      <c r="R104" s="21">
        <v>0</v>
      </c>
      <c r="S104" s="31">
        <v>0.106571111111111</v>
      </c>
      <c r="T104" s="31">
        <v>0.222222222222222</v>
      </c>
      <c r="U104" s="20">
        <v>0</v>
      </c>
      <c r="V104" s="21">
        <f t="shared" si="55"/>
        <v>1.07527202565391</v>
      </c>
      <c r="W104" s="20">
        <v>1.14</v>
      </c>
      <c r="X104" s="62">
        <f t="shared" si="56"/>
        <v>-0.0647279743460889</v>
      </c>
      <c r="Y104" s="75">
        <f t="shared" si="57"/>
        <v>0.206666050004491</v>
      </c>
      <c r="Z104" s="76">
        <f t="shared" si="58"/>
        <v>0.188905686332231</v>
      </c>
      <c r="AA104" s="22">
        <f t="shared" si="59"/>
        <v>0.166381944444444</v>
      </c>
      <c r="AB104" s="76">
        <f t="shared" si="60"/>
        <v>0.1547347466268</v>
      </c>
      <c r="AC104" s="77">
        <f t="shared" si="61"/>
        <v>0.099110837600654</v>
      </c>
      <c r="AD104" s="77">
        <f t="shared" si="62"/>
        <v>0</v>
      </c>
      <c r="AE104" s="77">
        <f t="shared" si="63"/>
        <v>0.749485516945417</v>
      </c>
      <c r="AF104" s="78">
        <v>1432</v>
      </c>
      <c r="AG104" s="171">
        <f t="shared" si="47"/>
        <v>1.27029799031424</v>
      </c>
      <c r="AH104" s="84">
        <f t="shared" si="64"/>
        <v>1819.06672212999</v>
      </c>
      <c r="AI104" s="85">
        <f t="shared" si="65"/>
        <v>1539.7895407364</v>
      </c>
      <c r="AJ104" s="85">
        <f t="shared" si="66"/>
        <v>1632.48</v>
      </c>
      <c r="AK104" s="76">
        <f t="shared" si="67"/>
        <v>0.181373605940998</v>
      </c>
      <c r="AL104" s="76">
        <f t="shared" si="68"/>
        <v>0.114296482731791</v>
      </c>
    </row>
    <row r="105" spans="1:38">
      <c r="A105" s="17">
        <v>101</v>
      </c>
      <c r="B105" s="18" t="s">
        <v>253</v>
      </c>
      <c r="C105" s="23" t="s">
        <v>254</v>
      </c>
      <c r="D105" s="20" t="s">
        <v>252</v>
      </c>
      <c r="E105" s="55">
        <v>0.033</v>
      </c>
      <c r="F105" s="55">
        <v>0.03465</v>
      </c>
      <c r="G105" s="21">
        <v>9.02654867256637</v>
      </c>
      <c r="H105" s="56">
        <v>0.95</v>
      </c>
      <c r="I105" s="21">
        <f t="shared" si="53"/>
        <v>0.329231485794131</v>
      </c>
      <c r="J105" s="20" t="s">
        <v>65</v>
      </c>
      <c r="K105" s="21">
        <v>51.4285714285715</v>
      </c>
      <c r="L105" s="61">
        <v>69.9999999999999</v>
      </c>
      <c r="M105" s="20">
        <v>2</v>
      </c>
      <c r="N105" s="20">
        <v>48.5</v>
      </c>
      <c r="O105" s="20">
        <v>0.76</v>
      </c>
      <c r="P105" s="20">
        <v>22.5</v>
      </c>
      <c r="Q105" s="21">
        <f t="shared" si="54"/>
        <v>0.21875</v>
      </c>
      <c r="R105" s="21">
        <v>0</v>
      </c>
      <c r="S105" s="31">
        <v>0.106571111111111</v>
      </c>
      <c r="T105" s="31">
        <v>0.222222222222222</v>
      </c>
      <c r="U105" s="20">
        <v>0</v>
      </c>
      <c r="V105" s="21">
        <f t="shared" si="55"/>
        <v>1.17842477112086</v>
      </c>
      <c r="W105" s="20">
        <v>1.2</v>
      </c>
      <c r="X105" s="62">
        <f t="shared" si="56"/>
        <v>-0.0215752288791389</v>
      </c>
      <c r="Y105" s="75">
        <f t="shared" si="57"/>
        <v>0.188575654270111</v>
      </c>
      <c r="Z105" s="76">
        <f t="shared" si="58"/>
        <v>0.18562915967214</v>
      </c>
      <c r="AA105" s="22">
        <f t="shared" si="59"/>
        <v>0.179180555555555</v>
      </c>
      <c r="AB105" s="76">
        <f t="shared" si="60"/>
        <v>0.152050907233669</v>
      </c>
      <c r="AC105" s="77">
        <f t="shared" si="61"/>
        <v>0.0904352265183171</v>
      </c>
      <c r="AD105" s="77">
        <f t="shared" si="62"/>
        <v>0</v>
      </c>
      <c r="AE105" s="77">
        <f t="shared" si="63"/>
        <v>0.720617307220229</v>
      </c>
      <c r="AF105" s="78">
        <v>4079</v>
      </c>
      <c r="AG105" s="171">
        <f t="shared" si="47"/>
        <v>1.40040055216445</v>
      </c>
      <c r="AH105" s="84">
        <f t="shared" si="64"/>
        <v>5712.23385227879</v>
      </c>
      <c r="AI105" s="85">
        <f t="shared" si="65"/>
        <v>4806.79464140199</v>
      </c>
      <c r="AJ105" s="85">
        <f t="shared" si="66"/>
        <v>4894.8</v>
      </c>
      <c r="AK105" s="76">
        <f t="shared" si="67"/>
        <v>0.188366526640861</v>
      </c>
      <c r="AL105" s="76">
        <f t="shared" si="68"/>
        <v>0.167000460137041</v>
      </c>
    </row>
    <row r="106" spans="1:38">
      <c r="A106" s="17">
        <v>102</v>
      </c>
      <c r="B106" s="18" t="s">
        <v>255</v>
      </c>
      <c r="C106" s="19" t="s">
        <v>256</v>
      </c>
      <c r="D106" s="20" t="s">
        <v>257</v>
      </c>
      <c r="E106" s="55">
        <v>0.029</v>
      </c>
      <c r="F106" s="55">
        <v>0.03045</v>
      </c>
      <c r="G106" s="21">
        <v>6.63716814159292</v>
      </c>
      <c r="H106" s="56">
        <v>0.95</v>
      </c>
      <c r="I106" s="21">
        <f t="shared" si="53"/>
        <v>0.212738705170005</v>
      </c>
      <c r="J106" s="20" t="s">
        <v>65</v>
      </c>
      <c r="K106" s="21">
        <v>51.4285714285715</v>
      </c>
      <c r="L106" s="61">
        <v>69.9999999999999</v>
      </c>
      <c r="M106" s="20">
        <v>2</v>
      </c>
      <c r="N106" s="20">
        <v>48.5</v>
      </c>
      <c r="O106" s="20">
        <v>0.76</v>
      </c>
      <c r="P106" s="20">
        <v>22.5</v>
      </c>
      <c r="Q106" s="21">
        <f t="shared" si="54"/>
        <v>0.21875</v>
      </c>
      <c r="R106" s="21">
        <v>0</v>
      </c>
      <c r="S106" s="31">
        <v>0.106571111111111</v>
      </c>
      <c r="T106" s="31">
        <v>0.222222222222222</v>
      </c>
      <c r="U106" s="20">
        <v>0</v>
      </c>
      <c r="V106" s="21">
        <f t="shared" si="55"/>
        <v>1.04231215376004</v>
      </c>
      <c r="W106" s="20">
        <v>1.2</v>
      </c>
      <c r="X106" s="62">
        <f t="shared" si="56"/>
        <v>-0.15768784623996</v>
      </c>
      <c r="Y106" s="75">
        <f t="shared" si="57"/>
        <v>0.213201219443309</v>
      </c>
      <c r="Z106" s="76">
        <f t="shared" si="58"/>
        <v>0.209869950389507</v>
      </c>
      <c r="AA106" s="22">
        <f t="shared" si="59"/>
        <v>0.179180555555555</v>
      </c>
      <c r="AB106" s="76">
        <f t="shared" si="60"/>
        <v>0.171906808252383</v>
      </c>
      <c r="AC106" s="77">
        <f t="shared" si="61"/>
        <v>0.102244908808428</v>
      </c>
      <c r="AD106" s="77">
        <f t="shared" si="62"/>
        <v>0</v>
      </c>
      <c r="AE106" s="77">
        <f t="shared" si="63"/>
        <v>0.79589731885734</v>
      </c>
      <c r="AF106" s="78">
        <v>0</v>
      </c>
      <c r="AG106" s="171">
        <f t="shared" si="47"/>
        <v>1.22872698071837</v>
      </c>
      <c r="AH106" s="84">
        <f t="shared" si="64"/>
        <v>0</v>
      </c>
      <c r="AI106" s="85">
        <f t="shared" si="65"/>
        <v>0</v>
      </c>
      <c r="AJ106" s="85">
        <f t="shared" si="66"/>
        <v>0</v>
      </c>
      <c r="AK106" s="76">
        <f t="shared" si="67"/>
        <v>0.178847407934231</v>
      </c>
      <c r="AL106" s="76">
        <f t="shared" si="68"/>
        <v>0.0239391505986406</v>
      </c>
    </row>
    <row r="107" spans="1:38">
      <c r="A107" s="17">
        <v>103</v>
      </c>
      <c r="B107" s="18" t="s">
        <v>258</v>
      </c>
      <c r="C107" s="19" t="s">
        <v>259</v>
      </c>
      <c r="D107" s="20" t="s">
        <v>257</v>
      </c>
      <c r="E107" s="55">
        <v>0.029</v>
      </c>
      <c r="F107" s="55">
        <v>0.03045</v>
      </c>
      <c r="G107" s="21">
        <v>6.63716814159292</v>
      </c>
      <c r="H107" s="56">
        <v>0.95</v>
      </c>
      <c r="I107" s="21">
        <f t="shared" si="53"/>
        <v>0.212738705170005</v>
      </c>
      <c r="J107" s="20" t="s">
        <v>65</v>
      </c>
      <c r="K107" s="21">
        <v>51.4285714285715</v>
      </c>
      <c r="L107" s="61">
        <v>69.9999999999999</v>
      </c>
      <c r="M107" s="20">
        <v>2</v>
      </c>
      <c r="N107" s="20">
        <v>48.5</v>
      </c>
      <c r="O107" s="20">
        <v>0.76</v>
      </c>
      <c r="P107" s="20">
        <v>22.5</v>
      </c>
      <c r="Q107" s="21">
        <f t="shared" si="54"/>
        <v>0.21875</v>
      </c>
      <c r="R107" s="21">
        <v>0</v>
      </c>
      <c r="S107" s="31">
        <v>0.106571111111111</v>
      </c>
      <c r="T107" s="31">
        <v>0.222222222222222</v>
      </c>
      <c r="U107" s="20">
        <v>0</v>
      </c>
      <c r="V107" s="21">
        <f t="shared" si="55"/>
        <v>1.04231215376004</v>
      </c>
      <c r="W107" s="20">
        <v>1.2</v>
      </c>
      <c r="X107" s="62">
        <f t="shared" si="56"/>
        <v>-0.15768784623996</v>
      </c>
      <c r="Y107" s="75">
        <f t="shared" si="57"/>
        <v>0.213201219443309</v>
      </c>
      <c r="Z107" s="76">
        <f t="shared" si="58"/>
        <v>0.209869950389507</v>
      </c>
      <c r="AA107" s="22">
        <f t="shared" si="59"/>
        <v>0.179180555555555</v>
      </c>
      <c r="AB107" s="76">
        <f t="shared" si="60"/>
        <v>0.171906808252383</v>
      </c>
      <c r="AC107" s="77">
        <f t="shared" si="61"/>
        <v>0.102244908808428</v>
      </c>
      <c r="AD107" s="77">
        <f t="shared" si="62"/>
        <v>0</v>
      </c>
      <c r="AE107" s="77">
        <f t="shared" si="63"/>
        <v>0.79589731885734</v>
      </c>
      <c r="AF107" s="78"/>
      <c r="AG107" s="171">
        <f t="shared" si="47"/>
        <v>1.22872698071837</v>
      </c>
      <c r="AH107" s="84">
        <f t="shared" si="64"/>
        <v>0</v>
      </c>
      <c r="AI107" s="85">
        <f t="shared" si="65"/>
        <v>0</v>
      </c>
      <c r="AJ107" s="85">
        <f t="shared" si="66"/>
        <v>0</v>
      </c>
      <c r="AK107" s="76">
        <f t="shared" si="67"/>
        <v>0.178847407934231</v>
      </c>
      <c r="AL107" s="76">
        <f t="shared" si="68"/>
        <v>0.0239391505986406</v>
      </c>
    </row>
    <row r="108" ht="56" spans="1:38">
      <c r="A108" s="17">
        <v>104</v>
      </c>
      <c r="B108" s="18" t="s">
        <v>260</v>
      </c>
      <c r="C108" s="19" t="s">
        <v>261</v>
      </c>
      <c r="D108" s="20" t="s">
        <v>59</v>
      </c>
      <c r="E108" s="55">
        <v>0.031</v>
      </c>
      <c r="F108" s="55">
        <v>0.03255</v>
      </c>
      <c r="G108" s="21">
        <v>18.5841</v>
      </c>
      <c r="H108" s="56">
        <v>0.95</v>
      </c>
      <c r="I108" s="21">
        <f t="shared" si="53"/>
        <v>0.636749952631579</v>
      </c>
      <c r="J108" s="20" t="s">
        <v>65</v>
      </c>
      <c r="K108" s="21">
        <v>30</v>
      </c>
      <c r="L108" s="61">
        <v>120</v>
      </c>
      <c r="M108" s="20">
        <v>2</v>
      </c>
      <c r="N108" s="20">
        <v>48.5</v>
      </c>
      <c r="O108" s="20">
        <v>0.76</v>
      </c>
      <c r="P108" s="20">
        <v>22.5</v>
      </c>
      <c r="Q108" s="21">
        <f t="shared" si="54"/>
        <v>0.375</v>
      </c>
      <c r="R108" s="21">
        <v>0.9</v>
      </c>
      <c r="S108" s="31">
        <v>0.084124</v>
      </c>
      <c r="T108" s="31">
        <v>0.2</v>
      </c>
      <c r="U108" s="20">
        <v>0</v>
      </c>
      <c r="V108" s="21">
        <f t="shared" si="55"/>
        <v>2.75217394465374</v>
      </c>
      <c r="W108" s="20">
        <v>3.33</v>
      </c>
      <c r="X108" s="62">
        <f t="shared" si="56"/>
        <v>-0.57782605534626</v>
      </c>
      <c r="Y108" s="75">
        <f t="shared" si="57"/>
        <v>0.0726698253896749</v>
      </c>
      <c r="Z108" s="76">
        <f t="shared" si="58"/>
        <v>0.13625592260564</v>
      </c>
      <c r="AA108" s="22">
        <f t="shared" si="59"/>
        <v>0.307166666666667</v>
      </c>
      <c r="AB108" s="76">
        <f t="shared" si="60"/>
        <v>0.111608740160976</v>
      </c>
      <c r="AC108" s="77">
        <f t="shared" si="61"/>
        <v>0.030566381955405</v>
      </c>
      <c r="AD108" s="77">
        <f t="shared" si="62"/>
        <v>0</v>
      </c>
      <c r="AE108" s="77">
        <f t="shared" si="63"/>
        <v>0.768637460626897</v>
      </c>
      <c r="AF108" s="78">
        <v>6856</v>
      </c>
      <c r="AG108" s="171">
        <f t="shared" si="47"/>
        <v>3.21779059686057</v>
      </c>
      <c r="AH108" s="84">
        <f t="shared" si="64"/>
        <v>22061.1723320761</v>
      </c>
      <c r="AI108" s="85">
        <f t="shared" si="65"/>
        <v>18868.904564546</v>
      </c>
      <c r="AJ108" s="85">
        <f t="shared" si="66"/>
        <v>22830.48</v>
      </c>
      <c r="AK108" s="76">
        <f t="shared" si="67"/>
        <v>0.169181404071978</v>
      </c>
      <c r="AL108" s="76">
        <f t="shared" si="68"/>
        <v>-0.0336965174592874</v>
      </c>
    </row>
    <row r="109" ht="42" spans="1:38">
      <c r="A109" s="17">
        <v>105</v>
      </c>
      <c r="B109" s="18" t="s">
        <v>262</v>
      </c>
      <c r="C109" s="19" t="s">
        <v>263</v>
      </c>
      <c r="D109" s="20" t="s">
        <v>59</v>
      </c>
      <c r="E109" s="55">
        <v>0.026</v>
      </c>
      <c r="F109" s="55">
        <v>0.0273</v>
      </c>
      <c r="G109" s="21">
        <v>18.5841</v>
      </c>
      <c r="H109" s="56">
        <v>0.9</v>
      </c>
      <c r="I109" s="21">
        <f t="shared" si="53"/>
        <v>0.5637177</v>
      </c>
      <c r="J109" s="20" t="s">
        <v>65</v>
      </c>
      <c r="K109" s="21">
        <v>30</v>
      </c>
      <c r="L109" s="61">
        <v>120</v>
      </c>
      <c r="M109" s="20">
        <v>2</v>
      </c>
      <c r="N109" s="20">
        <v>48.5</v>
      </c>
      <c r="O109" s="20">
        <v>0.76</v>
      </c>
      <c r="P109" s="20">
        <v>22.5</v>
      </c>
      <c r="Q109" s="21">
        <f t="shared" si="54"/>
        <v>0.375</v>
      </c>
      <c r="R109" s="21">
        <v>0.9</v>
      </c>
      <c r="S109" s="31">
        <v>0.084124</v>
      </c>
      <c r="T109" s="31">
        <v>0.2</v>
      </c>
      <c r="U109" s="20">
        <v>0</v>
      </c>
      <c r="V109" s="21">
        <f t="shared" si="55"/>
        <v>2.74771471888889</v>
      </c>
      <c r="W109" s="20">
        <v>4.28</v>
      </c>
      <c r="X109" s="62">
        <f t="shared" si="56"/>
        <v>-1.53228528111111</v>
      </c>
      <c r="Y109" s="75">
        <f t="shared" si="57"/>
        <v>0.0727877601794393</v>
      </c>
      <c r="Z109" s="76">
        <f t="shared" si="58"/>
        <v>0.136477050336449</v>
      </c>
      <c r="AA109" s="22">
        <f t="shared" si="59"/>
        <v>0.307166666666667</v>
      </c>
      <c r="AB109" s="76">
        <f t="shared" si="60"/>
        <v>0.111789868342256</v>
      </c>
      <c r="AC109" s="77">
        <f t="shared" si="61"/>
        <v>0.0306159876866758</v>
      </c>
      <c r="AD109" s="77">
        <f t="shared" si="62"/>
        <v>0</v>
      </c>
      <c r="AE109" s="77">
        <f t="shared" si="63"/>
        <v>0.794841256217474</v>
      </c>
      <c r="AF109" s="78">
        <v>0</v>
      </c>
      <c r="AG109" s="171">
        <f t="shared" si="47"/>
        <v>3.21216634814815</v>
      </c>
      <c r="AH109" s="84">
        <f t="shared" si="64"/>
        <v>0</v>
      </c>
      <c r="AI109" s="85">
        <f t="shared" si="65"/>
        <v>0</v>
      </c>
      <c r="AJ109" s="85">
        <f t="shared" si="66"/>
        <v>0</v>
      </c>
      <c r="AK109" s="76">
        <f t="shared" si="67"/>
        <v>0.169031969027364</v>
      </c>
      <c r="AL109" s="76">
        <f t="shared" si="68"/>
        <v>-0.24949384389062</v>
      </c>
    </row>
    <row r="110" ht="28" spans="1:38">
      <c r="A110" s="17">
        <v>106</v>
      </c>
      <c r="B110" s="18" t="s">
        <v>264</v>
      </c>
      <c r="C110" s="19" t="s">
        <v>265</v>
      </c>
      <c r="D110" s="20" t="s">
        <v>59</v>
      </c>
      <c r="E110" s="55">
        <v>0.026</v>
      </c>
      <c r="F110" s="55">
        <v>0.0273</v>
      </c>
      <c r="G110" s="21">
        <v>18.5841</v>
      </c>
      <c r="H110" s="56">
        <v>0.9</v>
      </c>
      <c r="I110" s="21">
        <f t="shared" si="53"/>
        <v>0.5637177</v>
      </c>
      <c r="J110" s="20" t="s">
        <v>120</v>
      </c>
      <c r="K110" s="21">
        <v>48</v>
      </c>
      <c r="L110" s="61">
        <v>75</v>
      </c>
      <c r="M110" s="20">
        <v>2</v>
      </c>
      <c r="N110" s="20">
        <v>39.75</v>
      </c>
      <c r="O110" s="20">
        <v>0.76</v>
      </c>
      <c r="P110" s="20">
        <v>22.5</v>
      </c>
      <c r="Q110" s="21">
        <f t="shared" si="54"/>
        <v>0.234375</v>
      </c>
      <c r="R110" s="21">
        <v>0</v>
      </c>
      <c r="S110" s="31">
        <v>0.106571111111111</v>
      </c>
      <c r="T110" s="31">
        <v>0.222222222222222</v>
      </c>
      <c r="U110" s="20">
        <v>0.3</v>
      </c>
      <c r="V110" s="21">
        <f t="shared" si="55"/>
        <v>1.807164955</v>
      </c>
      <c r="W110" s="20">
        <v>3.27</v>
      </c>
      <c r="X110" s="62">
        <f t="shared" si="56"/>
        <v>-1.462835045</v>
      </c>
      <c r="Y110" s="75">
        <f t="shared" si="57"/>
        <v>0.122967314968888</v>
      </c>
      <c r="Z110" s="76">
        <f t="shared" si="58"/>
        <v>0.12969209000625</v>
      </c>
      <c r="AA110" s="22">
        <f t="shared" si="59"/>
        <v>0.15734375</v>
      </c>
      <c r="AB110" s="76">
        <f t="shared" si="60"/>
        <v>0.0870666230908623</v>
      </c>
      <c r="AC110" s="77">
        <f t="shared" si="61"/>
        <v>0.0589714352396298</v>
      </c>
      <c r="AD110" s="77">
        <f t="shared" si="62"/>
        <v>0.166005875208</v>
      </c>
      <c r="AE110" s="77">
        <f t="shared" si="63"/>
        <v>0.688065166137532</v>
      </c>
      <c r="AF110" s="78"/>
      <c r="AG110" s="171">
        <f t="shared" si="47"/>
        <v>2.11502781111111</v>
      </c>
      <c r="AH110" s="84">
        <f t="shared" si="64"/>
        <v>0</v>
      </c>
      <c r="AI110" s="85">
        <f t="shared" si="65"/>
        <v>0</v>
      </c>
      <c r="AJ110" s="85">
        <f t="shared" si="66"/>
        <v>0</v>
      </c>
      <c r="AK110" s="76">
        <f t="shared" si="67"/>
        <v>0.170356809575865</v>
      </c>
      <c r="AL110" s="76">
        <f t="shared" si="68"/>
        <v>-0.353202504247367</v>
      </c>
    </row>
    <row r="111" ht="28" spans="1:38">
      <c r="A111" s="17">
        <v>107</v>
      </c>
      <c r="B111" s="18" t="s">
        <v>266</v>
      </c>
      <c r="C111" s="19" t="s">
        <v>267</v>
      </c>
      <c r="D111" s="20" t="s">
        <v>59</v>
      </c>
      <c r="E111" s="55">
        <v>0.026</v>
      </c>
      <c r="F111" s="55">
        <v>0.0273</v>
      </c>
      <c r="G111" s="21">
        <v>18.5841</v>
      </c>
      <c r="H111" s="56">
        <v>0.9</v>
      </c>
      <c r="I111" s="21">
        <f t="shared" si="53"/>
        <v>0.5637177</v>
      </c>
      <c r="J111" s="20" t="s">
        <v>120</v>
      </c>
      <c r="K111" s="21">
        <v>48</v>
      </c>
      <c r="L111" s="61">
        <v>75</v>
      </c>
      <c r="M111" s="20">
        <v>2</v>
      </c>
      <c r="N111" s="20">
        <v>39.75</v>
      </c>
      <c r="O111" s="20">
        <v>0.76</v>
      </c>
      <c r="P111" s="20">
        <v>22.5</v>
      </c>
      <c r="Q111" s="21">
        <f t="shared" si="54"/>
        <v>0.234375</v>
      </c>
      <c r="R111" s="21">
        <v>0</v>
      </c>
      <c r="S111" s="31">
        <v>0.106571111111111</v>
      </c>
      <c r="T111" s="31">
        <v>0.222222222222222</v>
      </c>
      <c r="U111" s="20">
        <v>0.3</v>
      </c>
      <c r="V111" s="21">
        <f t="shared" si="55"/>
        <v>1.807164955</v>
      </c>
      <c r="W111" s="20">
        <v>3.29</v>
      </c>
      <c r="X111" s="62">
        <f t="shared" si="56"/>
        <v>-1.482835045</v>
      </c>
      <c r="Y111" s="75">
        <f t="shared" si="57"/>
        <v>0.122967314968888</v>
      </c>
      <c r="Z111" s="76">
        <f t="shared" si="58"/>
        <v>0.12969209000625</v>
      </c>
      <c r="AA111" s="22">
        <f t="shared" si="59"/>
        <v>0.15734375</v>
      </c>
      <c r="AB111" s="76">
        <f t="shared" si="60"/>
        <v>0.0870666230908623</v>
      </c>
      <c r="AC111" s="77">
        <f t="shared" si="61"/>
        <v>0.0589714352396298</v>
      </c>
      <c r="AD111" s="77">
        <f t="shared" si="62"/>
        <v>0.166005875208</v>
      </c>
      <c r="AE111" s="77">
        <f t="shared" si="63"/>
        <v>0.688065166137532</v>
      </c>
      <c r="AF111" s="78"/>
      <c r="AG111" s="171">
        <f t="shared" si="47"/>
        <v>2.11502781111111</v>
      </c>
      <c r="AH111" s="84">
        <f t="shared" si="64"/>
        <v>0</v>
      </c>
      <c r="AI111" s="85">
        <f t="shared" si="65"/>
        <v>0</v>
      </c>
      <c r="AJ111" s="85">
        <f t="shared" si="66"/>
        <v>0</v>
      </c>
      <c r="AK111" s="76">
        <f t="shared" si="67"/>
        <v>0.170356809575865</v>
      </c>
      <c r="AL111" s="76">
        <f t="shared" si="68"/>
        <v>-0.357134403917596</v>
      </c>
    </row>
    <row r="112" ht="28" spans="1:38">
      <c r="A112" s="17">
        <v>108</v>
      </c>
      <c r="B112" s="18" t="s">
        <v>268</v>
      </c>
      <c r="C112" s="19" t="s">
        <v>269</v>
      </c>
      <c r="D112" s="20" t="s">
        <v>86</v>
      </c>
      <c r="E112" s="55">
        <v>0</v>
      </c>
      <c r="F112" s="55">
        <v>0.02573</v>
      </c>
      <c r="G112" s="21">
        <v>13.7168</v>
      </c>
      <c r="H112" s="56">
        <v>0.98</v>
      </c>
      <c r="I112" s="21">
        <f t="shared" si="53"/>
        <v>0.360135983673469</v>
      </c>
      <c r="J112" s="20" t="s">
        <v>270</v>
      </c>
      <c r="K112" s="21">
        <v>80</v>
      </c>
      <c r="L112" s="61">
        <v>45</v>
      </c>
      <c r="M112" s="20">
        <v>2</v>
      </c>
      <c r="N112" s="20">
        <v>47.5</v>
      </c>
      <c r="O112" s="20">
        <v>0.76</v>
      </c>
      <c r="P112" s="20">
        <v>22.5</v>
      </c>
      <c r="Q112" s="21">
        <f t="shared" si="54"/>
        <v>0.140625</v>
      </c>
      <c r="R112" s="21">
        <v>0</v>
      </c>
      <c r="S112" s="31">
        <v>0.022338</v>
      </c>
      <c r="T112" s="31">
        <v>0.05</v>
      </c>
      <c r="U112" s="20">
        <v>0</v>
      </c>
      <c r="V112" s="21">
        <f t="shared" si="55"/>
        <v>0.767303884568929</v>
      </c>
      <c r="W112" s="20">
        <v>1.34</v>
      </c>
      <c r="X112" s="62">
        <f t="shared" si="56"/>
        <v>-0.572696115431071</v>
      </c>
      <c r="Y112" s="75">
        <f t="shared" si="57"/>
        <v>0.0651632306385233</v>
      </c>
      <c r="Z112" s="76">
        <f t="shared" si="58"/>
        <v>0.183271586170847</v>
      </c>
      <c r="AA112" s="22">
        <f t="shared" si="59"/>
        <v>0.1128125</v>
      </c>
      <c r="AB112" s="76">
        <f t="shared" si="60"/>
        <v>0.147024539128168</v>
      </c>
      <c r="AC112" s="77">
        <f t="shared" si="61"/>
        <v>0.0291123249200667</v>
      </c>
      <c r="AD112" s="77">
        <f t="shared" si="62"/>
        <v>0</v>
      </c>
      <c r="AE112" s="77">
        <f t="shared" si="63"/>
        <v>0.530647516693086</v>
      </c>
      <c r="AF112" s="78">
        <v>30594</v>
      </c>
      <c r="AG112" s="171">
        <f t="shared" si="47"/>
        <v>0.948871548104956</v>
      </c>
      <c r="AH112" s="84">
        <f t="shared" si="64"/>
        <v>29029.776142723</v>
      </c>
      <c r="AI112" s="85">
        <f t="shared" si="65"/>
        <v>23474.8950445018</v>
      </c>
      <c r="AJ112" s="85">
        <f t="shared" si="66"/>
        <v>40995.96</v>
      </c>
      <c r="AK112" s="76">
        <f t="shared" si="67"/>
        <v>0.236630710709918</v>
      </c>
      <c r="AL112" s="76">
        <f t="shared" si="68"/>
        <v>-0.291886904399287</v>
      </c>
    </row>
    <row r="113" ht="28" spans="1:38">
      <c r="A113" s="17">
        <v>109</v>
      </c>
      <c r="B113" s="18" t="s">
        <v>271</v>
      </c>
      <c r="C113" s="19" t="s">
        <v>272</v>
      </c>
      <c r="D113" s="20" t="s">
        <v>86</v>
      </c>
      <c r="E113" s="55">
        <v>0.018</v>
      </c>
      <c r="F113" s="55">
        <v>0.0189</v>
      </c>
      <c r="G113" s="21">
        <v>13.7168</v>
      </c>
      <c r="H113" s="56">
        <v>0.98</v>
      </c>
      <c r="I113" s="21">
        <f t="shared" si="53"/>
        <v>0.264538285714286</v>
      </c>
      <c r="J113" s="20" t="s">
        <v>65</v>
      </c>
      <c r="K113" s="21">
        <v>48</v>
      </c>
      <c r="L113" s="61">
        <v>75</v>
      </c>
      <c r="M113" s="20">
        <v>2</v>
      </c>
      <c r="N113" s="20">
        <v>48.5</v>
      </c>
      <c r="O113" s="20">
        <v>0.76</v>
      </c>
      <c r="P113" s="20">
        <v>22.5</v>
      </c>
      <c r="Q113" s="21">
        <f t="shared" si="54"/>
        <v>0.234375</v>
      </c>
      <c r="R113" s="21">
        <v>0</v>
      </c>
      <c r="S113" s="31">
        <v>0.106571111111111</v>
      </c>
      <c r="T113" s="31">
        <v>0.222222222222222</v>
      </c>
      <c r="U113" s="20">
        <v>0</v>
      </c>
      <c r="V113" s="21">
        <f t="shared" si="55"/>
        <v>1.11133478449951</v>
      </c>
      <c r="W113" s="20">
        <v>1.18</v>
      </c>
      <c r="X113" s="62">
        <f t="shared" si="56"/>
        <v>-0.0686652155004859</v>
      </c>
      <c r="Y113" s="75">
        <f t="shared" si="57"/>
        <v>0.199959746893281</v>
      </c>
      <c r="Z113" s="76">
        <f t="shared" si="58"/>
        <v>0.210895045551508</v>
      </c>
      <c r="AA113" s="22">
        <f t="shared" si="59"/>
        <v>0.191979166666667</v>
      </c>
      <c r="AB113" s="76">
        <f t="shared" si="60"/>
        <v>0.172746475089524</v>
      </c>
      <c r="AC113" s="77">
        <f t="shared" si="61"/>
        <v>0.0958946958176109</v>
      </c>
      <c r="AD113" s="77">
        <f t="shared" si="62"/>
        <v>0</v>
      </c>
      <c r="AE113" s="77">
        <f t="shared" si="63"/>
        <v>0.76196346105245</v>
      </c>
      <c r="AF113" s="78">
        <v>28167</v>
      </c>
      <c r="AG113" s="171">
        <f t="shared" si="47"/>
        <v>1.31578255102041</v>
      </c>
      <c r="AH113" s="84">
        <f t="shared" si="64"/>
        <v>37061.6471145918</v>
      </c>
      <c r="AI113" s="85">
        <f t="shared" si="65"/>
        <v>31302.9668749978</v>
      </c>
      <c r="AJ113" s="85">
        <f t="shared" si="66"/>
        <v>33237.06</v>
      </c>
      <c r="AK113" s="76">
        <f t="shared" si="67"/>
        <v>0.183965956408866</v>
      </c>
      <c r="AL113" s="76">
        <f t="shared" si="68"/>
        <v>0.115069958491871</v>
      </c>
    </row>
    <row r="114" ht="28" spans="1:38">
      <c r="A114" s="17">
        <v>110</v>
      </c>
      <c r="B114" s="18" t="s">
        <v>273</v>
      </c>
      <c r="C114" s="19" t="s">
        <v>274</v>
      </c>
      <c r="D114" s="20" t="s">
        <v>59</v>
      </c>
      <c r="E114" s="55">
        <v>0.022</v>
      </c>
      <c r="F114" s="55">
        <v>0.0231</v>
      </c>
      <c r="G114" s="21">
        <v>18.5841</v>
      </c>
      <c r="H114" s="56">
        <v>0.9</v>
      </c>
      <c r="I114" s="21">
        <f t="shared" si="53"/>
        <v>0.4769919</v>
      </c>
      <c r="J114" s="20" t="s">
        <v>120</v>
      </c>
      <c r="K114" s="21">
        <v>48</v>
      </c>
      <c r="L114" s="61">
        <v>75</v>
      </c>
      <c r="M114" s="20">
        <v>2</v>
      </c>
      <c r="N114" s="20">
        <v>39.75</v>
      </c>
      <c r="O114" s="20">
        <v>0.76</v>
      </c>
      <c r="P114" s="20">
        <v>22.5</v>
      </c>
      <c r="Q114" s="21">
        <f t="shared" si="54"/>
        <v>0.234375</v>
      </c>
      <c r="R114" s="21">
        <v>0</v>
      </c>
      <c r="S114" s="31">
        <v>0.106571111111111</v>
      </c>
      <c r="T114" s="31">
        <v>0.222222222222222</v>
      </c>
      <c r="U114" s="20">
        <v>0.3</v>
      </c>
      <c r="V114" s="21">
        <f t="shared" si="55"/>
        <v>1.700203135</v>
      </c>
      <c r="W114" s="20">
        <v>3.29</v>
      </c>
      <c r="X114" s="62">
        <f t="shared" si="56"/>
        <v>-1.589796865</v>
      </c>
      <c r="Y114" s="75">
        <f t="shared" si="57"/>
        <v>0.130703336352936</v>
      </c>
      <c r="Z114" s="76">
        <f t="shared" si="58"/>
        <v>0.137851175059738</v>
      </c>
      <c r="AA114" s="22">
        <f t="shared" si="59"/>
        <v>0.15734375</v>
      </c>
      <c r="AB114" s="76">
        <f t="shared" si="60"/>
        <v>0.0925440888567707</v>
      </c>
      <c r="AC114" s="77">
        <f t="shared" si="61"/>
        <v>0.0626813990147777</v>
      </c>
      <c r="AD114" s="77">
        <f t="shared" si="62"/>
        <v>0.176449504076464</v>
      </c>
      <c r="AE114" s="77">
        <f t="shared" si="63"/>
        <v>0.719450052655032</v>
      </c>
      <c r="AF114" s="78">
        <v>1982</v>
      </c>
      <c r="AG114" s="171">
        <f t="shared" si="47"/>
        <v>1.98012101111111</v>
      </c>
      <c r="AH114" s="84">
        <f t="shared" si="64"/>
        <v>3924.59984402222</v>
      </c>
      <c r="AI114" s="85">
        <f t="shared" si="65"/>
        <v>3369.80261357</v>
      </c>
      <c r="AJ114" s="85">
        <f t="shared" si="66"/>
        <v>6520.78</v>
      </c>
      <c r="AK114" s="76">
        <f t="shared" si="67"/>
        <v>0.164637901406476</v>
      </c>
      <c r="AL114" s="76">
        <f t="shared" si="68"/>
        <v>-0.398139510300574</v>
      </c>
    </row>
    <row r="115" ht="28" spans="1:38">
      <c r="A115" s="17">
        <v>111</v>
      </c>
      <c r="B115" s="18" t="s">
        <v>275</v>
      </c>
      <c r="C115" s="19" t="s">
        <v>276</v>
      </c>
      <c r="D115" s="20" t="s">
        <v>59</v>
      </c>
      <c r="E115" s="55">
        <v>0</v>
      </c>
      <c r="F115" s="55">
        <v>0.045524</v>
      </c>
      <c r="G115" s="21">
        <v>18.5841</v>
      </c>
      <c r="H115" s="56">
        <v>0.9</v>
      </c>
      <c r="I115" s="21">
        <f t="shared" si="53"/>
        <v>0.940025076</v>
      </c>
      <c r="J115" s="20" t="s">
        <v>120</v>
      </c>
      <c r="K115" s="21">
        <v>60</v>
      </c>
      <c r="L115" s="61">
        <v>60</v>
      </c>
      <c r="M115" s="20">
        <v>2</v>
      </c>
      <c r="N115" s="20">
        <v>39.75</v>
      </c>
      <c r="O115" s="20">
        <v>0.76</v>
      </c>
      <c r="P115" s="20">
        <v>22.5</v>
      </c>
      <c r="Q115" s="21">
        <f t="shared" si="54"/>
        <v>0.1875</v>
      </c>
      <c r="R115" s="21">
        <v>0</v>
      </c>
      <c r="S115" s="31">
        <v>0.106571111111111</v>
      </c>
      <c r="T115" s="31">
        <v>0.222222222222222</v>
      </c>
      <c r="U115" s="20">
        <v>0.3</v>
      </c>
      <c r="V115" s="21">
        <f t="shared" si="55"/>
        <v>2.17465342706667</v>
      </c>
      <c r="W115" s="20">
        <v>3.27</v>
      </c>
      <c r="X115" s="62">
        <f t="shared" si="56"/>
        <v>-1.09534657293333</v>
      </c>
      <c r="Y115" s="75">
        <f t="shared" si="57"/>
        <v>0.102187419593554</v>
      </c>
      <c r="Z115" s="76">
        <f t="shared" si="58"/>
        <v>0.0862206352820614</v>
      </c>
      <c r="AA115" s="22">
        <f t="shared" si="59"/>
        <v>0.125875</v>
      </c>
      <c r="AB115" s="76">
        <f t="shared" si="60"/>
        <v>0.0578827864860239</v>
      </c>
      <c r="AC115" s="77">
        <f t="shared" si="61"/>
        <v>0.0490060208144808</v>
      </c>
      <c r="AD115" s="77">
        <f t="shared" si="62"/>
        <v>0.137953016451298</v>
      </c>
      <c r="AE115" s="77">
        <f t="shared" si="63"/>
        <v>0.567735684086464</v>
      </c>
      <c r="AF115" s="78">
        <v>18428</v>
      </c>
      <c r="AG115" s="171">
        <f t="shared" si="47"/>
        <v>2.57852678488889</v>
      </c>
      <c r="AH115" s="84">
        <f t="shared" si="64"/>
        <v>47517.0915919324</v>
      </c>
      <c r="AI115" s="85">
        <f t="shared" si="65"/>
        <v>40074.5133539845</v>
      </c>
      <c r="AJ115" s="85">
        <f t="shared" si="66"/>
        <v>60259.56</v>
      </c>
      <c r="AK115" s="76">
        <f t="shared" si="67"/>
        <v>0.185718493252967</v>
      </c>
      <c r="AL115" s="76">
        <f t="shared" si="68"/>
        <v>-0.211459698810738</v>
      </c>
    </row>
    <row r="116" ht="28" spans="1:38">
      <c r="A116" s="17">
        <v>112</v>
      </c>
      <c r="B116" s="18" t="s">
        <v>277</v>
      </c>
      <c r="C116" s="19" t="s">
        <v>278</v>
      </c>
      <c r="D116" s="20" t="s">
        <v>279</v>
      </c>
      <c r="E116" s="55">
        <v>0.044</v>
      </c>
      <c r="F116" s="55">
        <v>0.0462</v>
      </c>
      <c r="G116" s="21">
        <v>10.5</v>
      </c>
      <c r="H116" s="56">
        <v>0.98</v>
      </c>
      <c r="I116" s="21">
        <f t="shared" si="53"/>
        <v>0.495</v>
      </c>
      <c r="J116" s="20" t="s">
        <v>65</v>
      </c>
      <c r="K116" s="21">
        <v>51.4285714285715</v>
      </c>
      <c r="L116" s="61">
        <v>69.9999999999999</v>
      </c>
      <c r="M116" s="20">
        <v>2</v>
      </c>
      <c r="N116" s="20">
        <v>48.5</v>
      </c>
      <c r="O116" s="20">
        <v>0.76</v>
      </c>
      <c r="P116" s="20">
        <v>22.5</v>
      </c>
      <c r="Q116" s="21">
        <f t="shared" si="54"/>
        <v>0.21875</v>
      </c>
      <c r="R116" s="21">
        <v>0</v>
      </c>
      <c r="S116" s="31">
        <v>0.106571111111111</v>
      </c>
      <c r="T116" s="31">
        <v>0.222222222222222</v>
      </c>
      <c r="U116" s="20">
        <v>0.3</v>
      </c>
      <c r="V116" s="21">
        <f t="shared" si="55"/>
        <v>1.64017386054422</v>
      </c>
      <c r="W116" s="20">
        <v>1.85</v>
      </c>
      <c r="X116" s="62">
        <f t="shared" si="56"/>
        <v>-0.209826139455783</v>
      </c>
      <c r="Y116" s="75">
        <f t="shared" si="57"/>
        <v>0.13548699169519</v>
      </c>
      <c r="Z116" s="76">
        <f t="shared" si="58"/>
        <v>0.133370007449953</v>
      </c>
      <c r="AA116" s="22">
        <f t="shared" si="59"/>
        <v>0.179180555555555</v>
      </c>
      <c r="AB116" s="76">
        <f t="shared" si="60"/>
        <v>0.109244854991228</v>
      </c>
      <c r="AC116" s="77">
        <f t="shared" si="61"/>
        <v>0.0649754966072623</v>
      </c>
      <c r="AD116" s="77">
        <f t="shared" si="62"/>
        <v>0.182907438788507</v>
      </c>
      <c r="AE116" s="77">
        <f t="shared" si="63"/>
        <v>0.698202725998964</v>
      </c>
      <c r="AF116" s="78">
        <v>1626</v>
      </c>
      <c r="AG116" s="171">
        <f t="shared" si="47"/>
        <v>1.90440841269841</v>
      </c>
      <c r="AH116" s="84">
        <f t="shared" si="64"/>
        <v>3096.56807904762</v>
      </c>
      <c r="AI116" s="85">
        <f t="shared" si="65"/>
        <v>2666.9226972449</v>
      </c>
      <c r="AJ116" s="85">
        <f t="shared" si="66"/>
        <v>3008.1</v>
      </c>
      <c r="AK116" s="76">
        <f t="shared" si="67"/>
        <v>0.161101550579839</v>
      </c>
      <c r="AL116" s="76">
        <f t="shared" si="68"/>
        <v>0.029409952809952</v>
      </c>
    </row>
    <row r="117" ht="28" spans="1:38">
      <c r="A117" s="17">
        <v>113</v>
      </c>
      <c r="B117" s="18" t="s">
        <v>280</v>
      </c>
      <c r="C117" s="19" t="s">
        <v>281</v>
      </c>
      <c r="D117" s="20" t="s">
        <v>279</v>
      </c>
      <c r="E117" s="55">
        <v>0.026</v>
      </c>
      <c r="F117" s="55">
        <v>0.0273</v>
      </c>
      <c r="G117" s="21">
        <v>10.5</v>
      </c>
      <c r="H117" s="56">
        <v>0.98</v>
      </c>
      <c r="I117" s="21">
        <f t="shared" si="53"/>
        <v>0.2925</v>
      </c>
      <c r="J117" s="20" t="s">
        <v>65</v>
      </c>
      <c r="K117" s="21">
        <v>51.4285714285715</v>
      </c>
      <c r="L117" s="61">
        <v>69.9999999999999</v>
      </c>
      <c r="M117" s="20">
        <v>2</v>
      </c>
      <c r="N117" s="20">
        <v>48.5</v>
      </c>
      <c r="O117" s="20">
        <v>0.76</v>
      </c>
      <c r="P117" s="20">
        <v>22.5</v>
      </c>
      <c r="Q117" s="21">
        <f t="shared" si="54"/>
        <v>0.21875</v>
      </c>
      <c r="R117" s="21">
        <v>0</v>
      </c>
      <c r="S117" s="31">
        <v>0.084124</v>
      </c>
      <c r="T117" s="31">
        <v>0.2</v>
      </c>
      <c r="U117" s="20">
        <v>0</v>
      </c>
      <c r="V117" s="21">
        <f t="shared" si="55"/>
        <v>1.06614228231292</v>
      </c>
      <c r="W117" s="20">
        <v>1.34</v>
      </c>
      <c r="X117" s="62">
        <f t="shared" si="56"/>
        <v>-0.273857717687076</v>
      </c>
      <c r="Y117" s="75">
        <f t="shared" si="57"/>
        <v>0.187592222274604</v>
      </c>
      <c r="Z117" s="76">
        <f t="shared" si="58"/>
        <v>0.205178993112848</v>
      </c>
      <c r="AA117" s="22">
        <f t="shared" si="59"/>
        <v>0.179180555555555</v>
      </c>
      <c r="AB117" s="76">
        <f t="shared" si="60"/>
        <v>0.168064393025324</v>
      </c>
      <c r="AC117" s="77">
        <f t="shared" si="61"/>
        <v>0.078905040533144</v>
      </c>
      <c r="AD117" s="77">
        <f t="shared" si="62"/>
        <v>0</v>
      </c>
      <c r="AE117" s="77">
        <f t="shared" si="63"/>
        <v>0.725646374923391</v>
      </c>
      <c r="AF117" s="78">
        <v>1580</v>
      </c>
      <c r="AG117" s="171">
        <f t="shared" si="47"/>
        <v>1.27045336507936</v>
      </c>
      <c r="AH117" s="84">
        <f t="shared" si="64"/>
        <v>2007.3163168254</v>
      </c>
      <c r="AI117" s="85">
        <f t="shared" si="65"/>
        <v>1684.50480605442</v>
      </c>
      <c r="AJ117" s="85">
        <f t="shared" si="66"/>
        <v>2117.2</v>
      </c>
      <c r="AK117" s="76">
        <f t="shared" si="67"/>
        <v>0.191635850257435</v>
      </c>
      <c r="AL117" s="76">
        <f t="shared" si="68"/>
        <v>-0.0519004738213701</v>
      </c>
    </row>
    <row r="118" spans="1:38">
      <c r="A118" s="17">
        <v>114</v>
      </c>
      <c r="B118" s="18" t="s">
        <v>282</v>
      </c>
      <c r="C118" s="19" t="s">
        <v>283</v>
      </c>
      <c r="D118" s="20" t="s">
        <v>64</v>
      </c>
      <c r="E118" s="55">
        <v>0.002</v>
      </c>
      <c r="F118" s="55">
        <v>0.0021</v>
      </c>
      <c r="G118" s="21">
        <v>21.2389</v>
      </c>
      <c r="H118" s="56">
        <v>0.95</v>
      </c>
      <c r="I118" s="21">
        <f t="shared" si="53"/>
        <v>0.0469491473684211</v>
      </c>
      <c r="J118" s="20" t="s">
        <v>120</v>
      </c>
      <c r="K118" s="21">
        <v>65.4545454545455</v>
      </c>
      <c r="L118" s="61">
        <v>55</v>
      </c>
      <c r="M118" s="20">
        <v>2</v>
      </c>
      <c r="N118" s="20">
        <v>39.75</v>
      </c>
      <c r="O118" s="20">
        <v>0.76</v>
      </c>
      <c r="P118" s="20">
        <v>22.5</v>
      </c>
      <c r="Q118" s="21">
        <f t="shared" si="54"/>
        <v>0.171875</v>
      </c>
      <c r="R118" s="21">
        <v>0</v>
      </c>
      <c r="S118" s="31">
        <v>0.00477055555555556</v>
      </c>
      <c r="T118" s="31">
        <v>0.0111111111111111</v>
      </c>
      <c r="U118" s="20">
        <v>0</v>
      </c>
      <c r="V118" s="21">
        <f t="shared" si="55"/>
        <v>0.406379157276085</v>
      </c>
      <c r="W118" s="20">
        <v>0.28</v>
      </c>
      <c r="X118" s="62">
        <f t="shared" si="56"/>
        <v>0.126379157276085</v>
      </c>
      <c r="Y118" s="75">
        <f t="shared" si="57"/>
        <v>0.0273417347129407</v>
      </c>
      <c r="Z118" s="76">
        <f t="shared" si="58"/>
        <v>0.422942458840801</v>
      </c>
      <c r="AA118" s="22">
        <f t="shared" si="59"/>
        <v>0.115385416666667</v>
      </c>
      <c r="AB118" s="76">
        <f t="shared" si="60"/>
        <v>0.283935370701791</v>
      </c>
      <c r="AC118" s="77">
        <f t="shared" si="61"/>
        <v>0.0117391737990011</v>
      </c>
      <c r="AD118" s="77">
        <f t="shared" si="62"/>
        <v>0</v>
      </c>
      <c r="AE118" s="77">
        <f t="shared" si="63"/>
        <v>0.884469598088849</v>
      </c>
      <c r="AF118" s="78">
        <v>61647</v>
      </c>
      <c r="AG118" s="171">
        <f t="shared" si="47"/>
        <v>0.508401024192059</v>
      </c>
      <c r="AH118" s="84">
        <f t="shared" si="64"/>
        <v>31341.3979383679</v>
      </c>
      <c r="AI118" s="85">
        <f t="shared" si="65"/>
        <v>25052.0559085988</v>
      </c>
      <c r="AJ118" s="85">
        <f t="shared" si="66"/>
        <v>17261.16</v>
      </c>
      <c r="AK118" s="76">
        <f t="shared" si="67"/>
        <v>0.251050933812195</v>
      </c>
      <c r="AL118" s="76">
        <f t="shared" si="68"/>
        <v>0.815717943543067</v>
      </c>
    </row>
    <row r="119" spans="1:38">
      <c r="A119" s="17">
        <v>115</v>
      </c>
      <c r="B119" s="86" t="s">
        <v>284</v>
      </c>
      <c r="C119" s="87" t="s">
        <v>174</v>
      </c>
      <c r="D119" s="90" t="s">
        <v>43</v>
      </c>
      <c r="E119" s="55">
        <v>0.002</v>
      </c>
      <c r="F119" s="55">
        <v>0.0026</v>
      </c>
      <c r="G119" s="21">
        <v>15.3097</v>
      </c>
      <c r="H119" s="56">
        <v>0.95</v>
      </c>
      <c r="I119" s="21">
        <f t="shared" si="53"/>
        <v>0.0419002315789474</v>
      </c>
      <c r="J119" s="20" t="s">
        <v>44</v>
      </c>
      <c r="K119" s="21">
        <v>65.4545454545455</v>
      </c>
      <c r="L119" s="61">
        <v>55</v>
      </c>
      <c r="M119" s="90">
        <v>6</v>
      </c>
      <c r="N119" s="20">
        <v>27.15</v>
      </c>
      <c r="O119" s="20">
        <v>0.76</v>
      </c>
      <c r="P119" s="20">
        <v>22.5</v>
      </c>
      <c r="Q119" s="21">
        <f t="shared" si="54"/>
        <v>0.0572916666666666</v>
      </c>
      <c r="R119" s="21">
        <v>0</v>
      </c>
      <c r="S119" s="31">
        <v>0.084124</v>
      </c>
      <c r="T119" s="31">
        <v>0.2</v>
      </c>
      <c r="U119" s="20">
        <v>0</v>
      </c>
      <c r="V119" s="21">
        <f t="shared" si="55"/>
        <v>0.430716485493998</v>
      </c>
      <c r="W119" s="20">
        <v>0.2</v>
      </c>
      <c r="X119" s="62">
        <f t="shared" si="56"/>
        <v>0.230716485493998</v>
      </c>
      <c r="Y119" s="75">
        <f t="shared" si="57"/>
        <v>0.464342570428006</v>
      </c>
      <c r="Z119" s="76">
        <f t="shared" si="58"/>
        <v>0.133014798820522</v>
      </c>
      <c r="AA119" s="22">
        <f t="shared" si="59"/>
        <v>0.0262701388888889</v>
      </c>
      <c r="AB119" s="76">
        <f t="shared" si="60"/>
        <v>0.0609917190858369</v>
      </c>
      <c r="AC119" s="77">
        <f t="shared" si="61"/>
        <v>0.195311771973428</v>
      </c>
      <c r="AD119" s="77">
        <f t="shared" si="62"/>
        <v>0</v>
      </c>
      <c r="AE119" s="77">
        <f t="shared" si="63"/>
        <v>0.902719693835514</v>
      </c>
      <c r="AF119" s="78">
        <v>58200</v>
      </c>
      <c r="AG119" s="171">
        <f t="shared" si="47"/>
        <v>0.469015423145583</v>
      </c>
      <c r="AH119" s="84">
        <f t="shared" si="64"/>
        <v>27296.6976270729</v>
      </c>
      <c r="AI119" s="85">
        <f t="shared" si="65"/>
        <v>25067.6994557507</v>
      </c>
      <c r="AJ119" s="85">
        <f t="shared" si="66"/>
        <v>11640</v>
      </c>
      <c r="AK119" s="76">
        <f t="shared" si="67"/>
        <v>0.0889191357689946</v>
      </c>
      <c r="AL119" s="76">
        <f t="shared" si="68"/>
        <v>1.34507711572792</v>
      </c>
    </row>
    <row r="120" ht="28" spans="1:38">
      <c r="A120" s="17">
        <v>116</v>
      </c>
      <c r="B120" s="86" t="s">
        <v>285</v>
      </c>
      <c r="C120" s="87" t="s">
        <v>286</v>
      </c>
      <c r="D120" s="90" t="s">
        <v>43</v>
      </c>
      <c r="E120" s="55">
        <v>0.0007</v>
      </c>
      <c r="F120" s="55">
        <v>0.00091</v>
      </c>
      <c r="G120" s="21">
        <v>15.3097</v>
      </c>
      <c r="H120" s="56">
        <v>0.95</v>
      </c>
      <c r="I120" s="21">
        <f t="shared" si="53"/>
        <v>0.0146650810526316</v>
      </c>
      <c r="J120" s="20" t="s">
        <v>44</v>
      </c>
      <c r="K120" s="21">
        <v>65.4545454545455</v>
      </c>
      <c r="L120" s="61">
        <v>55</v>
      </c>
      <c r="M120" s="90">
        <v>6</v>
      </c>
      <c r="N120" s="20">
        <v>27.15</v>
      </c>
      <c r="O120" s="20">
        <v>0.76</v>
      </c>
      <c r="P120" s="20">
        <v>22.5</v>
      </c>
      <c r="Q120" s="21">
        <f t="shared" si="54"/>
        <v>0.0572916666666666</v>
      </c>
      <c r="R120" s="21">
        <v>0</v>
      </c>
      <c r="S120" s="31">
        <v>0.00477055555555556</v>
      </c>
      <c r="T120" s="31">
        <v>0.0111111111111111</v>
      </c>
      <c r="U120" s="20">
        <v>0</v>
      </c>
      <c r="V120" s="21">
        <f t="shared" si="55"/>
        <v>0.130652028914127</v>
      </c>
      <c r="W120" s="20">
        <v>0.17</v>
      </c>
      <c r="X120" s="62">
        <f t="shared" si="56"/>
        <v>-0.0393479710858726</v>
      </c>
      <c r="Y120" s="75">
        <f t="shared" si="57"/>
        <v>0.0850435404903969</v>
      </c>
      <c r="Z120" s="76">
        <f t="shared" si="58"/>
        <v>0.438505755653609</v>
      </c>
      <c r="AA120" s="22">
        <f t="shared" si="59"/>
        <v>0.0262701388888889</v>
      </c>
      <c r="AB120" s="76">
        <f t="shared" si="60"/>
        <v>0.201069505825702</v>
      </c>
      <c r="AC120" s="77">
        <f t="shared" si="61"/>
        <v>0.036513444109552</v>
      </c>
      <c r="AD120" s="77">
        <f t="shared" si="62"/>
        <v>0</v>
      </c>
      <c r="AE120" s="77">
        <f t="shared" si="63"/>
        <v>0.887754662713501</v>
      </c>
      <c r="AF120" s="78">
        <v>61250</v>
      </c>
      <c r="AG120" s="171">
        <f t="shared" si="47"/>
        <v>0.160637078510311</v>
      </c>
      <c r="AH120" s="84">
        <f t="shared" si="64"/>
        <v>9839.02105875654</v>
      </c>
      <c r="AI120" s="85">
        <f t="shared" si="65"/>
        <v>8002.4367709903</v>
      </c>
      <c r="AJ120" s="85">
        <f t="shared" si="66"/>
        <v>10412.5</v>
      </c>
      <c r="AK120" s="76">
        <f t="shared" si="67"/>
        <v>0.229503130149563</v>
      </c>
      <c r="AL120" s="76">
        <f t="shared" si="68"/>
        <v>-0.0550760087628777</v>
      </c>
    </row>
    <row r="121" spans="1:38">
      <c r="A121" s="17">
        <v>117</v>
      </c>
      <c r="B121" s="86" t="s">
        <v>287</v>
      </c>
      <c r="C121" s="87" t="s">
        <v>176</v>
      </c>
      <c r="D121" s="90" t="s">
        <v>43</v>
      </c>
      <c r="E121" s="55">
        <v>0.002</v>
      </c>
      <c r="F121" s="55">
        <v>0.0026</v>
      </c>
      <c r="G121" s="21">
        <v>15.3097</v>
      </c>
      <c r="H121" s="56">
        <v>0.95</v>
      </c>
      <c r="I121" s="21">
        <f t="shared" si="53"/>
        <v>0.0419002315789474</v>
      </c>
      <c r="J121" s="20" t="s">
        <v>44</v>
      </c>
      <c r="K121" s="21">
        <v>65.4545454545455</v>
      </c>
      <c r="L121" s="61">
        <v>55</v>
      </c>
      <c r="M121" s="90">
        <v>6</v>
      </c>
      <c r="N121" s="20">
        <v>27.15</v>
      </c>
      <c r="O121" s="20">
        <v>0.76</v>
      </c>
      <c r="P121" s="20">
        <v>22.5</v>
      </c>
      <c r="Q121" s="21">
        <f t="shared" si="54"/>
        <v>0.0572916666666666</v>
      </c>
      <c r="R121" s="21">
        <v>0</v>
      </c>
      <c r="S121" s="31">
        <v>0.00477055555555556</v>
      </c>
      <c r="T121" s="31">
        <v>0.0111111111111111</v>
      </c>
      <c r="U121" s="20">
        <v>0</v>
      </c>
      <c r="V121" s="21">
        <f t="shared" si="55"/>
        <v>0.162474152160665</v>
      </c>
      <c r="W121" s="20">
        <v>0.2</v>
      </c>
      <c r="X121" s="62">
        <f t="shared" si="56"/>
        <v>-0.0375258478393352</v>
      </c>
      <c r="Y121" s="75">
        <f t="shared" si="57"/>
        <v>0.0683869462517565</v>
      </c>
      <c r="Z121" s="76">
        <f t="shared" si="58"/>
        <v>0.35262019161062</v>
      </c>
      <c r="AA121" s="22">
        <f t="shared" si="59"/>
        <v>0.0262701388888889</v>
      </c>
      <c r="AB121" s="76">
        <f t="shared" si="60"/>
        <v>0.161688111859856</v>
      </c>
      <c r="AC121" s="77">
        <f t="shared" si="61"/>
        <v>0.0293619353731917</v>
      </c>
      <c r="AD121" s="77">
        <f t="shared" si="62"/>
        <v>0</v>
      </c>
      <c r="AE121" s="77">
        <f t="shared" si="63"/>
        <v>0.742111400356693</v>
      </c>
      <c r="AF121" s="78">
        <v>61280</v>
      </c>
      <c r="AG121" s="171">
        <f t="shared" si="47"/>
        <v>0.20077308981225</v>
      </c>
      <c r="AH121" s="84">
        <f t="shared" si="64"/>
        <v>12303.3749436947</v>
      </c>
      <c r="AI121" s="85">
        <f t="shared" si="65"/>
        <v>9956.41604440554</v>
      </c>
      <c r="AJ121" s="85">
        <f t="shared" si="66"/>
        <v>12256</v>
      </c>
      <c r="AK121" s="76">
        <f t="shared" si="67"/>
        <v>0.235723265161049</v>
      </c>
      <c r="AL121" s="76">
        <f t="shared" si="68"/>
        <v>0.00386544906124942</v>
      </c>
    </row>
    <row r="122" ht="42" spans="1:38">
      <c r="A122" s="17">
        <v>118</v>
      </c>
      <c r="B122" s="18" t="s">
        <v>288</v>
      </c>
      <c r="C122" s="19" t="s">
        <v>289</v>
      </c>
      <c r="D122" s="20" t="s">
        <v>43</v>
      </c>
      <c r="E122" s="55">
        <v>0.004</v>
      </c>
      <c r="F122" s="55">
        <v>0.0042</v>
      </c>
      <c r="G122" s="21">
        <v>15.3097</v>
      </c>
      <c r="H122" s="56">
        <v>0.95</v>
      </c>
      <c r="I122" s="21">
        <f t="shared" si="53"/>
        <v>0.0676849894736842</v>
      </c>
      <c r="J122" s="20" t="s">
        <v>47</v>
      </c>
      <c r="K122" s="21">
        <v>65.4545454545455</v>
      </c>
      <c r="L122" s="61">
        <v>55</v>
      </c>
      <c r="M122" s="20">
        <v>2</v>
      </c>
      <c r="N122" s="20">
        <v>21.2</v>
      </c>
      <c r="O122" s="20">
        <v>0.76</v>
      </c>
      <c r="P122" s="20">
        <v>22.5</v>
      </c>
      <c r="Q122" s="21">
        <f t="shared" si="54"/>
        <v>0.171875</v>
      </c>
      <c r="R122" s="21">
        <v>0</v>
      </c>
      <c r="S122" s="31">
        <v>0.0293483333333333</v>
      </c>
      <c r="T122" s="31">
        <v>0.0666666666666667</v>
      </c>
      <c r="U122" s="20">
        <v>0</v>
      </c>
      <c r="V122" s="21">
        <f t="shared" si="55"/>
        <v>0.447825268402585</v>
      </c>
      <c r="W122" s="20">
        <v>0.34</v>
      </c>
      <c r="X122" s="62">
        <f t="shared" si="56"/>
        <v>0.107825268402585</v>
      </c>
      <c r="Y122" s="75">
        <f t="shared" si="57"/>
        <v>0.14886758602182</v>
      </c>
      <c r="Z122" s="76">
        <f t="shared" si="58"/>
        <v>0.383799245212505</v>
      </c>
      <c r="AA122" s="22">
        <f t="shared" si="59"/>
        <v>0.0615388888888888</v>
      </c>
      <c r="AB122" s="76">
        <f t="shared" si="60"/>
        <v>0.137417187530309</v>
      </c>
      <c r="AC122" s="77">
        <f t="shared" si="61"/>
        <v>0.0655352330564558</v>
      </c>
      <c r="AD122" s="77">
        <f t="shared" si="62"/>
        <v>0</v>
      </c>
      <c r="AE122" s="77">
        <f t="shared" si="63"/>
        <v>0.848858485107105</v>
      </c>
      <c r="AF122" s="78">
        <v>0</v>
      </c>
      <c r="AG122" s="171">
        <f t="shared" si="47"/>
        <v>0.539739662850107</v>
      </c>
      <c r="AH122" s="84">
        <f t="shared" si="64"/>
        <v>0</v>
      </c>
      <c r="AI122" s="85">
        <f t="shared" si="65"/>
        <v>0</v>
      </c>
      <c r="AJ122" s="85">
        <f t="shared" si="66"/>
        <v>0</v>
      </c>
      <c r="AK122" s="76">
        <f t="shared" si="67"/>
        <v>0.205246110330901</v>
      </c>
      <c r="AL122" s="76">
        <f t="shared" si="68"/>
        <v>0.587469596617963</v>
      </c>
    </row>
    <row r="123" spans="1:38">
      <c r="A123" s="17">
        <v>119</v>
      </c>
      <c r="B123" s="18" t="s">
        <v>290</v>
      </c>
      <c r="C123" s="19" t="s">
        <v>291</v>
      </c>
      <c r="D123" s="20" t="s">
        <v>86</v>
      </c>
      <c r="E123" s="55">
        <v>0.052</v>
      </c>
      <c r="F123" s="55">
        <v>0.0546</v>
      </c>
      <c r="G123" s="21">
        <v>13.7168</v>
      </c>
      <c r="H123" s="56">
        <v>0.95</v>
      </c>
      <c r="I123" s="21">
        <f t="shared" si="53"/>
        <v>0.788355031578947</v>
      </c>
      <c r="J123" s="20" t="s">
        <v>65</v>
      </c>
      <c r="K123" s="21">
        <v>48</v>
      </c>
      <c r="L123" s="61">
        <v>75</v>
      </c>
      <c r="M123" s="20">
        <v>2</v>
      </c>
      <c r="N123" s="20">
        <v>48.5</v>
      </c>
      <c r="O123" s="20">
        <v>0.76</v>
      </c>
      <c r="P123" s="20">
        <v>22.5</v>
      </c>
      <c r="Q123" s="21">
        <f t="shared" si="54"/>
        <v>0.234375</v>
      </c>
      <c r="R123" s="21">
        <v>0</v>
      </c>
      <c r="S123" s="31">
        <v>0.106571111111111</v>
      </c>
      <c r="T123" s="31">
        <v>0.222222222222222</v>
      </c>
      <c r="U123" s="20">
        <v>0</v>
      </c>
      <c r="V123" s="21">
        <f t="shared" si="55"/>
        <v>1.74808513338873</v>
      </c>
      <c r="W123" s="20">
        <v>2.56</v>
      </c>
      <c r="X123" s="62">
        <f t="shared" si="56"/>
        <v>-0.811914866611266</v>
      </c>
      <c r="Y123" s="75">
        <f t="shared" si="57"/>
        <v>0.127123226425154</v>
      </c>
      <c r="Z123" s="76">
        <f t="shared" si="58"/>
        <v>0.13407527787028</v>
      </c>
      <c r="AA123" s="22">
        <f t="shared" si="59"/>
        <v>0.191979166666667</v>
      </c>
      <c r="AB123" s="76">
        <f t="shared" si="60"/>
        <v>0.109822549828856</v>
      </c>
      <c r="AC123" s="77">
        <f t="shared" si="61"/>
        <v>0.0609644856967112</v>
      </c>
      <c r="AD123" s="77">
        <f t="shared" si="62"/>
        <v>0</v>
      </c>
      <c r="AE123" s="77">
        <f t="shared" si="63"/>
        <v>0.549017941677309</v>
      </c>
      <c r="AF123" s="78"/>
      <c r="AG123" s="171">
        <f t="shared" si="47"/>
        <v>2.11889109916897</v>
      </c>
      <c r="AH123" s="84">
        <f t="shared" si="64"/>
        <v>0</v>
      </c>
      <c r="AI123" s="85">
        <f t="shared" si="65"/>
        <v>0</v>
      </c>
      <c r="AJ123" s="85">
        <f t="shared" si="66"/>
        <v>0</v>
      </c>
      <c r="AK123" s="76">
        <f t="shared" si="67"/>
        <v>0.212121228364557</v>
      </c>
      <c r="AL123" s="76">
        <f t="shared" si="68"/>
        <v>-0.17230816438712</v>
      </c>
    </row>
    <row r="124" ht="28" spans="1:38">
      <c r="A124" s="17">
        <v>120</v>
      </c>
      <c r="B124" s="18" t="s">
        <v>292</v>
      </c>
      <c r="C124" s="19" t="s">
        <v>293</v>
      </c>
      <c r="D124" s="20" t="s">
        <v>86</v>
      </c>
      <c r="E124" s="55">
        <v>0.038</v>
      </c>
      <c r="F124" s="55">
        <v>0.0399</v>
      </c>
      <c r="G124" s="21">
        <v>13.7168</v>
      </c>
      <c r="H124" s="56">
        <v>0.95</v>
      </c>
      <c r="I124" s="21">
        <f t="shared" si="53"/>
        <v>0.5761056</v>
      </c>
      <c r="J124" s="20" t="s">
        <v>65</v>
      </c>
      <c r="K124" s="21">
        <v>51.4285714285715</v>
      </c>
      <c r="L124" s="61">
        <v>69.9999999999999</v>
      </c>
      <c r="M124" s="20">
        <v>2</v>
      </c>
      <c r="N124" s="20">
        <v>48.5</v>
      </c>
      <c r="O124" s="20">
        <v>0.76</v>
      </c>
      <c r="P124" s="20">
        <v>22.5</v>
      </c>
      <c r="Q124" s="21">
        <f t="shared" si="54"/>
        <v>0.21875</v>
      </c>
      <c r="R124" s="21">
        <v>0</v>
      </c>
      <c r="S124" s="31">
        <v>0.084124</v>
      </c>
      <c r="T124" s="31">
        <v>0.2</v>
      </c>
      <c r="U124" s="20">
        <v>0</v>
      </c>
      <c r="V124" s="21">
        <f t="shared" si="55"/>
        <v>1.42220835017544</v>
      </c>
      <c r="W124" s="20">
        <v>2.25</v>
      </c>
      <c r="X124" s="62">
        <f t="shared" si="56"/>
        <v>-0.827791649824562</v>
      </c>
      <c r="Y124" s="75">
        <f t="shared" si="57"/>
        <v>0.140626371639098</v>
      </c>
      <c r="Z124" s="76">
        <f t="shared" si="58"/>
        <v>0.153810093980264</v>
      </c>
      <c r="AA124" s="22">
        <f t="shared" si="59"/>
        <v>0.179180555555555</v>
      </c>
      <c r="AB124" s="76">
        <f t="shared" si="60"/>
        <v>0.125987556980278</v>
      </c>
      <c r="AC124" s="77">
        <f t="shared" si="61"/>
        <v>0.0591502644388375</v>
      </c>
      <c r="AD124" s="77">
        <f t="shared" si="62"/>
        <v>0</v>
      </c>
      <c r="AE124" s="77">
        <f t="shared" si="63"/>
        <v>0.594921798955171</v>
      </c>
      <c r="AF124" s="78"/>
      <c r="AG124" s="171">
        <f t="shared" si="47"/>
        <v>1.71954570292398</v>
      </c>
      <c r="AH124" s="84">
        <f t="shared" si="64"/>
        <v>0</v>
      </c>
      <c r="AI124" s="85">
        <f t="shared" si="65"/>
        <v>0</v>
      </c>
      <c r="AJ124" s="85">
        <f t="shared" si="66"/>
        <v>0</v>
      </c>
      <c r="AK124" s="76">
        <f t="shared" si="67"/>
        <v>0.209067365349008</v>
      </c>
      <c r="AL124" s="76">
        <f t="shared" si="68"/>
        <v>-0.235757465367122</v>
      </c>
    </row>
    <row r="125" ht="42" spans="1:38">
      <c r="A125" s="17">
        <v>121</v>
      </c>
      <c r="B125" s="18" t="s">
        <v>294</v>
      </c>
      <c r="C125" s="19" t="s">
        <v>295</v>
      </c>
      <c r="D125" s="20" t="s">
        <v>86</v>
      </c>
      <c r="E125" s="55">
        <v>0.006</v>
      </c>
      <c r="F125" s="55">
        <v>0.0063</v>
      </c>
      <c r="G125" s="21">
        <v>13.7168</v>
      </c>
      <c r="H125" s="56">
        <v>0.8</v>
      </c>
      <c r="I125" s="21">
        <f t="shared" si="53"/>
        <v>0.1080198</v>
      </c>
      <c r="J125" s="20" t="s">
        <v>120</v>
      </c>
      <c r="K125" s="21">
        <v>48</v>
      </c>
      <c r="L125" s="61">
        <v>75</v>
      </c>
      <c r="M125" s="20">
        <v>2</v>
      </c>
      <c r="N125" s="20">
        <v>39.75</v>
      </c>
      <c r="O125" s="20">
        <v>0.76</v>
      </c>
      <c r="P125" s="20">
        <v>22.5</v>
      </c>
      <c r="Q125" s="21">
        <f t="shared" si="54"/>
        <v>0.234375</v>
      </c>
      <c r="R125" s="21">
        <v>0</v>
      </c>
      <c r="S125" s="31">
        <v>0.00477055555555556</v>
      </c>
      <c r="T125" s="31">
        <v>0.0111111111111111</v>
      </c>
      <c r="U125" s="20">
        <v>0</v>
      </c>
      <c r="V125" s="21">
        <f t="shared" si="55"/>
        <v>0.709268904791667</v>
      </c>
      <c r="W125" s="20">
        <v>0.59</v>
      </c>
      <c r="X125" s="62">
        <f t="shared" si="56"/>
        <v>0.119268904791667</v>
      </c>
      <c r="Y125" s="75">
        <f t="shared" si="57"/>
        <v>0.0156655833014063</v>
      </c>
      <c r="Z125" s="76">
        <f t="shared" si="58"/>
        <v>0.33044589776404</v>
      </c>
      <c r="AA125" s="22">
        <f t="shared" si="59"/>
        <v>0.15734375</v>
      </c>
      <c r="AB125" s="76">
        <f t="shared" si="60"/>
        <v>0.221839346032259</v>
      </c>
      <c r="AC125" s="77">
        <f t="shared" si="61"/>
        <v>0.00672601819045883</v>
      </c>
      <c r="AD125" s="77">
        <f t="shared" si="62"/>
        <v>0</v>
      </c>
      <c r="AE125" s="77">
        <f t="shared" si="63"/>
        <v>0.847702614240887</v>
      </c>
      <c r="AF125" s="78">
        <v>135954</v>
      </c>
      <c r="AG125" s="171">
        <f t="shared" si="47"/>
        <v>0.890424129166667</v>
      </c>
      <c r="AH125" s="84">
        <f t="shared" si="64"/>
        <v>121056.722056725</v>
      </c>
      <c r="AI125" s="85">
        <f t="shared" si="65"/>
        <v>96427.9446820463</v>
      </c>
      <c r="AJ125" s="85">
        <f t="shared" si="66"/>
        <v>80212.86</v>
      </c>
      <c r="AK125" s="76">
        <f t="shared" si="67"/>
        <v>0.255411203213837</v>
      </c>
      <c r="AL125" s="76">
        <f t="shared" si="68"/>
        <v>0.509193439265537</v>
      </c>
    </row>
    <row r="126" ht="56" spans="1:38">
      <c r="A126" s="17">
        <v>122</v>
      </c>
      <c r="B126" s="18" t="s">
        <v>296</v>
      </c>
      <c r="C126" s="19" t="s">
        <v>297</v>
      </c>
      <c r="D126" s="20" t="s">
        <v>86</v>
      </c>
      <c r="E126" s="55">
        <v>0.002</v>
      </c>
      <c r="F126" s="55">
        <v>0.0021</v>
      </c>
      <c r="G126" s="21">
        <v>13.7168</v>
      </c>
      <c r="H126" s="56">
        <v>0.8</v>
      </c>
      <c r="I126" s="21">
        <f t="shared" si="53"/>
        <v>0.0360066</v>
      </c>
      <c r="J126" s="20" t="s">
        <v>120</v>
      </c>
      <c r="K126" s="21">
        <v>48</v>
      </c>
      <c r="L126" s="61">
        <v>75</v>
      </c>
      <c r="M126" s="20">
        <v>2</v>
      </c>
      <c r="N126" s="20">
        <v>39.75</v>
      </c>
      <c r="O126" s="20">
        <v>0.76</v>
      </c>
      <c r="P126" s="20">
        <v>22.5</v>
      </c>
      <c r="Q126" s="21">
        <f t="shared" si="54"/>
        <v>0.234375</v>
      </c>
      <c r="R126" s="21">
        <v>0</v>
      </c>
      <c r="S126" s="31">
        <v>0.106571111111111</v>
      </c>
      <c r="T126" s="31">
        <v>0.222222222222222</v>
      </c>
      <c r="U126" s="20">
        <v>0</v>
      </c>
      <c r="V126" s="21">
        <f t="shared" si="55"/>
        <v>0.922262256458333</v>
      </c>
      <c r="W126" s="20">
        <v>1.27</v>
      </c>
      <c r="X126" s="62">
        <f t="shared" si="56"/>
        <v>-0.347737743541667</v>
      </c>
      <c r="Y126" s="75">
        <f t="shared" si="57"/>
        <v>0.240953395486007</v>
      </c>
      <c r="Z126" s="76">
        <f t="shared" si="58"/>
        <v>0.254130534301648</v>
      </c>
      <c r="AA126" s="22">
        <f t="shared" si="59"/>
        <v>0.15734375</v>
      </c>
      <c r="AB126" s="76">
        <f t="shared" si="60"/>
        <v>0.170606298694507</v>
      </c>
      <c r="AC126" s="77">
        <f t="shared" si="61"/>
        <v>0.115554019873224</v>
      </c>
      <c r="AD126" s="77">
        <f t="shared" si="62"/>
        <v>0</v>
      </c>
      <c r="AE126" s="77">
        <f t="shared" si="63"/>
        <v>0.960958393615421</v>
      </c>
      <c r="AF126" s="78">
        <v>68706</v>
      </c>
      <c r="AG126" s="171">
        <f t="shared" si="47"/>
        <v>1.07731269583333</v>
      </c>
      <c r="AH126" s="84">
        <f t="shared" si="64"/>
        <v>74017.846079925</v>
      </c>
      <c r="AI126" s="85">
        <f t="shared" si="65"/>
        <v>63364.9505922262</v>
      </c>
      <c r="AJ126" s="85">
        <f t="shared" si="66"/>
        <v>87256.62</v>
      </c>
      <c r="AK126" s="76">
        <f t="shared" si="67"/>
        <v>0.168119684275516</v>
      </c>
      <c r="AL126" s="76">
        <f t="shared" si="68"/>
        <v>-0.151722286745407</v>
      </c>
    </row>
    <row r="127" ht="42" spans="1:38">
      <c r="A127" s="17">
        <v>123</v>
      </c>
      <c r="B127" s="18" t="s">
        <v>298</v>
      </c>
      <c r="C127" s="19" t="s">
        <v>299</v>
      </c>
      <c r="D127" s="20" t="s">
        <v>86</v>
      </c>
      <c r="E127" s="55">
        <v>0.085</v>
      </c>
      <c r="F127" s="55">
        <v>0.08925</v>
      </c>
      <c r="G127" s="21">
        <v>13.7168</v>
      </c>
      <c r="H127" s="56">
        <v>0.95</v>
      </c>
      <c r="I127" s="21">
        <f t="shared" si="53"/>
        <v>1.28865726315789</v>
      </c>
      <c r="J127" s="20" t="s">
        <v>120</v>
      </c>
      <c r="K127" s="21">
        <v>48</v>
      </c>
      <c r="L127" s="61">
        <v>75</v>
      </c>
      <c r="M127" s="20">
        <v>2</v>
      </c>
      <c r="N127" s="20">
        <v>39.75</v>
      </c>
      <c r="O127" s="20">
        <v>0.76</v>
      </c>
      <c r="P127" s="20">
        <v>22.5</v>
      </c>
      <c r="Q127" s="21">
        <f t="shared" si="54"/>
        <v>0.234375</v>
      </c>
      <c r="R127" s="21">
        <v>0</v>
      </c>
      <c r="S127" s="31">
        <v>0.106571111111111</v>
      </c>
      <c r="T127" s="31">
        <v>0.222222222222222</v>
      </c>
      <c r="U127" s="20">
        <v>0</v>
      </c>
      <c r="V127" s="21">
        <f t="shared" si="55"/>
        <v>2.29218004344413</v>
      </c>
      <c r="W127" s="20">
        <v>2.98</v>
      </c>
      <c r="X127" s="62">
        <f t="shared" si="56"/>
        <v>-0.687819956555868</v>
      </c>
      <c r="Y127" s="75">
        <f t="shared" si="57"/>
        <v>0.0969479787845637</v>
      </c>
      <c r="Z127" s="76">
        <f t="shared" si="58"/>
        <v>0.102249821374345</v>
      </c>
      <c r="AA127" s="22">
        <f t="shared" si="59"/>
        <v>0.15734375</v>
      </c>
      <c r="AB127" s="76">
        <f t="shared" si="60"/>
        <v>0.0686437134159767</v>
      </c>
      <c r="AC127" s="77">
        <f t="shared" si="61"/>
        <v>0.0464933421857132</v>
      </c>
      <c r="AD127" s="77">
        <f t="shared" si="62"/>
        <v>0</v>
      </c>
      <c r="AE127" s="77">
        <f t="shared" si="63"/>
        <v>0.437802773458577</v>
      </c>
      <c r="AF127" s="78">
        <v>912</v>
      </c>
      <c r="AG127" s="171">
        <f t="shared" si="47"/>
        <v>2.80513693167128</v>
      </c>
      <c r="AH127" s="84">
        <f t="shared" si="64"/>
        <v>2558.2848816842</v>
      </c>
      <c r="AI127" s="85">
        <f t="shared" si="65"/>
        <v>2090.46819962105</v>
      </c>
      <c r="AJ127" s="85">
        <f t="shared" si="66"/>
        <v>2717.76</v>
      </c>
      <c r="AK127" s="76">
        <f t="shared" si="67"/>
        <v>0.223785600827585</v>
      </c>
      <c r="AL127" s="76">
        <f t="shared" si="68"/>
        <v>-0.0586788819895045</v>
      </c>
    </row>
    <row r="128" spans="1:38">
      <c r="A128" s="17">
        <v>124</v>
      </c>
      <c r="B128" s="88" t="s">
        <v>300</v>
      </c>
      <c r="C128" s="89" t="s">
        <v>301</v>
      </c>
      <c r="D128" s="20" t="s">
        <v>43</v>
      </c>
      <c r="E128" s="55">
        <v>0</v>
      </c>
      <c r="F128" s="55">
        <v>0.00159</v>
      </c>
      <c r="G128" s="21">
        <v>15.3097</v>
      </c>
      <c r="H128" s="56">
        <v>0.98</v>
      </c>
      <c r="I128" s="21">
        <f t="shared" si="53"/>
        <v>0.0248392071428571</v>
      </c>
      <c r="J128" s="20" t="s">
        <v>44</v>
      </c>
      <c r="K128" s="21">
        <v>65</v>
      </c>
      <c r="L128" s="61">
        <v>55.3846153846154</v>
      </c>
      <c r="M128" s="20">
        <v>4</v>
      </c>
      <c r="N128" s="20">
        <v>27.15</v>
      </c>
      <c r="O128" s="20">
        <v>0.76</v>
      </c>
      <c r="P128" s="20">
        <v>22.5</v>
      </c>
      <c r="Q128" s="21">
        <f t="shared" si="54"/>
        <v>0.0865384615384615</v>
      </c>
      <c r="R128" s="21">
        <v>0</v>
      </c>
      <c r="S128" s="31">
        <v>0.00477055555555556</v>
      </c>
      <c r="T128" s="31">
        <v>0.0111111111111111</v>
      </c>
      <c r="U128" s="20">
        <v>0</v>
      </c>
      <c r="V128" s="21">
        <f t="shared" si="55"/>
        <v>0.186978468791583</v>
      </c>
      <c r="W128" s="20">
        <v>0.35</v>
      </c>
      <c r="X128" s="62">
        <f t="shared" si="56"/>
        <v>-0.163021531208417</v>
      </c>
      <c r="Y128" s="75">
        <f t="shared" si="57"/>
        <v>0.0594245486280894</v>
      </c>
      <c r="Z128" s="76">
        <f t="shared" si="58"/>
        <v>0.462825811430312</v>
      </c>
      <c r="AA128" s="22">
        <f t="shared" si="59"/>
        <v>0.0396807692307692</v>
      </c>
      <c r="AB128" s="76">
        <f t="shared" si="60"/>
        <v>0.212221062067846</v>
      </c>
      <c r="AC128" s="77">
        <f t="shared" si="61"/>
        <v>0.0255139299534703</v>
      </c>
      <c r="AD128" s="77">
        <f t="shared" si="62"/>
        <v>0</v>
      </c>
      <c r="AE128" s="77">
        <f t="shared" si="63"/>
        <v>0.867154719453049</v>
      </c>
      <c r="AF128" s="78">
        <v>71365</v>
      </c>
      <c r="AG128" s="171">
        <f t="shared" si="47"/>
        <v>0.231679435112506</v>
      </c>
      <c r="AH128" s="84">
        <f t="shared" si="64"/>
        <v>16533.802886804</v>
      </c>
      <c r="AI128" s="85">
        <f t="shared" si="65"/>
        <v>13343.7184253113</v>
      </c>
      <c r="AJ128" s="85">
        <f t="shared" si="66"/>
        <v>24977.75</v>
      </c>
      <c r="AK128" s="76">
        <f t="shared" si="67"/>
        <v>0.23907012721743</v>
      </c>
      <c r="AL128" s="76">
        <f t="shared" si="68"/>
        <v>-0.33805875682141</v>
      </c>
    </row>
    <row r="129" spans="1:38">
      <c r="A129" s="17">
        <v>125</v>
      </c>
      <c r="B129" s="88" t="s">
        <v>302</v>
      </c>
      <c r="C129" s="89" t="s">
        <v>303</v>
      </c>
      <c r="D129" s="20" t="s">
        <v>43</v>
      </c>
      <c r="E129" s="55">
        <v>0</v>
      </c>
      <c r="F129" s="55">
        <v>0.0037</v>
      </c>
      <c r="G129" s="21">
        <v>15.3097</v>
      </c>
      <c r="H129" s="56">
        <v>0.98</v>
      </c>
      <c r="I129" s="21">
        <f t="shared" si="53"/>
        <v>0.0578019285714286</v>
      </c>
      <c r="J129" s="20" t="s">
        <v>44</v>
      </c>
      <c r="K129" s="21">
        <v>65</v>
      </c>
      <c r="L129" s="61">
        <v>55.3846153846154</v>
      </c>
      <c r="M129" s="20">
        <v>4</v>
      </c>
      <c r="N129" s="20">
        <v>27.15</v>
      </c>
      <c r="O129" s="20">
        <v>0.76</v>
      </c>
      <c r="P129" s="20">
        <v>22.5</v>
      </c>
      <c r="Q129" s="21">
        <f t="shared" si="54"/>
        <v>0.0865384615384615</v>
      </c>
      <c r="R129" s="21">
        <v>0</v>
      </c>
      <c r="S129" s="31">
        <v>0.00477055555555556</v>
      </c>
      <c r="T129" s="31">
        <v>0.0111111111111111</v>
      </c>
      <c r="U129" s="20">
        <v>0</v>
      </c>
      <c r="V129" s="21">
        <f t="shared" si="55"/>
        <v>0.224313796123944</v>
      </c>
      <c r="W129" s="20">
        <v>0.4</v>
      </c>
      <c r="X129" s="62">
        <f t="shared" si="56"/>
        <v>-0.175686203876056</v>
      </c>
      <c r="Y129" s="75">
        <f t="shared" si="57"/>
        <v>0.0495337839361948</v>
      </c>
      <c r="Z129" s="76">
        <f t="shared" si="58"/>
        <v>0.385791971041518</v>
      </c>
      <c r="AA129" s="22">
        <f t="shared" si="59"/>
        <v>0.0396807692307692</v>
      </c>
      <c r="AB129" s="76">
        <f t="shared" si="60"/>
        <v>0.176898478454904</v>
      </c>
      <c r="AC129" s="77">
        <f t="shared" si="61"/>
        <v>0.0212673301330053</v>
      </c>
      <c r="AD129" s="77">
        <f t="shared" si="62"/>
        <v>0</v>
      </c>
      <c r="AE129" s="77">
        <f t="shared" si="63"/>
        <v>0.742316658314274</v>
      </c>
      <c r="AF129" s="78">
        <v>37700</v>
      </c>
      <c r="AG129" s="171">
        <f t="shared" si="47"/>
        <v>0.278769037153323</v>
      </c>
      <c r="AH129" s="84">
        <f t="shared" si="64"/>
        <v>10509.5927006803</v>
      </c>
      <c r="AI129" s="85">
        <f t="shared" si="65"/>
        <v>8456.63011387269</v>
      </c>
      <c r="AJ129" s="85">
        <f t="shared" si="66"/>
        <v>15080</v>
      </c>
      <c r="AK129" s="76">
        <f t="shared" si="67"/>
        <v>0.242763672900839</v>
      </c>
      <c r="AL129" s="76">
        <f t="shared" si="68"/>
        <v>-0.303077407116693</v>
      </c>
    </row>
    <row r="130" spans="1:38">
      <c r="A130" s="17">
        <v>126</v>
      </c>
      <c r="B130" s="88" t="s">
        <v>304</v>
      </c>
      <c r="C130" s="89" t="s">
        <v>305</v>
      </c>
      <c r="D130" s="20" t="s">
        <v>43</v>
      </c>
      <c r="E130" s="55">
        <v>0</v>
      </c>
      <c r="F130" s="55">
        <v>0.00232</v>
      </c>
      <c r="G130" s="21">
        <v>15.3097</v>
      </c>
      <c r="H130" s="56">
        <v>0.98</v>
      </c>
      <c r="I130" s="21">
        <f t="shared" si="53"/>
        <v>0.0362433714285714</v>
      </c>
      <c r="J130" s="20" t="s">
        <v>44</v>
      </c>
      <c r="K130" s="21">
        <v>65</v>
      </c>
      <c r="L130" s="61">
        <v>55.3846153846154</v>
      </c>
      <c r="M130" s="20">
        <v>8</v>
      </c>
      <c r="N130" s="20">
        <v>27.15</v>
      </c>
      <c r="O130" s="20">
        <v>0.76</v>
      </c>
      <c r="P130" s="20">
        <v>22.5</v>
      </c>
      <c r="Q130" s="21">
        <f t="shared" si="54"/>
        <v>0.0432692307692308</v>
      </c>
      <c r="R130" s="21">
        <v>0</v>
      </c>
      <c r="S130" s="31">
        <v>0.00477055555555556</v>
      </c>
      <c r="T130" s="31">
        <v>0.0111111111111111</v>
      </c>
      <c r="U130" s="20">
        <v>0</v>
      </c>
      <c r="V130" s="21">
        <f t="shared" si="55"/>
        <v>0.128414131322419</v>
      </c>
      <c r="W130" s="20">
        <v>0.17</v>
      </c>
      <c r="X130" s="62">
        <f t="shared" si="56"/>
        <v>-0.041585868677581</v>
      </c>
      <c r="Y130" s="75">
        <f t="shared" si="57"/>
        <v>0.0865256105125502</v>
      </c>
      <c r="Z130" s="76">
        <f t="shared" si="58"/>
        <v>0.336950694784451</v>
      </c>
      <c r="AA130" s="22">
        <f t="shared" si="59"/>
        <v>0.0198403846153846</v>
      </c>
      <c r="AB130" s="76">
        <f t="shared" si="60"/>
        <v>0.154503125248497</v>
      </c>
      <c r="AC130" s="77">
        <f t="shared" si="61"/>
        <v>0.0371497708735635</v>
      </c>
      <c r="AD130" s="77">
        <f t="shared" si="62"/>
        <v>0</v>
      </c>
      <c r="AE130" s="77">
        <f t="shared" si="63"/>
        <v>0.717761814409877</v>
      </c>
      <c r="AF130" s="78">
        <v>34230</v>
      </c>
      <c r="AG130" s="171">
        <f t="shared" si="47"/>
        <v>0.157814504971219</v>
      </c>
      <c r="AH130" s="84">
        <f t="shared" si="64"/>
        <v>5401.99050516483</v>
      </c>
      <c r="AI130" s="85">
        <f t="shared" si="65"/>
        <v>4395.6157151664</v>
      </c>
      <c r="AJ130" s="85">
        <f t="shared" si="66"/>
        <v>5819.1</v>
      </c>
      <c r="AK130" s="76">
        <f t="shared" si="67"/>
        <v>0.228949675133358</v>
      </c>
      <c r="AL130" s="76">
        <f t="shared" si="68"/>
        <v>-0.0716793825222402</v>
      </c>
    </row>
    <row r="131" spans="1:38">
      <c r="A131" s="17">
        <v>127</v>
      </c>
      <c r="B131" s="88" t="s">
        <v>306</v>
      </c>
      <c r="C131" s="89" t="s">
        <v>307</v>
      </c>
      <c r="D131" s="20" t="s">
        <v>59</v>
      </c>
      <c r="E131" s="55">
        <v>0</v>
      </c>
      <c r="F131" s="55">
        <v>0.0033</v>
      </c>
      <c r="G131" s="21">
        <v>18.5841</v>
      </c>
      <c r="H131" s="56">
        <v>0.98</v>
      </c>
      <c r="I131" s="21">
        <f t="shared" si="53"/>
        <v>0.062579112244898</v>
      </c>
      <c r="J131" s="20" t="s">
        <v>44</v>
      </c>
      <c r="K131" s="21">
        <v>65</v>
      </c>
      <c r="L131" s="61">
        <v>55.3846153846154</v>
      </c>
      <c r="M131" s="20">
        <v>3</v>
      </c>
      <c r="N131" s="20">
        <v>27.15</v>
      </c>
      <c r="O131" s="20">
        <v>0.76</v>
      </c>
      <c r="P131" s="20">
        <v>22.5</v>
      </c>
      <c r="Q131" s="21">
        <f t="shared" si="54"/>
        <v>0.115384615384615</v>
      </c>
      <c r="R131" s="21">
        <v>0</v>
      </c>
      <c r="S131" s="31">
        <v>0.00477055555555556</v>
      </c>
      <c r="T131" s="31">
        <v>0.0111111111111111</v>
      </c>
      <c r="U131" s="20">
        <v>0.2</v>
      </c>
      <c r="V131" s="21">
        <f t="shared" si="55"/>
        <v>0.477378887207787</v>
      </c>
      <c r="W131" s="20">
        <v>0.39</v>
      </c>
      <c r="X131" s="62">
        <f t="shared" si="56"/>
        <v>0.0873788872077874</v>
      </c>
      <c r="Y131" s="75">
        <f t="shared" si="57"/>
        <v>0.0232752461595035</v>
      </c>
      <c r="Z131" s="76">
        <f t="shared" si="58"/>
        <v>0.24170447934869</v>
      </c>
      <c r="AA131" s="22">
        <f t="shared" si="59"/>
        <v>0.0529076923076923</v>
      </c>
      <c r="AB131" s="76">
        <f t="shared" si="60"/>
        <v>0.110829560597353</v>
      </c>
      <c r="AC131" s="77">
        <f t="shared" si="61"/>
        <v>0.00999322693858284</v>
      </c>
      <c r="AD131" s="77">
        <f t="shared" si="62"/>
        <v>0.418954430871063</v>
      </c>
      <c r="AE131" s="77">
        <f t="shared" si="63"/>
        <v>0.868911018225112</v>
      </c>
      <c r="AF131" s="78">
        <v>22678</v>
      </c>
      <c r="AG131" s="171">
        <f t="shared" si="47"/>
        <v>0.545697980862675</v>
      </c>
      <c r="AH131" s="84">
        <f t="shared" si="64"/>
        <v>12375.3388100037</v>
      </c>
      <c r="AI131" s="85">
        <f t="shared" si="65"/>
        <v>10825.9984040982</v>
      </c>
      <c r="AJ131" s="85">
        <f t="shared" si="66"/>
        <v>8844.42</v>
      </c>
      <c r="AK131" s="76">
        <f t="shared" si="67"/>
        <v>0.143112934999051</v>
      </c>
      <c r="AL131" s="76">
        <f t="shared" si="68"/>
        <v>0.399225591955576</v>
      </c>
    </row>
    <row r="132" spans="1:38">
      <c r="A132" s="17">
        <v>128</v>
      </c>
      <c r="B132" s="88" t="s">
        <v>308</v>
      </c>
      <c r="C132" s="89" t="s">
        <v>309</v>
      </c>
      <c r="D132" s="20" t="s">
        <v>59</v>
      </c>
      <c r="E132" s="55">
        <v>0</v>
      </c>
      <c r="F132" s="55">
        <v>0.0033</v>
      </c>
      <c r="G132" s="21">
        <v>18.5841</v>
      </c>
      <c r="H132" s="56">
        <v>0.98</v>
      </c>
      <c r="I132" s="21">
        <f t="shared" si="53"/>
        <v>0.062579112244898</v>
      </c>
      <c r="J132" s="20" t="s">
        <v>44</v>
      </c>
      <c r="K132" s="21">
        <v>65</v>
      </c>
      <c r="L132" s="61">
        <v>55.3846153846154</v>
      </c>
      <c r="M132" s="20">
        <v>3</v>
      </c>
      <c r="N132" s="20">
        <v>27.15</v>
      </c>
      <c r="O132" s="20">
        <v>0.76</v>
      </c>
      <c r="P132" s="20">
        <v>22.5</v>
      </c>
      <c r="Q132" s="21">
        <f t="shared" si="54"/>
        <v>0.115384615384615</v>
      </c>
      <c r="R132" s="21">
        <v>0</v>
      </c>
      <c r="S132" s="31">
        <v>0.00477055555555556</v>
      </c>
      <c r="T132" s="31">
        <v>0.0111111111111111</v>
      </c>
      <c r="U132" s="20">
        <v>0.2</v>
      </c>
      <c r="V132" s="21">
        <f t="shared" si="55"/>
        <v>0.477378887207787</v>
      </c>
      <c r="W132" s="20">
        <v>0.39</v>
      </c>
      <c r="X132" s="62">
        <f t="shared" si="56"/>
        <v>0.0873788872077874</v>
      </c>
      <c r="Y132" s="75">
        <f t="shared" si="57"/>
        <v>0.0232752461595035</v>
      </c>
      <c r="Z132" s="76">
        <f t="shared" si="58"/>
        <v>0.24170447934869</v>
      </c>
      <c r="AA132" s="22">
        <f t="shared" si="59"/>
        <v>0.0529076923076923</v>
      </c>
      <c r="AB132" s="76">
        <f t="shared" si="60"/>
        <v>0.110829560597353</v>
      </c>
      <c r="AC132" s="77">
        <f t="shared" si="61"/>
        <v>0.00999322693858284</v>
      </c>
      <c r="AD132" s="77">
        <f t="shared" si="62"/>
        <v>0.418954430871063</v>
      </c>
      <c r="AE132" s="77">
        <f t="shared" si="63"/>
        <v>0.868911018225112</v>
      </c>
      <c r="AF132" s="78">
        <v>23729</v>
      </c>
      <c r="AG132" s="171">
        <f t="shared" si="47"/>
        <v>0.545697980862675</v>
      </c>
      <c r="AH132" s="84">
        <f t="shared" si="64"/>
        <v>12948.8673878904</v>
      </c>
      <c r="AI132" s="85">
        <f t="shared" si="65"/>
        <v>11327.7236145536</v>
      </c>
      <c r="AJ132" s="85">
        <f t="shared" si="66"/>
        <v>9254.31</v>
      </c>
      <c r="AK132" s="76">
        <f t="shared" si="67"/>
        <v>0.143112934999051</v>
      </c>
      <c r="AL132" s="76">
        <f t="shared" si="68"/>
        <v>0.399225591955576</v>
      </c>
    </row>
    <row r="133" spans="1:38">
      <c r="A133" s="17">
        <v>129</v>
      </c>
      <c r="B133" s="88" t="s">
        <v>310</v>
      </c>
      <c r="C133" s="89" t="s">
        <v>311</v>
      </c>
      <c r="D133" s="20" t="s">
        <v>59</v>
      </c>
      <c r="E133" s="55">
        <v>0</v>
      </c>
      <c r="F133" s="55">
        <v>0.0033</v>
      </c>
      <c r="G133" s="21">
        <v>18.5841</v>
      </c>
      <c r="H133" s="56">
        <v>0.98</v>
      </c>
      <c r="I133" s="21">
        <f t="shared" si="53"/>
        <v>0.062579112244898</v>
      </c>
      <c r="J133" s="20" t="s">
        <v>44</v>
      </c>
      <c r="K133" s="21">
        <v>65</v>
      </c>
      <c r="L133" s="61">
        <v>55.3846153846154</v>
      </c>
      <c r="M133" s="20">
        <v>3</v>
      </c>
      <c r="N133" s="20">
        <v>27.15</v>
      </c>
      <c r="O133" s="20">
        <v>0.76</v>
      </c>
      <c r="P133" s="20">
        <v>22.5</v>
      </c>
      <c r="Q133" s="21">
        <f t="shared" si="54"/>
        <v>0.115384615384615</v>
      </c>
      <c r="R133" s="21">
        <v>0</v>
      </c>
      <c r="S133" s="31">
        <v>0.00477055555555556</v>
      </c>
      <c r="T133" s="31">
        <v>0.0111111111111111</v>
      </c>
      <c r="U133" s="20">
        <v>0.2</v>
      </c>
      <c r="V133" s="21">
        <f t="shared" si="55"/>
        <v>0.477378887207787</v>
      </c>
      <c r="W133" s="20">
        <v>0.39</v>
      </c>
      <c r="X133" s="62">
        <f t="shared" si="56"/>
        <v>0.0873788872077874</v>
      </c>
      <c r="Y133" s="75">
        <f t="shared" si="57"/>
        <v>0.0232752461595035</v>
      </c>
      <c r="Z133" s="76">
        <f t="shared" si="58"/>
        <v>0.24170447934869</v>
      </c>
      <c r="AA133" s="22">
        <f t="shared" si="59"/>
        <v>0.0529076923076923</v>
      </c>
      <c r="AB133" s="76">
        <f t="shared" si="60"/>
        <v>0.110829560597353</v>
      </c>
      <c r="AC133" s="77">
        <f t="shared" si="61"/>
        <v>0.00999322693858284</v>
      </c>
      <c r="AD133" s="77">
        <f t="shared" si="62"/>
        <v>0.418954430871063</v>
      </c>
      <c r="AE133" s="77">
        <f t="shared" si="63"/>
        <v>0.868911018225112</v>
      </c>
      <c r="AF133" s="78">
        <v>4480</v>
      </c>
      <c r="AG133" s="171">
        <f t="shared" si="47"/>
        <v>0.545697980862675</v>
      </c>
      <c r="AH133" s="84">
        <f t="shared" si="64"/>
        <v>2444.72695426478</v>
      </c>
      <c r="AI133" s="85">
        <f t="shared" si="65"/>
        <v>2138.65741469089</v>
      </c>
      <c r="AJ133" s="85">
        <f t="shared" si="66"/>
        <v>1747.2</v>
      </c>
      <c r="AK133" s="76">
        <f t="shared" si="67"/>
        <v>0.143112934999051</v>
      </c>
      <c r="AL133" s="76">
        <f t="shared" si="68"/>
        <v>0.399225591955576</v>
      </c>
    </row>
    <row r="134" spans="1:38">
      <c r="A134" s="17">
        <v>130</v>
      </c>
      <c r="B134" s="88" t="s">
        <v>312</v>
      </c>
      <c r="C134" s="89" t="s">
        <v>313</v>
      </c>
      <c r="D134" s="20" t="s">
        <v>314</v>
      </c>
      <c r="E134" s="55">
        <v>0</v>
      </c>
      <c r="F134" s="55">
        <v>0.0097</v>
      </c>
      <c r="G134" s="21">
        <v>21.55</v>
      </c>
      <c r="H134" s="56">
        <v>0.98</v>
      </c>
      <c r="I134" s="21">
        <f t="shared" si="53"/>
        <v>0.213301020408163</v>
      </c>
      <c r="J134" s="20" t="s">
        <v>120</v>
      </c>
      <c r="K134" s="21">
        <v>60</v>
      </c>
      <c r="L134" s="61">
        <v>60</v>
      </c>
      <c r="M134" s="20">
        <v>4</v>
      </c>
      <c r="N134" s="20">
        <v>39.75</v>
      </c>
      <c r="O134" s="20">
        <v>0.76</v>
      </c>
      <c r="P134" s="20">
        <v>22.5</v>
      </c>
      <c r="Q134" s="21">
        <f t="shared" si="54"/>
        <v>0.09375</v>
      </c>
      <c r="R134" s="21">
        <v>0</v>
      </c>
      <c r="S134" s="31">
        <v>0.00477055555555556</v>
      </c>
      <c r="T134" s="31">
        <v>0.0111111111111111</v>
      </c>
      <c r="U134" s="20">
        <v>0</v>
      </c>
      <c r="V134" s="21">
        <f t="shared" si="55"/>
        <v>0.434950296924892</v>
      </c>
      <c r="W134" s="20">
        <v>0.98</v>
      </c>
      <c r="X134" s="62">
        <f t="shared" si="56"/>
        <v>-0.545049703075108</v>
      </c>
      <c r="Y134" s="75">
        <f t="shared" si="57"/>
        <v>0.0255457030140384</v>
      </c>
      <c r="Z134" s="76">
        <f t="shared" si="58"/>
        <v>0.215541869180949</v>
      </c>
      <c r="AA134" s="22">
        <f t="shared" si="59"/>
        <v>0.0629375</v>
      </c>
      <c r="AB134" s="76">
        <f t="shared" si="60"/>
        <v>0.144700441510144</v>
      </c>
      <c r="AC134" s="77">
        <f t="shared" si="61"/>
        <v>0.0109680475890774</v>
      </c>
      <c r="AD134" s="77">
        <f t="shared" si="62"/>
        <v>0</v>
      </c>
      <c r="AE134" s="77">
        <f t="shared" si="63"/>
        <v>0.509596793205555</v>
      </c>
      <c r="AF134" s="78">
        <v>56099</v>
      </c>
      <c r="AG134" s="171">
        <f t="shared" ref="AG134:AG169" si="69">(I134+Q134+(N134*O134/K134/M134)/2)/H134*1.4+R134*1.1+S134+T134+U134</f>
        <v>0.544436695821185</v>
      </c>
      <c r="AH134" s="84">
        <f t="shared" ref="AH134:AH169" si="70">AG134*AF134</f>
        <v>30542.3541988727</v>
      </c>
      <c r="AI134" s="85">
        <f t="shared" ref="AI134:AI169" si="71">V134*AF134</f>
        <v>24400.2767071895</v>
      </c>
      <c r="AJ134" s="85">
        <f t="shared" ref="AJ134:AJ169" si="72">W134*AF134</f>
        <v>54977.02</v>
      </c>
      <c r="AK134" s="76">
        <f t="shared" ref="AK134:AK169" si="73">(AG134-V134)/V134</f>
        <v>0.251721632725312</v>
      </c>
      <c r="AL134" s="76">
        <f t="shared" ref="AL134:AL169" si="74">(AG134-W134)/W134</f>
        <v>-0.444452351202872</v>
      </c>
    </row>
    <row r="135" spans="1:38">
      <c r="A135" s="17">
        <v>131</v>
      </c>
      <c r="B135" s="88" t="s">
        <v>315</v>
      </c>
      <c r="C135" s="89" t="s">
        <v>316</v>
      </c>
      <c r="D135" s="20" t="s">
        <v>59</v>
      </c>
      <c r="E135" s="55">
        <v>0</v>
      </c>
      <c r="F135" s="55">
        <v>0.00128</v>
      </c>
      <c r="G135" s="21">
        <v>18.5841</v>
      </c>
      <c r="H135" s="56">
        <v>0.98</v>
      </c>
      <c r="I135" s="21">
        <f t="shared" si="53"/>
        <v>0.0242731102040816</v>
      </c>
      <c r="J135" s="20" t="s">
        <v>44</v>
      </c>
      <c r="K135" s="21">
        <v>72</v>
      </c>
      <c r="L135" s="61">
        <v>50</v>
      </c>
      <c r="M135" s="20">
        <v>4</v>
      </c>
      <c r="N135" s="20">
        <v>27.15</v>
      </c>
      <c r="O135" s="20">
        <v>0.76</v>
      </c>
      <c r="P135" s="20">
        <v>22.5</v>
      </c>
      <c r="Q135" s="21">
        <f t="shared" si="54"/>
        <v>0.078125</v>
      </c>
      <c r="R135" s="21">
        <v>0</v>
      </c>
      <c r="S135" s="31">
        <v>0.00477055555555556</v>
      </c>
      <c r="T135" s="31">
        <v>0.0111111111111111</v>
      </c>
      <c r="U135" s="20">
        <v>0</v>
      </c>
      <c r="V135" s="21">
        <f t="shared" si="55"/>
        <v>0.172438135877412</v>
      </c>
      <c r="W135" s="20">
        <v>0.43</v>
      </c>
      <c r="X135" s="62">
        <f t="shared" si="56"/>
        <v>-0.257561864122588</v>
      </c>
      <c r="Y135" s="75">
        <f t="shared" si="57"/>
        <v>0.0644353469409463</v>
      </c>
      <c r="Z135" s="76">
        <f t="shared" si="58"/>
        <v>0.453061033178529</v>
      </c>
      <c r="AA135" s="22">
        <f t="shared" si="59"/>
        <v>0.0358229166666667</v>
      </c>
      <c r="AB135" s="76">
        <f t="shared" si="60"/>
        <v>0.207743585746795</v>
      </c>
      <c r="AC135" s="77">
        <f t="shared" si="61"/>
        <v>0.0276653162090954</v>
      </c>
      <c r="AD135" s="77">
        <f t="shared" si="62"/>
        <v>0</v>
      </c>
      <c r="AE135" s="77">
        <f t="shared" si="63"/>
        <v>0.859235835039776</v>
      </c>
      <c r="AF135" s="78">
        <v>55730</v>
      </c>
      <c r="AG135" s="171">
        <f t="shared" si="69"/>
        <v>0.213340276482021</v>
      </c>
      <c r="AH135" s="84">
        <f t="shared" si="70"/>
        <v>11889.453608343</v>
      </c>
      <c r="AI135" s="85">
        <f t="shared" si="71"/>
        <v>9609.97731244818</v>
      </c>
      <c r="AJ135" s="85">
        <f t="shared" si="72"/>
        <v>23963.9</v>
      </c>
      <c r="AK135" s="76">
        <f t="shared" si="73"/>
        <v>0.237198925843683</v>
      </c>
      <c r="AL135" s="76">
        <f t="shared" si="74"/>
        <v>-0.503859822134834</v>
      </c>
    </row>
    <row r="136" spans="1:38">
      <c r="A136" s="17">
        <v>132</v>
      </c>
      <c r="B136" s="88" t="s">
        <v>317</v>
      </c>
      <c r="C136" s="89" t="s">
        <v>318</v>
      </c>
      <c r="D136" s="20" t="s">
        <v>59</v>
      </c>
      <c r="E136" s="55">
        <v>0</v>
      </c>
      <c r="F136" s="55">
        <v>0.0022</v>
      </c>
      <c r="G136" s="21">
        <v>18.5841</v>
      </c>
      <c r="H136" s="56">
        <v>0.98</v>
      </c>
      <c r="I136" s="21">
        <f t="shared" si="53"/>
        <v>0.0417194081632653</v>
      </c>
      <c r="J136" s="20" t="s">
        <v>44</v>
      </c>
      <c r="K136" s="21">
        <v>72</v>
      </c>
      <c r="L136" s="61">
        <v>50</v>
      </c>
      <c r="M136" s="20">
        <v>3</v>
      </c>
      <c r="N136" s="20">
        <v>27.15</v>
      </c>
      <c r="O136" s="20">
        <v>0.76</v>
      </c>
      <c r="P136" s="20">
        <v>22.5</v>
      </c>
      <c r="Q136" s="21">
        <f t="shared" si="54"/>
        <v>0.104166666666667</v>
      </c>
      <c r="R136" s="21">
        <v>0</v>
      </c>
      <c r="S136" s="31">
        <v>0.00477055555555556</v>
      </c>
      <c r="T136" s="31">
        <v>0.0111111111111111</v>
      </c>
      <c r="U136" s="20">
        <v>0.2</v>
      </c>
      <c r="V136" s="21">
        <f t="shared" si="55"/>
        <v>0.435219890878801</v>
      </c>
      <c r="W136" s="20">
        <v>0.61</v>
      </c>
      <c r="X136" s="62">
        <f t="shared" si="56"/>
        <v>-0.174780109121199</v>
      </c>
      <c r="Y136" s="75">
        <f t="shared" si="57"/>
        <v>0.0255298789048346</v>
      </c>
      <c r="Z136" s="76">
        <f t="shared" si="58"/>
        <v>0.239342614732825</v>
      </c>
      <c r="AA136" s="22">
        <f t="shared" si="59"/>
        <v>0.0477638888888889</v>
      </c>
      <c r="AB136" s="76">
        <f t="shared" si="60"/>
        <v>0.109746566942158</v>
      </c>
      <c r="AC136" s="77">
        <f t="shared" si="61"/>
        <v>0.0109612535077908</v>
      </c>
      <c r="AD136" s="77">
        <f t="shared" si="62"/>
        <v>0.459537820287023</v>
      </c>
      <c r="AE136" s="77">
        <f t="shared" si="63"/>
        <v>0.904141770544942</v>
      </c>
      <c r="AF136" s="78">
        <v>0</v>
      </c>
      <c r="AG136" s="171">
        <f t="shared" si="69"/>
        <v>0.492524471979268</v>
      </c>
      <c r="AH136" s="84">
        <f t="shared" si="70"/>
        <v>0</v>
      </c>
      <c r="AI136" s="85">
        <f t="shared" si="71"/>
        <v>0</v>
      </c>
      <c r="AJ136" s="85">
        <f t="shared" si="72"/>
        <v>0</v>
      </c>
      <c r="AK136" s="76">
        <f t="shared" si="73"/>
        <v>0.131668111456849</v>
      </c>
      <c r="AL136" s="76">
        <f t="shared" si="74"/>
        <v>-0.192582832820872</v>
      </c>
    </row>
    <row r="137" spans="1:38">
      <c r="A137" s="17">
        <v>133</v>
      </c>
      <c r="B137" s="88" t="s">
        <v>319</v>
      </c>
      <c r="C137" s="89" t="s">
        <v>320</v>
      </c>
      <c r="D137" s="20" t="s">
        <v>59</v>
      </c>
      <c r="E137" s="55">
        <v>0</v>
      </c>
      <c r="F137" s="55">
        <v>0.0022</v>
      </c>
      <c r="G137" s="21">
        <v>18.5841</v>
      </c>
      <c r="H137" s="56">
        <v>0.98</v>
      </c>
      <c r="I137" s="21">
        <f t="shared" si="53"/>
        <v>0.0417194081632653</v>
      </c>
      <c r="J137" s="20" t="s">
        <v>44</v>
      </c>
      <c r="K137" s="21">
        <v>72</v>
      </c>
      <c r="L137" s="61">
        <v>50</v>
      </c>
      <c r="M137" s="20">
        <v>3</v>
      </c>
      <c r="N137" s="20">
        <v>27.15</v>
      </c>
      <c r="O137" s="20">
        <v>0.76</v>
      </c>
      <c r="P137" s="20">
        <v>22.5</v>
      </c>
      <c r="Q137" s="21">
        <f t="shared" si="54"/>
        <v>0.104166666666667</v>
      </c>
      <c r="R137" s="21">
        <v>0</v>
      </c>
      <c r="S137" s="31">
        <v>0.00477055555555556</v>
      </c>
      <c r="T137" s="31">
        <v>0.0111111111111111</v>
      </c>
      <c r="U137" s="20">
        <v>0.2</v>
      </c>
      <c r="V137" s="21">
        <f t="shared" si="55"/>
        <v>0.435219890878801</v>
      </c>
      <c r="W137" s="20">
        <v>0.61</v>
      </c>
      <c r="X137" s="62">
        <f t="shared" si="56"/>
        <v>-0.174780109121199</v>
      </c>
      <c r="Y137" s="75">
        <f t="shared" si="57"/>
        <v>0.0255298789048346</v>
      </c>
      <c r="Z137" s="76">
        <f t="shared" si="58"/>
        <v>0.239342614732825</v>
      </c>
      <c r="AA137" s="22">
        <f t="shared" si="59"/>
        <v>0.0477638888888889</v>
      </c>
      <c r="AB137" s="76">
        <f t="shared" si="60"/>
        <v>0.109746566942158</v>
      </c>
      <c r="AC137" s="77">
        <f t="shared" si="61"/>
        <v>0.0109612535077908</v>
      </c>
      <c r="AD137" s="77">
        <f t="shared" si="62"/>
        <v>0.459537820287023</v>
      </c>
      <c r="AE137" s="77">
        <f t="shared" si="63"/>
        <v>0.904141770544942</v>
      </c>
      <c r="AF137" s="78"/>
      <c r="AG137" s="171">
        <f t="shared" si="69"/>
        <v>0.492524471979268</v>
      </c>
      <c r="AH137" s="84">
        <f t="shared" si="70"/>
        <v>0</v>
      </c>
      <c r="AI137" s="85">
        <f t="shared" si="71"/>
        <v>0</v>
      </c>
      <c r="AJ137" s="85">
        <f t="shared" si="72"/>
        <v>0</v>
      </c>
      <c r="AK137" s="76">
        <f t="shared" si="73"/>
        <v>0.131668111456849</v>
      </c>
      <c r="AL137" s="76">
        <f t="shared" si="74"/>
        <v>-0.192582832820872</v>
      </c>
    </row>
    <row r="138" spans="1:38">
      <c r="A138" s="17">
        <v>134</v>
      </c>
      <c r="B138" s="88" t="s">
        <v>321</v>
      </c>
      <c r="C138" s="89" t="s">
        <v>322</v>
      </c>
      <c r="D138" s="20" t="s">
        <v>59</v>
      </c>
      <c r="E138" s="55">
        <v>0</v>
      </c>
      <c r="F138" s="55">
        <v>0.0022</v>
      </c>
      <c r="G138" s="21">
        <v>18.5841</v>
      </c>
      <c r="H138" s="56">
        <v>0.98</v>
      </c>
      <c r="I138" s="21">
        <f t="shared" si="53"/>
        <v>0.0417194081632653</v>
      </c>
      <c r="J138" s="20" t="s">
        <v>44</v>
      </c>
      <c r="K138" s="21">
        <v>72</v>
      </c>
      <c r="L138" s="61">
        <v>50</v>
      </c>
      <c r="M138" s="20">
        <v>3</v>
      </c>
      <c r="N138" s="20">
        <v>27.15</v>
      </c>
      <c r="O138" s="20">
        <v>0.76</v>
      </c>
      <c r="P138" s="20">
        <v>22.5</v>
      </c>
      <c r="Q138" s="21">
        <f t="shared" si="54"/>
        <v>0.104166666666667</v>
      </c>
      <c r="R138" s="21">
        <v>0</v>
      </c>
      <c r="S138" s="31">
        <v>0.00477055555555556</v>
      </c>
      <c r="T138" s="31">
        <v>0.0111111111111111</v>
      </c>
      <c r="U138" s="20">
        <v>0.2</v>
      </c>
      <c r="V138" s="21">
        <f t="shared" si="55"/>
        <v>0.435219890878801</v>
      </c>
      <c r="W138" s="20">
        <v>0.61</v>
      </c>
      <c r="X138" s="62">
        <f t="shared" si="56"/>
        <v>-0.174780109121199</v>
      </c>
      <c r="Y138" s="75">
        <f t="shared" si="57"/>
        <v>0.0255298789048346</v>
      </c>
      <c r="Z138" s="76">
        <f t="shared" si="58"/>
        <v>0.239342614732825</v>
      </c>
      <c r="AA138" s="22">
        <f t="shared" si="59"/>
        <v>0.0477638888888889</v>
      </c>
      <c r="AB138" s="76">
        <f t="shared" si="60"/>
        <v>0.109746566942158</v>
      </c>
      <c r="AC138" s="77">
        <f t="shared" si="61"/>
        <v>0.0109612535077908</v>
      </c>
      <c r="AD138" s="77">
        <f t="shared" si="62"/>
        <v>0.459537820287023</v>
      </c>
      <c r="AE138" s="77">
        <f t="shared" si="63"/>
        <v>0.904141770544942</v>
      </c>
      <c r="AF138" s="78"/>
      <c r="AG138" s="171">
        <f t="shared" si="69"/>
        <v>0.492524471979268</v>
      </c>
      <c r="AH138" s="84">
        <f t="shared" si="70"/>
        <v>0</v>
      </c>
      <c r="AI138" s="85">
        <f t="shared" si="71"/>
        <v>0</v>
      </c>
      <c r="AJ138" s="85">
        <f t="shared" si="72"/>
        <v>0</v>
      </c>
      <c r="AK138" s="76">
        <f t="shared" si="73"/>
        <v>0.131668111456849</v>
      </c>
      <c r="AL138" s="76">
        <f t="shared" si="74"/>
        <v>-0.192582832820872</v>
      </c>
    </row>
    <row r="139" spans="1:38">
      <c r="A139" s="17">
        <v>135</v>
      </c>
      <c r="B139" s="88" t="s">
        <v>323</v>
      </c>
      <c r="C139" s="89" t="s">
        <v>324</v>
      </c>
      <c r="D139" s="20" t="s">
        <v>43</v>
      </c>
      <c r="E139" s="55">
        <v>0</v>
      </c>
      <c r="F139" s="55">
        <v>0.00176</v>
      </c>
      <c r="G139" s="21">
        <v>15.3097</v>
      </c>
      <c r="H139" s="56">
        <v>0.98</v>
      </c>
      <c r="I139" s="21">
        <f t="shared" si="53"/>
        <v>0.0274949714285714</v>
      </c>
      <c r="J139" s="20" t="s">
        <v>44</v>
      </c>
      <c r="K139" s="21">
        <v>65</v>
      </c>
      <c r="L139" s="61">
        <v>55.3846153846154</v>
      </c>
      <c r="M139" s="20">
        <v>4</v>
      </c>
      <c r="N139" s="20">
        <v>27.15</v>
      </c>
      <c r="O139" s="20">
        <v>0.76</v>
      </c>
      <c r="P139" s="20">
        <v>22.5</v>
      </c>
      <c r="Q139" s="21">
        <f t="shared" si="54"/>
        <v>0.0865384615384615</v>
      </c>
      <c r="R139" s="21">
        <v>0</v>
      </c>
      <c r="S139" s="31">
        <v>0.00477055555555556</v>
      </c>
      <c r="T139" s="31">
        <v>0.0111111111111111</v>
      </c>
      <c r="U139" s="20">
        <v>0</v>
      </c>
      <c r="V139" s="21">
        <f t="shared" si="55"/>
        <v>0.189986528339688</v>
      </c>
      <c r="W139" s="20">
        <v>0.35</v>
      </c>
      <c r="X139" s="62">
        <f t="shared" si="56"/>
        <v>-0.160013471660312</v>
      </c>
      <c r="Y139" s="75">
        <f t="shared" si="57"/>
        <v>0.0584836788598238</v>
      </c>
      <c r="Z139" s="76">
        <f t="shared" si="58"/>
        <v>0.455497883427474</v>
      </c>
      <c r="AA139" s="22">
        <f t="shared" si="59"/>
        <v>0.0396807692307692</v>
      </c>
      <c r="AB139" s="76">
        <f t="shared" si="60"/>
        <v>0.208860962814278</v>
      </c>
      <c r="AC139" s="77">
        <f t="shared" si="61"/>
        <v>0.0251099675184654</v>
      </c>
      <c r="AD139" s="77">
        <f t="shared" si="62"/>
        <v>0</v>
      </c>
      <c r="AE139" s="77">
        <f t="shared" si="63"/>
        <v>0.855279362864026</v>
      </c>
      <c r="AF139" s="78">
        <v>229279</v>
      </c>
      <c r="AG139" s="171">
        <f t="shared" si="69"/>
        <v>0.235473384092098</v>
      </c>
      <c r="AH139" s="84">
        <f t="shared" si="70"/>
        <v>53989.1020312522</v>
      </c>
      <c r="AI139" s="85">
        <f t="shared" si="71"/>
        <v>43559.9212311952</v>
      </c>
      <c r="AJ139" s="85">
        <f t="shared" si="72"/>
        <v>80247.65</v>
      </c>
      <c r="AK139" s="76">
        <f t="shared" si="73"/>
        <v>0.239421479775041</v>
      </c>
      <c r="AL139" s="76">
        <f t="shared" si="74"/>
        <v>-0.327218902594005</v>
      </c>
    </row>
    <row r="140" spans="1:38">
      <c r="A140" s="17">
        <v>136</v>
      </c>
      <c r="B140" s="17" t="s">
        <v>325</v>
      </c>
      <c r="C140" s="91" t="s">
        <v>326</v>
      </c>
      <c r="D140" s="20" t="s">
        <v>59</v>
      </c>
      <c r="E140" s="55">
        <v>0</v>
      </c>
      <c r="F140" s="55">
        <v>0.0022</v>
      </c>
      <c r="G140" s="21">
        <v>18.5841</v>
      </c>
      <c r="H140" s="56">
        <v>0.98</v>
      </c>
      <c r="I140" s="21">
        <f t="shared" si="53"/>
        <v>0.0417194081632653</v>
      </c>
      <c r="J140" s="20" t="s">
        <v>44</v>
      </c>
      <c r="K140" s="21">
        <v>72</v>
      </c>
      <c r="L140" s="61">
        <v>50</v>
      </c>
      <c r="M140" s="20">
        <v>3</v>
      </c>
      <c r="N140" s="20">
        <v>27.15</v>
      </c>
      <c r="O140" s="20">
        <v>0.76</v>
      </c>
      <c r="P140" s="20">
        <v>22.5</v>
      </c>
      <c r="Q140" s="21">
        <f t="shared" si="54"/>
        <v>0.104166666666667</v>
      </c>
      <c r="R140" s="21">
        <v>0</v>
      </c>
      <c r="S140" s="31">
        <v>0.00477055555555556</v>
      </c>
      <c r="T140" s="31">
        <v>0.0111111111111111</v>
      </c>
      <c r="U140" s="20">
        <v>0.2</v>
      </c>
      <c r="V140" s="21">
        <f t="shared" si="55"/>
        <v>0.435219890878801</v>
      </c>
      <c r="W140" s="20">
        <v>0.61</v>
      </c>
      <c r="X140" s="62">
        <f t="shared" si="56"/>
        <v>-0.174780109121199</v>
      </c>
      <c r="Y140" s="75">
        <f t="shared" si="57"/>
        <v>0.0255298789048346</v>
      </c>
      <c r="Z140" s="76">
        <f t="shared" si="58"/>
        <v>0.239342614732825</v>
      </c>
      <c r="AA140" s="22">
        <f t="shared" si="59"/>
        <v>0.0477638888888889</v>
      </c>
      <c r="AB140" s="76">
        <f t="shared" si="60"/>
        <v>0.109746566942158</v>
      </c>
      <c r="AC140" s="77">
        <f t="shared" si="61"/>
        <v>0.0109612535077908</v>
      </c>
      <c r="AD140" s="77">
        <f t="shared" si="62"/>
        <v>0.459537820287023</v>
      </c>
      <c r="AE140" s="77">
        <f t="shared" si="63"/>
        <v>0.904141770544942</v>
      </c>
      <c r="AF140" s="78">
        <v>0</v>
      </c>
      <c r="AG140" s="171">
        <f t="shared" si="69"/>
        <v>0.492524471979268</v>
      </c>
      <c r="AH140" s="84">
        <f t="shared" si="70"/>
        <v>0</v>
      </c>
      <c r="AI140" s="85">
        <f t="shared" si="71"/>
        <v>0</v>
      </c>
      <c r="AJ140" s="85">
        <f t="shared" si="72"/>
        <v>0</v>
      </c>
      <c r="AK140" s="76">
        <f t="shared" si="73"/>
        <v>0.131668111456849</v>
      </c>
      <c r="AL140" s="76">
        <f t="shared" si="74"/>
        <v>-0.192582832820872</v>
      </c>
    </row>
    <row r="141" spans="1:38">
      <c r="A141" s="17">
        <v>137</v>
      </c>
      <c r="B141" s="17" t="s">
        <v>327</v>
      </c>
      <c r="C141" s="91" t="s">
        <v>328</v>
      </c>
      <c r="D141" s="20" t="s">
        <v>59</v>
      </c>
      <c r="E141" s="55">
        <v>0</v>
      </c>
      <c r="F141" s="55">
        <v>0.0022</v>
      </c>
      <c r="G141" s="21">
        <v>18.5841</v>
      </c>
      <c r="H141" s="56">
        <v>0.98</v>
      </c>
      <c r="I141" s="21">
        <f t="shared" si="53"/>
        <v>0.0417194081632653</v>
      </c>
      <c r="J141" s="20" t="s">
        <v>44</v>
      </c>
      <c r="K141" s="21">
        <v>72</v>
      </c>
      <c r="L141" s="61">
        <v>50</v>
      </c>
      <c r="M141" s="20">
        <v>3</v>
      </c>
      <c r="N141" s="20">
        <v>27.15</v>
      </c>
      <c r="O141" s="20">
        <v>0.76</v>
      </c>
      <c r="P141" s="20">
        <v>22.5</v>
      </c>
      <c r="Q141" s="21">
        <f t="shared" si="54"/>
        <v>0.104166666666667</v>
      </c>
      <c r="R141" s="21">
        <v>0</v>
      </c>
      <c r="S141" s="31">
        <v>0.00477055555555556</v>
      </c>
      <c r="T141" s="31">
        <v>0.0111111111111111</v>
      </c>
      <c r="U141" s="20">
        <v>0.2</v>
      </c>
      <c r="V141" s="21">
        <f t="shared" si="55"/>
        <v>0.435219890878801</v>
      </c>
      <c r="W141" s="20">
        <v>0.61</v>
      </c>
      <c r="X141" s="62">
        <f t="shared" si="56"/>
        <v>-0.174780109121199</v>
      </c>
      <c r="Y141" s="75">
        <f t="shared" si="57"/>
        <v>0.0255298789048346</v>
      </c>
      <c r="Z141" s="76">
        <f t="shared" si="58"/>
        <v>0.239342614732825</v>
      </c>
      <c r="AA141" s="22">
        <f t="shared" si="59"/>
        <v>0.0477638888888889</v>
      </c>
      <c r="AB141" s="76">
        <f t="shared" si="60"/>
        <v>0.109746566942158</v>
      </c>
      <c r="AC141" s="77">
        <f t="shared" si="61"/>
        <v>0.0109612535077908</v>
      </c>
      <c r="AD141" s="77">
        <f t="shared" si="62"/>
        <v>0.459537820287023</v>
      </c>
      <c r="AE141" s="77">
        <f t="shared" si="63"/>
        <v>0.904141770544942</v>
      </c>
      <c r="AF141" s="78"/>
      <c r="AG141" s="171">
        <f t="shared" si="69"/>
        <v>0.492524471979268</v>
      </c>
      <c r="AH141" s="84">
        <f t="shared" si="70"/>
        <v>0</v>
      </c>
      <c r="AI141" s="85">
        <f t="shared" si="71"/>
        <v>0</v>
      </c>
      <c r="AJ141" s="85">
        <f t="shared" si="72"/>
        <v>0</v>
      </c>
      <c r="AK141" s="76">
        <f t="shared" si="73"/>
        <v>0.131668111456849</v>
      </c>
      <c r="AL141" s="76">
        <f t="shared" si="74"/>
        <v>-0.192582832820872</v>
      </c>
    </row>
    <row r="142" spans="1:38">
      <c r="A142" s="17">
        <v>138</v>
      </c>
      <c r="B142" s="17" t="s">
        <v>329</v>
      </c>
      <c r="C142" s="91" t="s">
        <v>330</v>
      </c>
      <c r="D142" s="20" t="s">
        <v>59</v>
      </c>
      <c r="E142" s="55">
        <v>0</v>
      </c>
      <c r="F142" s="55">
        <v>0.0022</v>
      </c>
      <c r="G142" s="21">
        <v>18.5841</v>
      </c>
      <c r="H142" s="56">
        <v>0.98</v>
      </c>
      <c r="I142" s="21">
        <f t="shared" si="53"/>
        <v>0.0417194081632653</v>
      </c>
      <c r="J142" s="20" t="s">
        <v>44</v>
      </c>
      <c r="K142" s="21">
        <v>72</v>
      </c>
      <c r="L142" s="61">
        <v>50</v>
      </c>
      <c r="M142" s="20">
        <v>3</v>
      </c>
      <c r="N142" s="20">
        <v>27.15</v>
      </c>
      <c r="O142" s="20">
        <v>0.76</v>
      </c>
      <c r="P142" s="20">
        <v>22.5</v>
      </c>
      <c r="Q142" s="21">
        <f t="shared" si="54"/>
        <v>0.104166666666667</v>
      </c>
      <c r="R142" s="21">
        <v>0</v>
      </c>
      <c r="S142" s="31">
        <v>0.00477055555555556</v>
      </c>
      <c r="T142" s="31">
        <v>0.0111111111111111</v>
      </c>
      <c r="U142" s="20">
        <v>0.2</v>
      </c>
      <c r="V142" s="21">
        <f t="shared" si="55"/>
        <v>0.435219890878801</v>
      </c>
      <c r="W142" s="20">
        <v>0.61</v>
      </c>
      <c r="X142" s="62">
        <f t="shared" si="56"/>
        <v>-0.174780109121199</v>
      </c>
      <c r="Y142" s="75">
        <f t="shared" si="57"/>
        <v>0.0255298789048346</v>
      </c>
      <c r="Z142" s="76">
        <f t="shared" si="58"/>
        <v>0.239342614732825</v>
      </c>
      <c r="AA142" s="22">
        <f t="shared" si="59"/>
        <v>0.0477638888888889</v>
      </c>
      <c r="AB142" s="76">
        <f t="shared" si="60"/>
        <v>0.109746566942158</v>
      </c>
      <c r="AC142" s="77">
        <f t="shared" si="61"/>
        <v>0.0109612535077908</v>
      </c>
      <c r="AD142" s="77">
        <f t="shared" si="62"/>
        <v>0.459537820287023</v>
      </c>
      <c r="AE142" s="77">
        <f t="shared" si="63"/>
        <v>0.904141770544942</v>
      </c>
      <c r="AF142" s="78"/>
      <c r="AG142" s="171">
        <f t="shared" si="69"/>
        <v>0.492524471979268</v>
      </c>
      <c r="AH142" s="84">
        <f t="shared" si="70"/>
        <v>0</v>
      </c>
      <c r="AI142" s="85">
        <f t="shared" si="71"/>
        <v>0</v>
      </c>
      <c r="AJ142" s="85">
        <f t="shared" si="72"/>
        <v>0</v>
      </c>
      <c r="AK142" s="76">
        <f t="shared" si="73"/>
        <v>0.131668111456849</v>
      </c>
      <c r="AL142" s="76">
        <f t="shared" si="74"/>
        <v>-0.192582832820872</v>
      </c>
    </row>
    <row r="143" spans="1:38">
      <c r="A143" s="17">
        <v>139</v>
      </c>
      <c r="B143" s="17" t="s">
        <v>331</v>
      </c>
      <c r="C143" s="91" t="s">
        <v>332</v>
      </c>
      <c r="D143" s="20" t="s">
        <v>59</v>
      </c>
      <c r="E143" s="55">
        <v>0</v>
      </c>
      <c r="F143" s="55">
        <v>0.0022</v>
      </c>
      <c r="G143" s="21">
        <v>18.5841</v>
      </c>
      <c r="H143" s="56">
        <v>0.98</v>
      </c>
      <c r="I143" s="21">
        <f t="shared" si="53"/>
        <v>0.0417194081632653</v>
      </c>
      <c r="J143" s="20" t="s">
        <v>44</v>
      </c>
      <c r="K143" s="21">
        <v>72</v>
      </c>
      <c r="L143" s="61">
        <v>50</v>
      </c>
      <c r="M143" s="20">
        <v>3</v>
      </c>
      <c r="N143" s="20">
        <v>27.15</v>
      </c>
      <c r="O143" s="20">
        <v>0.76</v>
      </c>
      <c r="P143" s="20">
        <v>22.5</v>
      </c>
      <c r="Q143" s="21">
        <f t="shared" si="54"/>
        <v>0.104166666666667</v>
      </c>
      <c r="R143" s="21">
        <v>0</v>
      </c>
      <c r="S143" s="31">
        <v>0.00477055555555556</v>
      </c>
      <c r="T143" s="31">
        <v>0.0111111111111111</v>
      </c>
      <c r="U143" s="20">
        <v>0.2</v>
      </c>
      <c r="V143" s="21">
        <f t="shared" si="55"/>
        <v>0.435219890878801</v>
      </c>
      <c r="W143" s="20">
        <v>0.61</v>
      </c>
      <c r="X143" s="62">
        <f t="shared" si="56"/>
        <v>-0.174780109121199</v>
      </c>
      <c r="Y143" s="75">
        <f t="shared" si="57"/>
        <v>0.0255298789048346</v>
      </c>
      <c r="Z143" s="76">
        <f t="shared" si="58"/>
        <v>0.239342614732825</v>
      </c>
      <c r="AA143" s="22">
        <f t="shared" si="59"/>
        <v>0.0477638888888889</v>
      </c>
      <c r="AB143" s="76">
        <f t="shared" si="60"/>
        <v>0.109746566942158</v>
      </c>
      <c r="AC143" s="77">
        <f t="shared" si="61"/>
        <v>0.0109612535077908</v>
      </c>
      <c r="AD143" s="77">
        <f t="shared" si="62"/>
        <v>0.459537820287023</v>
      </c>
      <c r="AE143" s="77">
        <f t="shared" si="63"/>
        <v>0.904141770544942</v>
      </c>
      <c r="AF143" s="78"/>
      <c r="AG143" s="171">
        <f t="shared" si="69"/>
        <v>0.492524471979268</v>
      </c>
      <c r="AH143" s="84">
        <f t="shared" si="70"/>
        <v>0</v>
      </c>
      <c r="AI143" s="85">
        <f t="shared" si="71"/>
        <v>0</v>
      </c>
      <c r="AJ143" s="85">
        <f t="shared" si="72"/>
        <v>0</v>
      </c>
      <c r="AK143" s="76">
        <f t="shared" si="73"/>
        <v>0.131668111456849</v>
      </c>
      <c r="AL143" s="76">
        <f t="shared" si="74"/>
        <v>-0.192582832820872</v>
      </c>
    </row>
    <row r="144" spans="1:38">
      <c r="A144" s="17">
        <v>140</v>
      </c>
      <c r="B144" s="88" t="s">
        <v>333</v>
      </c>
      <c r="C144" s="89" t="s">
        <v>334</v>
      </c>
      <c r="D144" s="20" t="s">
        <v>59</v>
      </c>
      <c r="E144" s="55">
        <v>0</v>
      </c>
      <c r="F144" s="55">
        <v>0.0022</v>
      </c>
      <c r="G144" s="21">
        <v>18.5841</v>
      </c>
      <c r="H144" s="56">
        <v>0.98</v>
      </c>
      <c r="I144" s="21">
        <f t="shared" si="53"/>
        <v>0.0417194081632653</v>
      </c>
      <c r="J144" s="20" t="s">
        <v>44</v>
      </c>
      <c r="K144" s="21">
        <v>72</v>
      </c>
      <c r="L144" s="61">
        <v>50</v>
      </c>
      <c r="M144" s="20">
        <v>3</v>
      </c>
      <c r="N144" s="20">
        <v>27.15</v>
      </c>
      <c r="O144" s="20">
        <v>0.76</v>
      </c>
      <c r="P144" s="20">
        <v>22.5</v>
      </c>
      <c r="Q144" s="21">
        <f t="shared" si="54"/>
        <v>0.104166666666667</v>
      </c>
      <c r="R144" s="21">
        <v>0</v>
      </c>
      <c r="S144" s="31">
        <v>0.00477055555555556</v>
      </c>
      <c r="T144" s="31">
        <v>0.0111111111111111</v>
      </c>
      <c r="U144" s="20">
        <v>0.2</v>
      </c>
      <c r="V144" s="21">
        <f t="shared" si="55"/>
        <v>0.435219890878801</v>
      </c>
      <c r="W144" s="20">
        <v>0.6</v>
      </c>
      <c r="X144" s="62">
        <f t="shared" si="56"/>
        <v>-0.164780109121199</v>
      </c>
      <c r="Y144" s="75">
        <f t="shared" si="57"/>
        <v>0.0255298789048346</v>
      </c>
      <c r="Z144" s="76">
        <f t="shared" si="58"/>
        <v>0.239342614732825</v>
      </c>
      <c r="AA144" s="22">
        <f t="shared" si="59"/>
        <v>0.0477638888888889</v>
      </c>
      <c r="AB144" s="76">
        <f t="shared" si="60"/>
        <v>0.109746566942158</v>
      </c>
      <c r="AC144" s="77">
        <f t="shared" si="61"/>
        <v>0.0109612535077908</v>
      </c>
      <c r="AD144" s="77">
        <f t="shared" si="62"/>
        <v>0.459537820287023</v>
      </c>
      <c r="AE144" s="77">
        <f t="shared" si="63"/>
        <v>0.904141770544942</v>
      </c>
      <c r="AF144" s="78">
        <v>64225</v>
      </c>
      <c r="AG144" s="171">
        <f t="shared" si="69"/>
        <v>0.492524471979268</v>
      </c>
      <c r="AH144" s="84">
        <f t="shared" si="70"/>
        <v>31632.3842128685</v>
      </c>
      <c r="AI144" s="85">
        <f t="shared" si="71"/>
        <v>27951.997491691</v>
      </c>
      <c r="AJ144" s="85">
        <f t="shared" si="72"/>
        <v>38535</v>
      </c>
      <c r="AK144" s="76">
        <f t="shared" si="73"/>
        <v>0.131668111456849</v>
      </c>
      <c r="AL144" s="76">
        <f t="shared" si="74"/>
        <v>-0.179125880034553</v>
      </c>
    </row>
    <row r="145" spans="1:38">
      <c r="A145" s="17">
        <v>141</v>
      </c>
      <c r="B145" s="88" t="s">
        <v>335</v>
      </c>
      <c r="C145" s="89" t="s">
        <v>336</v>
      </c>
      <c r="D145" s="20" t="s">
        <v>59</v>
      </c>
      <c r="E145" s="55">
        <v>0</v>
      </c>
      <c r="F145" s="55">
        <v>0.0022</v>
      </c>
      <c r="G145" s="21">
        <v>18.5841</v>
      </c>
      <c r="H145" s="56">
        <v>0.98</v>
      </c>
      <c r="I145" s="21">
        <f t="shared" si="53"/>
        <v>0.0417194081632653</v>
      </c>
      <c r="J145" s="20" t="s">
        <v>44</v>
      </c>
      <c r="K145" s="21">
        <v>72</v>
      </c>
      <c r="L145" s="61">
        <v>50</v>
      </c>
      <c r="M145" s="20">
        <v>3</v>
      </c>
      <c r="N145" s="20">
        <v>27.15</v>
      </c>
      <c r="O145" s="20">
        <v>0.76</v>
      </c>
      <c r="P145" s="20">
        <v>22.5</v>
      </c>
      <c r="Q145" s="21">
        <f t="shared" si="54"/>
        <v>0.104166666666667</v>
      </c>
      <c r="R145" s="21">
        <v>0</v>
      </c>
      <c r="S145" s="31">
        <v>0.00477055555555556</v>
      </c>
      <c r="T145" s="31">
        <v>0.0111111111111111</v>
      </c>
      <c r="U145" s="20">
        <v>0.2</v>
      </c>
      <c r="V145" s="21">
        <f t="shared" si="55"/>
        <v>0.435219890878801</v>
      </c>
      <c r="W145" s="20">
        <v>0.6</v>
      </c>
      <c r="X145" s="62">
        <f t="shared" si="56"/>
        <v>-0.164780109121199</v>
      </c>
      <c r="Y145" s="75">
        <f t="shared" si="57"/>
        <v>0.0255298789048346</v>
      </c>
      <c r="Z145" s="76">
        <f t="shared" si="58"/>
        <v>0.239342614732825</v>
      </c>
      <c r="AA145" s="22">
        <f t="shared" si="59"/>
        <v>0.0477638888888889</v>
      </c>
      <c r="AB145" s="76">
        <f t="shared" si="60"/>
        <v>0.109746566942158</v>
      </c>
      <c r="AC145" s="77">
        <f t="shared" si="61"/>
        <v>0.0109612535077908</v>
      </c>
      <c r="AD145" s="77">
        <f t="shared" si="62"/>
        <v>0.459537820287023</v>
      </c>
      <c r="AE145" s="77">
        <f t="shared" si="63"/>
        <v>0.904141770544942</v>
      </c>
      <c r="AF145" s="78">
        <v>64580</v>
      </c>
      <c r="AG145" s="171">
        <f t="shared" si="69"/>
        <v>0.492524471979268</v>
      </c>
      <c r="AH145" s="84">
        <f t="shared" si="70"/>
        <v>31807.2304004211</v>
      </c>
      <c r="AI145" s="85">
        <f t="shared" si="71"/>
        <v>28106.5005529529</v>
      </c>
      <c r="AJ145" s="85">
        <f t="shared" si="72"/>
        <v>38748</v>
      </c>
      <c r="AK145" s="76">
        <f t="shared" si="73"/>
        <v>0.131668111456849</v>
      </c>
      <c r="AL145" s="76">
        <f t="shared" si="74"/>
        <v>-0.179125880034553</v>
      </c>
    </row>
    <row r="146" s="1" customFormat="1" ht="14.5" spans="1:38">
      <c r="A146" s="17">
        <v>143</v>
      </c>
      <c r="B146" s="92" t="s">
        <v>337</v>
      </c>
      <c r="C146" s="93" t="s">
        <v>338</v>
      </c>
      <c r="D146" s="94" t="s">
        <v>86</v>
      </c>
      <c r="E146" s="95"/>
      <c r="F146" s="95">
        <v>0.04996</v>
      </c>
      <c r="G146" s="96">
        <v>15.66372</v>
      </c>
      <c r="H146" s="97">
        <v>0.99</v>
      </c>
      <c r="I146" s="96">
        <f t="shared" si="53"/>
        <v>0.790464092121212</v>
      </c>
      <c r="J146" s="127" t="s">
        <v>339</v>
      </c>
      <c r="K146" s="128">
        <v>65</v>
      </c>
      <c r="L146" s="129">
        <v>55</v>
      </c>
      <c r="M146" s="94">
        <v>2</v>
      </c>
      <c r="N146" s="128">
        <v>48.5</v>
      </c>
      <c r="O146" s="128">
        <v>0.76</v>
      </c>
      <c r="P146" s="128">
        <v>22.5</v>
      </c>
      <c r="Q146" s="96">
        <f t="shared" si="54"/>
        <v>0.173076923076923</v>
      </c>
      <c r="R146" s="141">
        <v>0</v>
      </c>
      <c r="S146" s="142">
        <v>0.01</v>
      </c>
      <c r="T146" s="142"/>
      <c r="U146" s="142">
        <v>0.3</v>
      </c>
      <c r="V146" s="96">
        <f t="shared" si="55"/>
        <v>1.54928724547856</v>
      </c>
      <c r="W146" s="20">
        <v>2.15</v>
      </c>
      <c r="X146" s="62">
        <f t="shared" ref="X146:X169" si="75">V146-W146</f>
        <v>-0.600712754521438</v>
      </c>
      <c r="Y146" s="75">
        <f t="shared" ref="Y146:Y169" si="76">T146/V146</f>
        <v>0</v>
      </c>
      <c r="Z146" s="76">
        <f t="shared" ref="Z146:Z169" si="77">Q146/V146</f>
        <v>0.111713901719665</v>
      </c>
      <c r="AA146" s="22">
        <f t="shared" ref="AA146:AA169" si="78">(N146*O146/K146/M146)/2</f>
        <v>0.141769230769231</v>
      </c>
      <c r="AB146" s="76">
        <f t="shared" ref="AB146:AB169" si="79">AA146/V146</f>
        <v>0.0915060981641527</v>
      </c>
      <c r="AC146" s="77">
        <f t="shared" ref="AC146:AC169" si="80">S146/V146</f>
        <v>0.00645458098824733</v>
      </c>
      <c r="AD146" s="77">
        <f t="shared" ref="AD146:AD169" si="81">U146/V146</f>
        <v>0.19363742964742</v>
      </c>
      <c r="AE146" s="77">
        <f t="shared" ref="AE146:AE169" si="82">1-I146/V146</f>
        <v>0.489788549910224</v>
      </c>
      <c r="AF146" s="78">
        <v>37518</v>
      </c>
      <c r="AG146" s="171">
        <f t="shared" si="69"/>
        <v>1.87306499429729</v>
      </c>
      <c r="AH146" s="84">
        <f t="shared" si="70"/>
        <v>70273.6524560455</v>
      </c>
      <c r="AI146" s="85">
        <f t="shared" si="71"/>
        <v>58126.1588758647</v>
      </c>
      <c r="AJ146" s="85">
        <f t="shared" si="72"/>
        <v>80663.7</v>
      </c>
      <c r="AK146" s="76">
        <f t="shared" si="73"/>
        <v>0.208984970194285</v>
      </c>
      <c r="AL146" s="76">
        <f t="shared" si="74"/>
        <v>-0.128806979396612</v>
      </c>
    </row>
    <row r="147" ht="14.5" spans="1:38">
      <c r="A147" s="17">
        <v>144</v>
      </c>
      <c r="B147" s="92" t="s">
        <v>340</v>
      </c>
      <c r="C147" s="93" t="s">
        <v>341</v>
      </c>
      <c r="D147" s="98" t="s">
        <v>342</v>
      </c>
      <c r="E147" s="99"/>
      <c r="F147" s="99">
        <v>0.0398</v>
      </c>
      <c r="G147" s="100">
        <v>19.46</v>
      </c>
      <c r="H147" s="101"/>
      <c r="I147" s="100">
        <f>F147*G147</f>
        <v>0.774508</v>
      </c>
      <c r="J147" s="130" t="s">
        <v>81</v>
      </c>
      <c r="K147" s="131">
        <f t="shared" ref="K147:K158" si="83">3600/L147</f>
        <v>72</v>
      </c>
      <c r="L147" s="131">
        <v>50</v>
      </c>
      <c r="M147" s="108">
        <v>4</v>
      </c>
      <c r="N147" s="110">
        <v>39.75</v>
      </c>
      <c r="O147" s="110">
        <v>0.76</v>
      </c>
      <c r="P147" s="110">
        <v>22.5</v>
      </c>
      <c r="Q147" s="100">
        <f t="shared" ref="Q147:Q169" si="84">P147/K147/M147</f>
        <v>0.078125</v>
      </c>
      <c r="R147" s="143"/>
      <c r="S147" s="144">
        <v>0.02</v>
      </c>
      <c r="T147" s="144">
        <v>0.02</v>
      </c>
      <c r="U147" s="144"/>
      <c r="V147" s="100">
        <f>(I147+Q147+(N147*O147/K147/M147)/2)*1.11+R147*1.03+S147+T147+U147</f>
        <v>1.0446398175</v>
      </c>
      <c r="W147" s="20">
        <v>1.35</v>
      </c>
      <c r="X147" s="62">
        <f t="shared" si="75"/>
        <v>-0.3053601825</v>
      </c>
      <c r="Y147" s="75">
        <f t="shared" si="76"/>
        <v>0.0191453548533727</v>
      </c>
      <c r="Z147" s="76">
        <f t="shared" si="77"/>
        <v>0.0747865423959871</v>
      </c>
      <c r="AA147" s="22">
        <f t="shared" si="78"/>
        <v>0.0524479166666667</v>
      </c>
      <c r="AB147" s="76">
        <f t="shared" si="79"/>
        <v>0.0502066987951727</v>
      </c>
      <c r="AC147" s="77">
        <f t="shared" si="80"/>
        <v>0.0191453548533727</v>
      </c>
      <c r="AD147" s="77">
        <f t="shared" si="81"/>
        <v>0</v>
      </c>
      <c r="AE147" s="77">
        <f t="shared" si="82"/>
        <v>0.258588475161201</v>
      </c>
      <c r="AF147" s="78">
        <v>21517</v>
      </c>
      <c r="AG147" s="171"/>
      <c r="AH147" s="84">
        <f t="shared" si="70"/>
        <v>0</v>
      </c>
      <c r="AI147" s="85">
        <f t="shared" si="71"/>
        <v>22477.5149531475</v>
      </c>
      <c r="AJ147" s="85">
        <f t="shared" si="72"/>
        <v>29047.95</v>
      </c>
      <c r="AK147" s="76"/>
      <c r="AL147" s="76">
        <f t="shared" si="74"/>
        <v>-1</v>
      </c>
    </row>
    <row r="148" spans="1:38">
      <c r="A148" s="17">
        <v>145</v>
      </c>
      <c r="B148" s="94" t="s">
        <v>343</v>
      </c>
      <c r="C148" s="102" t="s">
        <v>344</v>
      </c>
      <c r="D148" s="103" t="s">
        <v>43</v>
      </c>
      <c r="E148" s="104">
        <f>21/1000</f>
        <v>0.021</v>
      </c>
      <c r="F148" s="99">
        <v>0.02247</v>
      </c>
      <c r="G148" s="100">
        <v>17.3</v>
      </c>
      <c r="H148" s="105">
        <v>0.95</v>
      </c>
      <c r="I148" s="100">
        <f t="shared" ref="I148:I169" si="85">F148*G148/H148</f>
        <v>0.40919052631579</v>
      </c>
      <c r="J148" s="130" t="s">
        <v>65</v>
      </c>
      <c r="K148" s="131">
        <v>48</v>
      </c>
      <c r="L148" s="131">
        <f>3600/K148</f>
        <v>75</v>
      </c>
      <c r="M148" s="132">
        <v>2</v>
      </c>
      <c r="N148" s="110">
        <v>48.5</v>
      </c>
      <c r="O148" s="110">
        <v>0.76</v>
      </c>
      <c r="P148" s="110">
        <v>22.5</v>
      </c>
      <c r="Q148" s="100">
        <f>P148/K148/M148+P148/200</f>
        <v>0.346875</v>
      </c>
      <c r="R148" s="145"/>
      <c r="S148" s="144">
        <f>0.00291/10+8.4124/100</f>
        <v>0.084415</v>
      </c>
      <c r="T148" s="144">
        <f>20/100</f>
        <v>0.2</v>
      </c>
      <c r="U148" s="144"/>
      <c r="V148" s="100">
        <f t="shared" ref="V148:V159" si="86">(I148+Q148+(N148*O148/K148/M148)/2)*1.11+R148*1.03+T148+U148</f>
        <v>1.25232960921053</v>
      </c>
      <c r="W148" s="20">
        <v>1.74</v>
      </c>
      <c r="X148" s="62">
        <f t="shared" si="75"/>
        <v>-0.48767039078947</v>
      </c>
      <c r="Y148" s="75">
        <f t="shared" si="76"/>
        <v>0.159702364720164</v>
      </c>
      <c r="Z148" s="76">
        <f t="shared" si="77"/>
        <v>0.276983788811534</v>
      </c>
      <c r="AA148" s="22">
        <f t="shared" si="78"/>
        <v>0.191979166666667</v>
      </c>
      <c r="AB148" s="76">
        <f t="shared" si="79"/>
        <v>0.153297634468365</v>
      </c>
      <c r="AC148" s="77">
        <f t="shared" si="80"/>
        <v>0.067406375589263</v>
      </c>
      <c r="AD148" s="77">
        <f t="shared" si="81"/>
        <v>0</v>
      </c>
      <c r="AE148" s="77">
        <f t="shared" si="82"/>
        <v>0.6732565266314</v>
      </c>
      <c r="AF148" s="78">
        <v>1600</v>
      </c>
      <c r="AG148" s="171">
        <f t="shared" si="69"/>
        <v>1.68153349492152</v>
      </c>
      <c r="AH148" s="84">
        <f t="shared" si="70"/>
        <v>2690.45359187442</v>
      </c>
      <c r="AI148" s="85">
        <f t="shared" si="71"/>
        <v>2003.72737473685</v>
      </c>
      <c r="AJ148" s="85">
        <f t="shared" si="72"/>
        <v>2784</v>
      </c>
      <c r="AK148" s="76">
        <f t="shared" si="73"/>
        <v>0.342724377475636</v>
      </c>
      <c r="AL148" s="76">
        <f t="shared" si="74"/>
        <v>-0.0336014397002787</v>
      </c>
    </row>
    <row r="149" spans="1:38">
      <c r="A149" s="17">
        <v>146</v>
      </c>
      <c r="B149" s="106" t="s">
        <v>345</v>
      </c>
      <c r="C149" s="107" t="s">
        <v>346</v>
      </c>
      <c r="D149" s="108" t="s">
        <v>347</v>
      </c>
      <c r="E149" s="109"/>
      <c r="F149" s="110">
        <v>0.0515</v>
      </c>
      <c r="G149" s="111">
        <v>17.4</v>
      </c>
      <c r="H149" s="112">
        <v>0.95</v>
      </c>
      <c r="I149" s="111">
        <f t="shared" si="85"/>
        <v>0.943263157894737</v>
      </c>
      <c r="J149" s="133" t="s">
        <v>65</v>
      </c>
      <c r="K149" s="134">
        <f t="shared" si="83"/>
        <v>65.4545454545455</v>
      </c>
      <c r="L149" s="134">
        <v>55</v>
      </c>
      <c r="M149" s="135">
        <v>2</v>
      </c>
      <c r="N149" s="133">
        <v>34</v>
      </c>
      <c r="O149" s="133">
        <v>0.76</v>
      </c>
      <c r="P149" s="133">
        <v>22.5</v>
      </c>
      <c r="Q149" s="111">
        <f t="shared" si="84"/>
        <v>0.171875</v>
      </c>
      <c r="R149" s="133">
        <v>0</v>
      </c>
      <c r="S149" s="146">
        <v>0.00715583333333333</v>
      </c>
      <c r="T149" s="146">
        <v>0.0166666666666667</v>
      </c>
      <c r="U149" s="133">
        <v>0.3</v>
      </c>
      <c r="V149" s="100">
        <f t="shared" si="86"/>
        <v>1.66402085526316</v>
      </c>
      <c r="W149" s="20">
        <v>2.26</v>
      </c>
      <c r="X149" s="62">
        <f t="shared" si="75"/>
        <v>-0.59597914473684</v>
      </c>
      <c r="Y149" s="75">
        <f t="shared" si="76"/>
        <v>0.0100159001096359</v>
      </c>
      <c r="Z149" s="76">
        <f t="shared" si="77"/>
        <v>0.10328896988062</v>
      </c>
      <c r="AA149" s="22">
        <f t="shared" si="78"/>
        <v>0.0986944444444444</v>
      </c>
      <c r="AB149" s="76">
        <f t="shared" si="79"/>
        <v>0.0593108218158937</v>
      </c>
      <c r="AC149" s="77">
        <f t="shared" si="80"/>
        <v>0.00430032671207216</v>
      </c>
      <c r="AD149" s="77">
        <f t="shared" si="81"/>
        <v>0.180286201973446</v>
      </c>
      <c r="AE149" s="77">
        <f t="shared" si="82"/>
        <v>0.433142226005597</v>
      </c>
      <c r="AF149" s="78">
        <v>1512</v>
      </c>
      <c r="AG149" s="171">
        <f t="shared" si="69"/>
        <v>2.11262844028932</v>
      </c>
      <c r="AH149" s="84">
        <f t="shared" si="70"/>
        <v>3194.29420171745</v>
      </c>
      <c r="AI149" s="85">
        <f t="shared" si="71"/>
        <v>2515.9995331579</v>
      </c>
      <c r="AJ149" s="85">
        <f t="shared" si="72"/>
        <v>3417.12</v>
      </c>
      <c r="AK149" s="76">
        <f t="shared" si="73"/>
        <v>0.26959252560282</v>
      </c>
      <c r="AL149" s="76">
        <f t="shared" si="74"/>
        <v>-0.0652086547392388</v>
      </c>
    </row>
    <row r="150" spans="1:38">
      <c r="A150" s="17">
        <v>147</v>
      </c>
      <c r="B150" s="106" t="s">
        <v>348</v>
      </c>
      <c r="C150" s="102" t="s">
        <v>349</v>
      </c>
      <c r="D150" s="108" t="s">
        <v>350</v>
      </c>
      <c r="E150" s="109"/>
      <c r="F150" s="110">
        <v>0.01648</v>
      </c>
      <c r="G150" s="111">
        <v>16</v>
      </c>
      <c r="H150" s="112">
        <v>0.85</v>
      </c>
      <c r="I150" s="111">
        <f t="shared" si="85"/>
        <v>0.310211764705882</v>
      </c>
      <c r="J150" s="133" t="s">
        <v>65</v>
      </c>
      <c r="K150" s="134">
        <f t="shared" si="83"/>
        <v>65.4545454545455</v>
      </c>
      <c r="L150" s="134">
        <v>55</v>
      </c>
      <c r="M150" s="135">
        <v>2</v>
      </c>
      <c r="N150" s="133">
        <v>34</v>
      </c>
      <c r="O150" s="133">
        <v>0.76</v>
      </c>
      <c r="P150" s="133">
        <v>22.5</v>
      </c>
      <c r="Q150" s="111">
        <f t="shared" si="84"/>
        <v>0.171875</v>
      </c>
      <c r="R150" s="133">
        <v>0</v>
      </c>
      <c r="S150" s="146">
        <v>0.03</v>
      </c>
      <c r="T150" s="146">
        <v>0.00666666666666667</v>
      </c>
      <c r="U150" s="133">
        <v>0.3</v>
      </c>
      <c r="V150" s="100">
        <f t="shared" si="86"/>
        <v>0.951333808823529</v>
      </c>
      <c r="W150" s="20">
        <v>1.43</v>
      </c>
      <c r="X150" s="62">
        <f t="shared" si="75"/>
        <v>-0.478666191176471</v>
      </c>
      <c r="Y150" s="75">
        <f t="shared" si="76"/>
        <v>0.00700770497677469</v>
      </c>
      <c r="Z150" s="76">
        <f t="shared" si="77"/>
        <v>0.180667393932472</v>
      </c>
      <c r="AA150" s="22">
        <f t="shared" si="78"/>
        <v>0.0986944444444444</v>
      </c>
      <c r="AB150" s="76">
        <f t="shared" si="79"/>
        <v>0.103743232427002</v>
      </c>
      <c r="AC150" s="77">
        <f t="shared" si="80"/>
        <v>0.0315346723954861</v>
      </c>
      <c r="AD150" s="77">
        <f t="shared" si="81"/>
        <v>0.315346723954861</v>
      </c>
      <c r="AE150" s="77">
        <f t="shared" si="82"/>
        <v>0.67391912089248</v>
      </c>
      <c r="AF150" s="78">
        <v>600</v>
      </c>
      <c r="AG150" s="171">
        <f t="shared" si="69"/>
        <v>1.29324748173779</v>
      </c>
      <c r="AH150" s="84">
        <f t="shared" si="70"/>
        <v>775.948489042676</v>
      </c>
      <c r="AI150" s="85">
        <f t="shared" si="71"/>
        <v>570.800285294117</v>
      </c>
      <c r="AJ150" s="85">
        <f t="shared" si="72"/>
        <v>858</v>
      </c>
      <c r="AK150" s="76">
        <f t="shared" si="73"/>
        <v>0.35940452209629</v>
      </c>
      <c r="AL150" s="76">
        <f t="shared" si="74"/>
        <v>-0.0956311316518933</v>
      </c>
    </row>
    <row r="151" spans="1:38">
      <c r="A151" s="17">
        <v>148</v>
      </c>
      <c r="B151" s="106" t="s">
        <v>351</v>
      </c>
      <c r="C151" s="102" t="s">
        <v>352</v>
      </c>
      <c r="D151" s="108" t="s">
        <v>350</v>
      </c>
      <c r="E151" s="109"/>
      <c r="F151" s="110">
        <v>0.08925</v>
      </c>
      <c r="G151" s="111">
        <v>16</v>
      </c>
      <c r="H151" s="112">
        <v>0.95</v>
      </c>
      <c r="I151" s="111">
        <f t="shared" si="85"/>
        <v>1.50315789473684</v>
      </c>
      <c r="J151" s="133" t="s">
        <v>65</v>
      </c>
      <c r="K151" s="134">
        <f t="shared" si="83"/>
        <v>65.4545454545455</v>
      </c>
      <c r="L151" s="134">
        <v>55</v>
      </c>
      <c r="M151" s="135">
        <v>2</v>
      </c>
      <c r="N151" s="133">
        <v>34</v>
      </c>
      <c r="O151" s="133">
        <v>0.76</v>
      </c>
      <c r="P151" s="133">
        <v>22.5</v>
      </c>
      <c r="Q151" s="111">
        <f t="shared" si="84"/>
        <v>0.171875</v>
      </c>
      <c r="R151" s="133">
        <v>0</v>
      </c>
      <c r="S151" s="146">
        <v>0.03</v>
      </c>
      <c r="T151" s="146">
        <v>0.00666666666666667</v>
      </c>
      <c r="U151" s="133">
        <v>0.3</v>
      </c>
      <c r="V151" s="100">
        <f t="shared" si="86"/>
        <v>2.27550401315789</v>
      </c>
      <c r="W151" s="20">
        <v>3.13</v>
      </c>
      <c r="X151" s="62">
        <f t="shared" si="75"/>
        <v>-0.85449598684211</v>
      </c>
      <c r="Y151" s="75">
        <f t="shared" si="76"/>
        <v>0.00292975386029525</v>
      </c>
      <c r="Z151" s="76">
        <f t="shared" si="77"/>
        <v>0.075532716710737</v>
      </c>
      <c r="AA151" s="22">
        <f t="shared" si="78"/>
        <v>0.0986944444444444</v>
      </c>
      <c r="AB151" s="76">
        <f t="shared" si="79"/>
        <v>0.0433725644401209</v>
      </c>
      <c r="AC151" s="77">
        <f t="shared" si="80"/>
        <v>0.0131838923713286</v>
      </c>
      <c r="AD151" s="77">
        <f t="shared" si="81"/>
        <v>0.131838923713286</v>
      </c>
      <c r="AE151" s="77">
        <f t="shared" si="82"/>
        <v>0.339417603289219</v>
      </c>
      <c r="AF151" s="78">
        <v>178</v>
      </c>
      <c r="AG151" s="171">
        <f t="shared" si="69"/>
        <v>2.95058064019698</v>
      </c>
      <c r="AH151" s="84">
        <f t="shared" si="70"/>
        <v>525.203353955063</v>
      </c>
      <c r="AI151" s="85">
        <f t="shared" si="71"/>
        <v>405.039714342104</v>
      </c>
      <c r="AJ151" s="85">
        <f t="shared" si="72"/>
        <v>557.14</v>
      </c>
      <c r="AK151" s="76">
        <f t="shared" si="73"/>
        <v>0.296671253109431</v>
      </c>
      <c r="AL151" s="76">
        <f t="shared" si="74"/>
        <v>-0.0573224791702938</v>
      </c>
    </row>
    <row r="152" spans="1:38">
      <c r="A152" s="17">
        <v>149</v>
      </c>
      <c r="B152" s="106" t="s">
        <v>353</v>
      </c>
      <c r="C152" s="102" t="s">
        <v>354</v>
      </c>
      <c r="D152" s="108" t="s">
        <v>350</v>
      </c>
      <c r="E152" s="109"/>
      <c r="F152" s="110">
        <v>0.08925</v>
      </c>
      <c r="G152" s="111">
        <v>16</v>
      </c>
      <c r="H152" s="112">
        <v>0.95</v>
      </c>
      <c r="I152" s="111">
        <f t="shared" si="85"/>
        <v>1.50315789473684</v>
      </c>
      <c r="J152" s="133" t="s">
        <v>65</v>
      </c>
      <c r="K152" s="134">
        <f t="shared" si="83"/>
        <v>65</v>
      </c>
      <c r="L152" s="134">
        <v>55.3846153846154</v>
      </c>
      <c r="M152" s="135">
        <v>2</v>
      </c>
      <c r="N152" s="133">
        <v>34</v>
      </c>
      <c r="O152" s="133">
        <v>0.76</v>
      </c>
      <c r="P152" s="133">
        <v>22.5</v>
      </c>
      <c r="Q152" s="111">
        <f t="shared" si="84"/>
        <v>0.173076923076923</v>
      </c>
      <c r="R152" s="133">
        <v>0</v>
      </c>
      <c r="S152" s="146">
        <v>0.03</v>
      </c>
      <c r="T152" s="146">
        <v>0.00666666666666667</v>
      </c>
      <c r="U152" s="133">
        <v>0.3</v>
      </c>
      <c r="V152" s="100">
        <f t="shared" si="86"/>
        <v>2.27760423751687</v>
      </c>
      <c r="W152" s="20">
        <v>3.13</v>
      </c>
      <c r="X152" s="62">
        <f t="shared" si="75"/>
        <v>-0.85239576248313</v>
      </c>
      <c r="Y152" s="75">
        <f t="shared" si="76"/>
        <v>0.00292705227574345</v>
      </c>
      <c r="Z152" s="76">
        <f t="shared" si="77"/>
        <v>0.0759907802356471</v>
      </c>
      <c r="AA152" s="22">
        <f t="shared" si="78"/>
        <v>0.0993846153846154</v>
      </c>
      <c r="AB152" s="76">
        <f t="shared" si="79"/>
        <v>0.0436355946953138</v>
      </c>
      <c r="AC152" s="77">
        <f t="shared" si="80"/>
        <v>0.0131717352408455</v>
      </c>
      <c r="AD152" s="77">
        <f t="shared" si="81"/>
        <v>0.131717352408455</v>
      </c>
      <c r="AE152" s="77">
        <f t="shared" si="82"/>
        <v>0.340026739511321</v>
      </c>
      <c r="AF152" s="78">
        <v>335</v>
      </c>
      <c r="AG152" s="171">
        <f t="shared" si="69"/>
        <v>2.9533689892748</v>
      </c>
      <c r="AH152" s="84">
        <f t="shared" si="70"/>
        <v>989.378611407059</v>
      </c>
      <c r="AI152" s="85">
        <f t="shared" si="71"/>
        <v>762.997419568151</v>
      </c>
      <c r="AJ152" s="85">
        <f t="shared" si="72"/>
        <v>1048.55</v>
      </c>
      <c r="AK152" s="76">
        <f t="shared" si="73"/>
        <v>0.296699813175039</v>
      </c>
      <c r="AL152" s="76">
        <f t="shared" si="74"/>
        <v>-0.0564316328195518</v>
      </c>
    </row>
    <row r="153" spans="1:38">
      <c r="A153" s="17">
        <v>150</v>
      </c>
      <c r="B153" s="106" t="s">
        <v>355</v>
      </c>
      <c r="C153" s="102" t="s">
        <v>356</v>
      </c>
      <c r="D153" s="108" t="s">
        <v>357</v>
      </c>
      <c r="E153" s="109"/>
      <c r="F153" s="110">
        <v>0.00386</v>
      </c>
      <c r="G153" s="111">
        <v>19</v>
      </c>
      <c r="H153" s="112">
        <v>0.95</v>
      </c>
      <c r="I153" s="111">
        <f t="shared" si="85"/>
        <v>0.0772</v>
      </c>
      <c r="J153" s="133" t="s">
        <v>65</v>
      </c>
      <c r="K153" s="134">
        <f t="shared" si="83"/>
        <v>65</v>
      </c>
      <c r="L153" s="134">
        <v>55.3846153846154</v>
      </c>
      <c r="M153" s="135">
        <v>2</v>
      </c>
      <c r="N153" s="133">
        <v>34</v>
      </c>
      <c r="O153" s="133">
        <v>0.76</v>
      </c>
      <c r="P153" s="133">
        <v>22.5</v>
      </c>
      <c r="Q153" s="111">
        <f t="shared" si="84"/>
        <v>0.173076923076923</v>
      </c>
      <c r="R153" s="133">
        <v>0</v>
      </c>
      <c r="S153" s="146">
        <v>0.01</v>
      </c>
      <c r="T153" s="146">
        <v>0.00666666666666667</v>
      </c>
      <c r="U153" s="133">
        <v>0.3</v>
      </c>
      <c r="V153" s="100">
        <f t="shared" si="86"/>
        <v>0.694790974358974</v>
      </c>
      <c r="W153" s="20">
        <v>0.95</v>
      </c>
      <c r="X153" s="62">
        <f t="shared" si="75"/>
        <v>-0.255209025641026</v>
      </c>
      <c r="Y153" s="75">
        <f t="shared" si="76"/>
        <v>0.00959521195970838</v>
      </c>
      <c r="Z153" s="76">
        <f t="shared" si="77"/>
        <v>0.249106464338583</v>
      </c>
      <c r="AA153" s="22">
        <f t="shared" si="78"/>
        <v>0.0993846153846154</v>
      </c>
      <c r="AB153" s="76">
        <f t="shared" si="79"/>
        <v>0.143042467522422</v>
      </c>
      <c r="AC153" s="77">
        <f t="shared" si="80"/>
        <v>0.0143928179395626</v>
      </c>
      <c r="AD153" s="77">
        <f t="shared" si="81"/>
        <v>0.431784538186877</v>
      </c>
      <c r="AE153" s="77">
        <f t="shared" si="82"/>
        <v>0.888887445506577</v>
      </c>
      <c r="AF153" s="78">
        <v>610</v>
      </c>
      <c r="AG153" s="171">
        <f t="shared" si="69"/>
        <v>0.831957354925776</v>
      </c>
      <c r="AH153" s="84">
        <f t="shared" si="70"/>
        <v>507.493986504723</v>
      </c>
      <c r="AI153" s="85">
        <f t="shared" si="71"/>
        <v>423.822494358974</v>
      </c>
      <c r="AJ153" s="85">
        <f t="shared" si="72"/>
        <v>579.5</v>
      </c>
      <c r="AK153" s="76">
        <f t="shared" si="73"/>
        <v>0.197421074292673</v>
      </c>
      <c r="AL153" s="76">
        <f t="shared" si="74"/>
        <v>-0.124255415867604</v>
      </c>
    </row>
    <row r="154" spans="1:38">
      <c r="A154" s="17">
        <v>151</v>
      </c>
      <c r="B154" s="94" t="s">
        <v>358</v>
      </c>
      <c r="C154" s="102" t="s">
        <v>359</v>
      </c>
      <c r="D154" s="108" t="s">
        <v>360</v>
      </c>
      <c r="E154" s="109"/>
      <c r="F154" s="110">
        <v>0.02158</v>
      </c>
      <c r="G154" s="111">
        <v>17.3</v>
      </c>
      <c r="H154" s="112">
        <v>0.96</v>
      </c>
      <c r="I154" s="111">
        <f t="shared" si="85"/>
        <v>0.388889583333333</v>
      </c>
      <c r="J154" s="130" t="s">
        <v>81</v>
      </c>
      <c r="K154" s="134">
        <f t="shared" si="83"/>
        <v>72</v>
      </c>
      <c r="L154" s="134">
        <v>50</v>
      </c>
      <c r="M154" s="135">
        <v>2</v>
      </c>
      <c r="N154" s="133">
        <v>39.75</v>
      </c>
      <c r="O154" s="133">
        <v>0.76</v>
      </c>
      <c r="P154" s="133">
        <v>22.5</v>
      </c>
      <c r="Q154" s="111">
        <f t="shared" si="84"/>
        <v>0.15625</v>
      </c>
      <c r="R154" s="133">
        <v>0</v>
      </c>
      <c r="S154" s="146">
        <v>0.0143116666666667</v>
      </c>
      <c r="T154" s="146">
        <v>0.0333333333333333</v>
      </c>
      <c r="U154" s="133">
        <v>0</v>
      </c>
      <c r="V154" s="100">
        <f t="shared" si="86"/>
        <v>0.754872645833333</v>
      </c>
      <c r="W154" s="20">
        <v>1.04</v>
      </c>
      <c r="X154" s="62">
        <f t="shared" si="75"/>
        <v>-0.285127354166667</v>
      </c>
      <c r="Y154" s="75">
        <f t="shared" si="76"/>
        <v>0.044157558917154</v>
      </c>
      <c r="Z154" s="76">
        <f t="shared" si="77"/>
        <v>0.206988557424159</v>
      </c>
      <c r="AA154" s="22">
        <f t="shared" si="78"/>
        <v>0.104895833333333</v>
      </c>
      <c r="AB154" s="76">
        <f t="shared" si="79"/>
        <v>0.138958318217419</v>
      </c>
      <c r="AC154" s="77">
        <f t="shared" si="80"/>
        <v>0.0189590479210801</v>
      </c>
      <c r="AD154" s="77">
        <f t="shared" si="81"/>
        <v>0</v>
      </c>
      <c r="AE154" s="77">
        <f t="shared" si="82"/>
        <v>0.484827559350726</v>
      </c>
      <c r="AF154" s="78">
        <v>1960</v>
      </c>
      <c r="AG154" s="171">
        <f t="shared" si="69"/>
        <v>0.995613315972222</v>
      </c>
      <c r="AH154" s="84">
        <f t="shared" si="70"/>
        <v>1951.40209930555</v>
      </c>
      <c r="AI154" s="85">
        <f t="shared" si="71"/>
        <v>1479.55038583333</v>
      </c>
      <c r="AJ154" s="85">
        <f t="shared" si="72"/>
        <v>2038.4</v>
      </c>
      <c r="AK154" s="76">
        <f t="shared" si="73"/>
        <v>0.318915609762393</v>
      </c>
      <c r="AL154" s="76">
        <f t="shared" si="74"/>
        <v>-0.0426795038728638</v>
      </c>
    </row>
    <row r="155" spans="1:38">
      <c r="A155" s="17">
        <v>152</v>
      </c>
      <c r="B155" s="94" t="s">
        <v>361</v>
      </c>
      <c r="C155" s="102" t="s">
        <v>119</v>
      </c>
      <c r="D155" s="108" t="s">
        <v>357</v>
      </c>
      <c r="E155" s="109"/>
      <c r="F155" s="110">
        <v>0.01536</v>
      </c>
      <c r="G155" s="111">
        <v>19</v>
      </c>
      <c r="H155" s="112">
        <v>0.96</v>
      </c>
      <c r="I155" s="111">
        <f t="shared" si="85"/>
        <v>0.304</v>
      </c>
      <c r="J155" s="133" t="s">
        <v>65</v>
      </c>
      <c r="K155" s="134">
        <f t="shared" si="83"/>
        <v>72</v>
      </c>
      <c r="L155" s="134">
        <v>50</v>
      </c>
      <c r="M155" s="135">
        <v>2</v>
      </c>
      <c r="N155" s="133">
        <v>34</v>
      </c>
      <c r="O155" s="133">
        <v>0.76</v>
      </c>
      <c r="P155" s="133">
        <v>22.5</v>
      </c>
      <c r="Q155" s="111">
        <f t="shared" si="84"/>
        <v>0.15625</v>
      </c>
      <c r="R155" s="133">
        <v>0</v>
      </c>
      <c r="S155" s="146">
        <v>0.0286233333333333</v>
      </c>
      <c r="T155" s="146">
        <v>0.0666666666666667</v>
      </c>
      <c r="U155" s="133">
        <v>0</v>
      </c>
      <c r="V155" s="100">
        <f t="shared" si="86"/>
        <v>0.677135833333333</v>
      </c>
      <c r="W155" s="20">
        <v>0.95</v>
      </c>
      <c r="X155" s="62">
        <f t="shared" si="75"/>
        <v>-0.272864166666667</v>
      </c>
      <c r="Y155" s="75">
        <f t="shared" si="76"/>
        <v>0.0984539044972514</v>
      </c>
      <c r="Z155" s="76">
        <f t="shared" si="77"/>
        <v>0.230751338665433</v>
      </c>
      <c r="AA155" s="22">
        <f t="shared" si="78"/>
        <v>0.0897222222222222</v>
      </c>
      <c r="AB155" s="76">
        <f t="shared" si="79"/>
        <v>0.132502546469217</v>
      </c>
      <c r="AC155" s="77">
        <f t="shared" si="80"/>
        <v>0.0422711838958948</v>
      </c>
      <c r="AD155" s="77">
        <f t="shared" si="81"/>
        <v>0</v>
      </c>
      <c r="AE155" s="77">
        <f t="shared" si="82"/>
        <v>0.551050195492534</v>
      </c>
      <c r="AF155" s="78">
        <v>300</v>
      </c>
      <c r="AG155" s="171">
        <f t="shared" si="69"/>
        <v>0.897332824074074</v>
      </c>
      <c r="AH155" s="84">
        <f t="shared" si="70"/>
        <v>269.199847222222</v>
      </c>
      <c r="AI155" s="85">
        <f t="shared" si="71"/>
        <v>203.14075</v>
      </c>
      <c r="AJ155" s="85">
        <f t="shared" si="72"/>
        <v>285</v>
      </c>
      <c r="AK155" s="76">
        <f t="shared" si="73"/>
        <v>0.325188802454565</v>
      </c>
      <c r="AL155" s="76">
        <f t="shared" si="74"/>
        <v>-0.0554391325536064</v>
      </c>
    </row>
    <row r="156" spans="1:38">
      <c r="A156" s="17">
        <v>153</v>
      </c>
      <c r="B156" s="94" t="s">
        <v>362</v>
      </c>
      <c r="C156" s="102" t="s">
        <v>363</v>
      </c>
      <c r="D156" s="108" t="s">
        <v>357</v>
      </c>
      <c r="E156" s="109"/>
      <c r="F156" s="110">
        <v>0.00306</v>
      </c>
      <c r="G156" s="111">
        <v>19</v>
      </c>
      <c r="H156" s="112">
        <v>0.98</v>
      </c>
      <c r="I156" s="111">
        <f t="shared" si="85"/>
        <v>0.0593265306122449</v>
      </c>
      <c r="J156" s="133" t="s">
        <v>65</v>
      </c>
      <c r="K156" s="134">
        <f t="shared" si="83"/>
        <v>80</v>
      </c>
      <c r="L156" s="134">
        <v>45</v>
      </c>
      <c r="M156" s="135">
        <v>2</v>
      </c>
      <c r="N156" s="133">
        <v>34</v>
      </c>
      <c r="O156" s="133">
        <v>0.76</v>
      </c>
      <c r="P156" s="133">
        <v>22.5</v>
      </c>
      <c r="Q156" s="111">
        <f t="shared" si="84"/>
        <v>0.140625</v>
      </c>
      <c r="R156" s="133">
        <v>0</v>
      </c>
      <c r="S156" s="146">
        <v>0.01</v>
      </c>
      <c r="T156" s="146">
        <v>0.01</v>
      </c>
      <c r="U156" s="133">
        <v>0.3</v>
      </c>
      <c r="V156" s="100">
        <f t="shared" si="86"/>
        <v>0.621578698979592</v>
      </c>
      <c r="W156" s="20">
        <v>0.83</v>
      </c>
      <c r="X156" s="62">
        <f t="shared" si="75"/>
        <v>-0.208421301020408</v>
      </c>
      <c r="Y156" s="75">
        <f t="shared" si="76"/>
        <v>0.0160880673942276</v>
      </c>
      <c r="Z156" s="76">
        <f t="shared" si="77"/>
        <v>0.226238447731326</v>
      </c>
      <c r="AA156" s="22">
        <f t="shared" si="78"/>
        <v>0.08075</v>
      </c>
      <c r="AB156" s="76">
        <f t="shared" si="79"/>
        <v>0.129911144208388</v>
      </c>
      <c r="AC156" s="77">
        <f t="shared" si="80"/>
        <v>0.0160880673942276</v>
      </c>
      <c r="AD156" s="77">
        <f t="shared" si="81"/>
        <v>0.482642021826829</v>
      </c>
      <c r="AE156" s="77">
        <f t="shared" si="82"/>
        <v>0.90455507772445</v>
      </c>
      <c r="AF156" s="78">
        <v>410</v>
      </c>
      <c r="AG156" s="171">
        <f t="shared" si="69"/>
        <v>0.721002186588921</v>
      </c>
      <c r="AH156" s="84">
        <f t="shared" si="70"/>
        <v>295.610896501458</v>
      </c>
      <c r="AI156" s="85">
        <f t="shared" si="71"/>
        <v>254.847266581633</v>
      </c>
      <c r="AJ156" s="85">
        <f t="shared" si="72"/>
        <v>340.3</v>
      </c>
      <c r="AK156" s="76">
        <f t="shared" si="73"/>
        <v>0.159953176922805</v>
      </c>
      <c r="AL156" s="76">
        <f t="shared" si="74"/>
        <v>-0.131322666760336</v>
      </c>
    </row>
    <row r="157" spans="1:38">
      <c r="A157" s="17">
        <v>154</v>
      </c>
      <c r="B157" s="94" t="s">
        <v>364</v>
      </c>
      <c r="C157" s="102" t="s">
        <v>365</v>
      </c>
      <c r="D157" s="108" t="s">
        <v>357</v>
      </c>
      <c r="E157" s="109"/>
      <c r="F157" s="110">
        <v>0.00306</v>
      </c>
      <c r="G157" s="111">
        <v>19</v>
      </c>
      <c r="H157" s="112">
        <v>0.98</v>
      </c>
      <c r="I157" s="111">
        <f t="shared" si="85"/>
        <v>0.0593265306122449</v>
      </c>
      <c r="J157" s="133" t="s">
        <v>65</v>
      </c>
      <c r="K157" s="134">
        <f t="shared" si="83"/>
        <v>80</v>
      </c>
      <c r="L157" s="134">
        <v>45</v>
      </c>
      <c r="M157" s="135">
        <v>2</v>
      </c>
      <c r="N157" s="133">
        <v>34</v>
      </c>
      <c r="O157" s="133">
        <v>0.76</v>
      </c>
      <c r="P157" s="133">
        <v>22.5</v>
      </c>
      <c r="Q157" s="111">
        <f t="shared" si="84"/>
        <v>0.140625</v>
      </c>
      <c r="R157" s="133">
        <v>0</v>
      </c>
      <c r="S157" s="146">
        <v>0.01</v>
      </c>
      <c r="T157" s="146">
        <v>0.01</v>
      </c>
      <c r="U157" s="133">
        <v>0.3</v>
      </c>
      <c r="V157" s="100">
        <f t="shared" si="86"/>
        <v>0.621578698979592</v>
      </c>
      <c r="W157" s="20">
        <v>0.83</v>
      </c>
      <c r="X157" s="62">
        <f t="shared" si="75"/>
        <v>-0.208421301020408</v>
      </c>
      <c r="Y157" s="75">
        <f t="shared" si="76"/>
        <v>0.0160880673942276</v>
      </c>
      <c r="Z157" s="76">
        <f t="shared" si="77"/>
        <v>0.226238447731326</v>
      </c>
      <c r="AA157" s="22">
        <f t="shared" si="78"/>
        <v>0.08075</v>
      </c>
      <c r="AB157" s="76">
        <f t="shared" si="79"/>
        <v>0.129911144208388</v>
      </c>
      <c r="AC157" s="77">
        <f t="shared" si="80"/>
        <v>0.0160880673942276</v>
      </c>
      <c r="AD157" s="77">
        <f t="shared" si="81"/>
        <v>0.482642021826829</v>
      </c>
      <c r="AE157" s="77">
        <f t="shared" si="82"/>
        <v>0.90455507772445</v>
      </c>
      <c r="AF157" s="78"/>
      <c r="AG157" s="171">
        <f t="shared" si="69"/>
        <v>0.721002186588921</v>
      </c>
      <c r="AH157" s="84">
        <f t="shared" si="70"/>
        <v>0</v>
      </c>
      <c r="AI157" s="85">
        <f t="shared" si="71"/>
        <v>0</v>
      </c>
      <c r="AJ157" s="85">
        <f t="shared" si="72"/>
        <v>0</v>
      </c>
      <c r="AK157" s="76">
        <f t="shared" si="73"/>
        <v>0.159953176922805</v>
      </c>
      <c r="AL157" s="76">
        <f t="shared" si="74"/>
        <v>-0.131322666760336</v>
      </c>
    </row>
    <row r="158" spans="1:38">
      <c r="A158" s="17">
        <v>155</v>
      </c>
      <c r="B158" s="94" t="s">
        <v>366</v>
      </c>
      <c r="C158" s="102" t="s">
        <v>367</v>
      </c>
      <c r="D158" s="108" t="s">
        <v>357</v>
      </c>
      <c r="E158" s="109"/>
      <c r="F158" s="110">
        <v>0.00306</v>
      </c>
      <c r="G158" s="111">
        <v>19</v>
      </c>
      <c r="H158" s="112">
        <v>0.97</v>
      </c>
      <c r="I158" s="111">
        <f t="shared" si="85"/>
        <v>0.0599381443298969</v>
      </c>
      <c r="J158" s="133" t="s">
        <v>368</v>
      </c>
      <c r="K158" s="134">
        <f t="shared" si="83"/>
        <v>80</v>
      </c>
      <c r="L158" s="134">
        <v>45</v>
      </c>
      <c r="M158" s="135">
        <v>2</v>
      </c>
      <c r="N158" s="133">
        <v>34</v>
      </c>
      <c r="O158" s="133">
        <v>0.76</v>
      </c>
      <c r="P158" s="133">
        <v>22.5</v>
      </c>
      <c r="Q158" s="111">
        <f t="shared" si="84"/>
        <v>0.140625</v>
      </c>
      <c r="R158" s="133">
        <v>0</v>
      </c>
      <c r="S158" s="146">
        <v>0.01</v>
      </c>
      <c r="T158" s="146">
        <v>0.00666666666666667</v>
      </c>
      <c r="U158" s="133">
        <v>0.3</v>
      </c>
      <c r="V158" s="100">
        <f t="shared" si="86"/>
        <v>0.618924256872852</v>
      </c>
      <c r="W158" s="20">
        <v>0.83</v>
      </c>
      <c r="X158" s="62">
        <f t="shared" si="75"/>
        <v>-0.211075743127148</v>
      </c>
      <c r="Y158" s="75">
        <f t="shared" si="76"/>
        <v>0.0107713772608467</v>
      </c>
      <c r="Z158" s="76">
        <f t="shared" si="77"/>
        <v>0.227208739095985</v>
      </c>
      <c r="AA158" s="22">
        <f t="shared" si="78"/>
        <v>0.08075</v>
      </c>
      <c r="AB158" s="76">
        <f t="shared" si="79"/>
        <v>0.130468307072005</v>
      </c>
      <c r="AC158" s="77">
        <f t="shared" si="80"/>
        <v>0.01615706589127</v>
      </c>
      <c r="AD158" s="77">
        <f t="shared" si="81"/>
        <v>0.484711976738101</v>
      </c>
      <c r="AE158" s="77">
        <f t="shared" si="82"/>
        <v>0.90315754526614</v>
      </c>
      <c r="AF158" s="78">
        <v>370</v>
      </c>
      <c r="AG158" s="171">
        <f t="shared" si="69"/>
        <v>0.722685637864456</v>
      </c>
      <c r="AH158" s="84">
        <f t="shared" si="70"/>
        <v>267.393686009849</v>
      </c>
      <c r="AI158" s="85">
        <f t="shared" si="71"/>
        <v>229.001975042955</v>
      </c>
      <c r="AJ158" s="85">
        <f t="shared" si="72"/>
        <v>307.1</v>
      </c>
      <c r="AK158" s="76">
        <f t="shared" si="73"/>
        <v>0.167647946965052</v>
      </c>
      <c r="AL158" s="76">
        <f t="shared" si="74"/>
        <v>-0.129294412211499</v>
      </c>
    </row>
    <row r="159" spans="1:38">
      <c r="A159" s="17">
        <v>156</v>
      </c>
      <c r="B159" s="94" t="s">
        <v>369</v>
      </c>
      <c r="C159" s="102" t="s">
        <v>370</v>
      </c>
      <c r="D159" s="98" t="s">
        <v>360</v>
      </c>
      <c r="E159" s="99"/>
      <c r="F159" s="99">
        <v>0.01663</v>
      </c>
      <c r="G159" s="100">
        <v>17.3</v>
      </c>
      <c r="H159" s="101">
        <v>0.96</v>
      </c>
      <c r="I159" s="136">
        <f t="shared" si="85"/>
        <v>0.299686458333333</v>
      </c>
      <c r="J159" s="131" t="s">
        <v>81</v>
      </c>
      <c r="K159" s="131">
        <v>60</v>
      </c>
      <c r="L159" s="110">
        <v>60</v>
      </c>
      <c r="M159" s="108">
        <v>1</v>
      </c>
      <c r="N159" s="110">
        <v>39.75</v>
      </c>
      <c r="O159" s="110">
        <v>0.76</v>
      </c>
      <c r="P159" s="110">
        <v>22.5</v>
      </c>
      <c r="Q159" s="111">
        <f t="shared" si="84"/>
        <v>0.375</v>
      </c>
      <c r="R159" s="100"/>
      <c r="S159" s="143"/>
      <c r="T159" s="100">
        <v>0.01</v>
      </c>
      <c r="U159" s="110"/>
      <c r="V159" s="100">
        <f t="shared" si="86"/>
        <v>1.03834446875</v>
      </c>
      <c r="W159" s="20">
        <v>1.35</v>
      </c>
      <c r="X159" s="62">
        <f t="shared" si="75"/>
        <v>-0.31165553125</v>
      </c>
      <c r="Y159" s="75">
        <f t="shared" si="76"/>
        <v>0.00963071533673059</v>
      </c>
      <c r="Z159" s="76">
        <f t="shared" si="77"/>
        <v>0.361151825127397</v>
      </c>
      <c r="AA159" s="22">
        <f t="shared" si="78"/>
        <v>0.25175</v>
      </c>
      <c r="AB159" s="76">
        <f t="shared" si="79"/>
        <v>0.242453258602193</v>
      </c>
      <c r="AC159" s="77">
        <f t="shared" si="80"/>
        <v>0</v>
      </c>
      <c r="AD159" s="77">
        <f t="shared" si="81"/>
        <v>0</v>
      </c>
      <c r="AE159" s="77">
        <f t="shared" si="82"/>
        <v>0.71138050295187</v>
      </c>
      <c r="AF159" s="78">
        <v>720</v>
      </c>
      <c r="AG159" s="171">
        <f t="shared" si="69"/>
        <v>1.36105316840278</v>
      </c>
      <c r="AH159" s="84">
        <f t="shared" si="70"/>
        <v>979.95828125</v>
      </c>
      <c r="AI159" s="85">
        <f t="shared" si="71"/>
        <v>747.6080175</v>
      </c>
      <c r="AJ159" s="85">
        <f t="shared" si="72"/>
        <v>972</v>
      </c>
      <c r="AK159" s="76">
        <f t="shared" si="73"/>
        <v>0.310791562304238</v>
      </c>
      <c r="AL159" s="76">
        <f t="shared" si="74"/>
        <v>0.00818753215020521</v>
      </c>
    </row>
    <row r="160" spans="1:38">
      <c r="A160" s="17">
        <v>157</v>
      </c>
      <c r="B160" s="106" t="s">
        <v>371</v>
      </c>
      <c r="C160" s="107" t="s">
        <v>372</v>
      </c>
      <c r="D160" s="108" t="s">
        <v>43</v>
      </c>
      <c r="E160" s="99"/>
      <c r="F160" s="99">
        <v>0.0252</v>
      </c>
      <c r="G160" s="100">
        <v>17.3</v>
      </c>
      <c r="H160" s="101">
        <v>0.96</v>
      </c>
      <c r="I160" s="100">
        <f t="shared" si="85"/>
        <v>0.454125</v>
      </c>
      <c r="J160" s="130" t="s">
        <v>65</v>
      </c>
      <c r="K160" s="110">
        <v>55</v>
      </c>
      <c r="L160" s="131">
        <f>3600/K160</f>
        <v>65.4545454545455</v>
      </c>
      <c r="M160" s="108">
        <v>2</v>
      </c>
      <c r="N160" s="110">
        <v>34</v>
      </c>
      <c r="O160" s="110">
        <v>0.76</v>
      </c>
      <c r="P160" s="110">
        <v>22.5</v>
      </c>
      <c r="Q160" s="100">
        <f t="shared" si="84"/>
        <v>0.204545454545455</v>
      </c>
      <c r="R160" s="143"/>
      <c r="S160" s="144">
        <v>0.27</v>
      </c>
      <c r="T160" s="144">
        <v>0.01</v>
      </c>
      <c r="U160" s="144"/>
      <c r="V160" s="100">
        <f t="shared" ref="V160:V169" si="87">(I160+Q160+(N160*O160/K160/M160)/2)*1.11+R160*1.03+S160+T160+U160</f>
        <v>1.14149875</v>
      </c>
      <c r="W160" s="20">
        <v>1.48</v>
      </c>
      <c r="X160" s="62">
        <f t="shared" si="75"/>
        <v>-0.33850125</v>
      </c>
      <c r="Y160" s="75">
        <f t="shared" si="76"/>
        <v>0.00876041257163006</v>
      </c>
      <c r="Z160" s="76">
        <f t="shared" si="77"/>
        <v>0.179190257146979</v>
      </c>
      <c r="AA160" s="22">
        <f t="shared" si="78"/>
        <v>0.117454545454545</v>
      </c>
      <c r="AB160" s="76">
        <f t="shared" si="79"/>
        <v>0.102895027659509</v>
      </c>
      <c r="AC160" s="77">
        <f t="shared" si="80"/>
        <v>0.236531139434012</v>
      </c>
      <c r="AD160" s="77">
        <f t="shared" si="81"/>
        <v>0</v>
      </c>
      <c r="AE160" s="77">
        <f t="shared" si="82"/>
        <v>0.60216776409085</v>
      </c>
      <c r="AF160" s="78">
        <v>314</v>
      </c>
      <c r="AG160" s="171">
        <f t="shared" si="69"/>
        <v>1.41184895833333</v>
      </c>
      <c r="AH160" s="84">
        <f t="shared" si="70"/>
        <v>443.320572916667</v>
      </c>
      <c r="AI160" s="85">
        <f t="shared" si="71"/>
        <v>358.4306075</v>
      </c>
      <c r="AJ160" s="85">
        <f t="shared" si="72"/>
        <v>464.72</v>
      </c>
      <c r="AK160" s="76">
        <f t="shared" si="73"/>
        <v>0.236837936382615</v>
      </c>
      <c r="AL160" s="76">
        <f t="shared" si="74"/>
        <v>-0.0460480011261257</v>
      </c>
    </row>
    <row r="161" spans="1:38">
      <c r="A161" s="17">
        <v>158</v>
      </c>
      <c r="B161" s="106" t="s">
        <v>373</v>
      </c>
      <c r="C161" s="107" t="s">
        <v>374</v>
      </c>
      <c r="D161" s="108" t="s">
        <v>347</v>
      </c>
      <c r="E161" s="99"/>
      <c r="F161" s="99">
        <v>0.02</v>
      </c>
      <c r="G161" s="111">
        <v>17.4</v>
      </c>
      <c r="H161" s="101">
        <v>0.96</v>
      </c>
      <c r="I161" s="100">
        <f t="shared" si="85"/>
        <v>0.3625</v>
      </c>
      <c r="J161" s="130" t="s">
        <v>65</v>
      </c>
      <c r="K161" s="110">
        <v>65</v>
      </c>
      <c r="L161" s="131">
        <v>55</v>
      </c>
      <c r="M161" s="108">
        <v>2</v>
      </c>
      <c r="N161" s="110">
        <v>34</v>
      </c>
      <c r="O161" s="110">
        <v>0.76</v>
      </c>
      <c r="P161" s="110">
        <v>22.5</v>
      </c>
      <c r="Q161" s="100">
        <f t="shared" si="84"/>
        <v>0.173076923076923</v>
      </c>
      <c r="R161" s="143"/>
      <c r="S161" s="144">
        <f>0.1307/200</f>
        <v>0.0006535</v>
      </c>
      <c r="T161" s="144">
        <v>0.01</v>
      </c>
      <c r="U161" s="144"/>
      <c r="V161" s="100">
        <f t="shared" si="87"/>
        <v>0.715460807692308</v>
      </c>
      <c r="W161" s="20">
        <v>0.94</v>
      </c>
      <c r="X161" s="62">
        <f t="shared" si="75"/>
        <v>-0.224539192307692</v>
      </c>
      <c r="Y161" s="75">
        <f t="shared" si="76"/>
        <v>0.013977005997372</v>
      </c>
      <c r="Z161" s="76">
        <f t="shared" si="77"/>
        <v>0.241909719185285</v>
      </c>
      <c r="AA161" s="22">
        <f t="shared" si="78"/>
        <v>0.0993846153846154</v>
      </c>
      <c r="AB161" s="76">
        <f t="shared" si="79"/>
        <v>0.138909936527728</v>
      </c>
      <c r="AC161" s="77">
        <f t="shared" si="80"/>
        <v>0.00091339734192826</v>
      </c>
      <c r="AD161" s="77">
        <f t="shared" si="81"/>
        <v>0</v>
      </c>
      <c r="AE161" s="77">
        <f t="shared" si="82"/>
        <v>0.493333532595265</v>
      </c>
      <c r="AF161" s="78">
        <v>370</v>
      </c>
      <c r="AG161" s="171">
        <f t="shared" si="69"/>
        <v>0.936639076923077</v>
      </c>
      <c r="AH161" s="84">
        <f t="shared" si="70"/>
        <v>346.556458461538</v>
      </c>
      <c r="AI161" s="85">
        <f t="shared" si="71"/>
        <v>264.720498846154</v>
      </c>
      <c r="AJ161" s="85">
        <f t="shared" si="72"/>
        <v>347.8</v>
      </c>
      <c r="AK161" s="76">
        <f t="shared" si="73"/>
        <v>0.309140999552681</v>
      </c>
      <c r="AL161" s="76">
        <f t="shared" si="74"/>
        <v>-0.00357545008183314</v>
      </c>
    </row>
    <row r="162" spans="1:38">
      <c r="A162" s="17">
        <v>159</v>
      </c>
      <c r="B162" s="106" t="s">
        <v>375</v>
      </c>
      <c r="C162" s="107" t="s">
        <v>376</v>
      </c>
      <c r="D162" s="108" t="s">
        <v>350</v>
      </c>
      <c r="E162" s="99"/>
      <c r="F162" s="99">
        <v>0.017</v>
      </c>
      <c r="G162" s="100">
        <v>19</v>
      </c>
      <c r="H162" s="101">
        <v>0.96</v>
      </c>
      <c r="I162" s="100">
        <f t="shared" si="85"/>
        <v>0.336458333333333</v>
      </c>
      <c r="J162" s="130" t="s">
        <v>65</v>
      </c>
      <c r="K162" s="110">
        <v>65</v>
      </c>
      <c r="L162" s="131">
        <v>55</v>
      </c>
      <c r="M162" s="108">
        <v>2</v>
      </c>
      <c r="N162" s="110">
        <v>34</v>
      </c>
      <c r="O162" s="110">
        <v>0.76</v>
      </c>
      <c r="P162" s="110">
        <v>22.5</v>
      </c>
      <c r="Q162" s="100">
        <f t="shared" si="84"/>
        <v>0.173076923076923</v>
      </c>
      <c r="R162" s="143"/>
      <c r="S162" s="144">
        <f>0.1307/200</f>
        <v>0.0006535</v>
      </c>
      <c r="T162" s="144">
        <v>0.01</v>
      </c>
      <c r="U162" s="144">
        <v>0.5</v>
      </c>
      <c r="V162" s="100">
        <f t="shared" si="87"/>
        <v>1.18655455769231</v>
      </c>
      <c r="W162" s="20">
        <v>1.55</v>
      </c>
      <c r="X162" s="62">
        <f t="shared" si="75"/>
        <v>-0.36344544230769</v>
      </c>
      <c r="Y162" s="75">
        <f t="shared" si="76"/>
        <v>0.00842776249534506</v>
      </c>
      <c r="Z162" s="76">
        <f t="shared" si="77"/>
        <v>0.145865120111741</v>
      </c>
      <c r="AA162" s="22">
        <f t="shared" si="78"/>
        <v>0.0993846153846154</v>
      </c>
      <c r="AB162" s="76">
        <f t="shared" si="79"/>
        <v>0.0837589934152756</v>
      </c>
      <c r="AC162" s="77">
        <f t="shared" si="80"/>
        <v>0.0005507542790708</v>
      </c>
      <c r="AD162" s="77">
        <f t="shared" si="81"/>
        <v>0.421388124767253</v>
      </c>
      <c r="AE162" s="77">
        <f t="shared" si="82"/>
        <v>0.716440907708703</v>
      </c>
      <c r="AF162" s="78">
        <v>400</v>
      </c>
      <c r="AG162" s="171">
        <f t="shared" si="69"/>
        <v>1.39866164636752</v>
      </c>
      <c r="AH162" s="84">
        <f t="shared" si="70"/>
        <v>559.464658547008</v>
      </c>
      <c r="AI162" s="85">
        <f t="shared" si="71"/>
        <v>474.621823076924</v>
      </c>
      <c r="AJ162" s="85">
        <f t="shared" si="72"/>
        <v>620</v>
      </c>
      <c r="AK162" s="76">
        <f t="shared" si="73"/>
        <v>0.178758816693377</v>
      </c>
      <c r="AL162" s="76">
        <f t="shared" si="74"/>
        <v>-0.0976376475048255</v>
      </c>
    </row>
    <row r="163" spans="1:38">
      <c r="A163" s="17">
        <v>160</v>
      </c>
      <c r="B163" s="106" t="s">
        <v>377</v>
      </c>
      <c r="C163" s="107" t="s">
        <v>378</v>
      </c>
      <c r="D163" s="108" t="s">
        <v>347</v>
      </c>
      <c r="E163" s="99"/>
      <c r="F163" s="99">
        <v>0.076</v>
      </c>
      <c r="G163" s="111">
        <v>17.4</v>
      </c>
      <c r="H163" s="101">
        <v>0.96</v>
      </c>
      <c r="I163" s="100">
        <f t="shared" si="85"/>
        <v>1.3775</v>
      </c>
      <c r="J163" s="130" t="s">
        <v>65</v>
      </c>
      <c r="K163" s="110">
        <v>65</v>
      </c>
      <c r="L163" s="131">
        <f>3600/K163</f>
        <v>55.3846153846154</v>
      </c>
      <c r="M163" s="108">
        <v>2</v>
      </c>
      <c r="N163" s="110">
        <v>34</v>
      </c>
      <c r="O163" s="110">
        <v>0.76</v>
      </c>
      <c r="P163" s="110">
        <v>22.5</v>
      </c>
      <c r="Q163" s="100">
        <f t="shared" si="84"/>
        <v>0.173076923076923</v>
      </c>
      <c r="R163" s="143"/>
      <c r="S163" s="144">
        <f>0.0131+0.1307/100</f>
        <v>0.014407</v>
      </c>
      <c r="T163" s="144">
        <v>0.01</v>
      </c>
      <c r="U163" s="144">
        <v>0.5</v>
      </c>
      <c r="V163" s="100">
        <f t="shared" si="87"/>
        <v>2.35586430769231</v>
      </c>
      <c r="W163" s="20">
        <v>3.07</v>
      </c>
      <c r="X163" s="62">
        <f t="shared" si="75"/>
        <v>-0.71413569230769</v>
      </c>
      <c r="Y163" s="75">
        <f t="shared" si="76"/>
        <v>0.00424472664548134</v>
      </c>
      <c r="Z163" s="76">
        <f t="shared" si="77"/>
        <v>0.0734664227102539</v>
      </c>
      <c r="AA163" s="22">
        <f t="shared" si="78"/>
        <v>0.0993846153846154</v>
      </c>
      <c r="AB163" s="76">
        <f t="shared" si="79"/>
        <v>0.0421860525073992</v>
      </c>
      <c r="AC163" s="77">
        <f t="shared" si="80"/>
        <v>0.00611537767814497</v>
      </c>
      <c r="AD163" s="77">
        <f t="shared" si="81"/>
        <v>0.212236332274067</v>
      </c>
      <c r="AE163" s="77">
        <f t="shared" si="82"/>
        <v>0.415288904584945</v>
      </c>
      <c r="AF163" s="78">
        <v>320</v>
      </c>
      <c r="AG163" s="171">
        <f t="shared" si="69"/>
        <v>2.93060091025641</v>
      </c>
      <c r="AH163" s="84">
        <f t="shared" si="70"/>
        <v>937.792291282051</v>
      </c>
      <c r="AI163" s="85">
        <f t="shared" si="71"/>
        <v>753.876578461539</v>
      </c>
      <c r="AJ163" s="85">
        <f t="shared" si="72"/>
        <v>982.4</v>
      </c>
      <c r="AK163" s="76">
        <f t="shared" si="73"/>
        <v>0.243959977103725</v>
      </c>
      <c r="AL163" s="76">
        <f t="shared" si="74"/>
        <v>-0.0454068696233194</v>
      </c>
    </row>
    <row r="164" spans="1:38">
      <c r="A164" s="17">
        <v>161</v>
      </c>
      <c r="B164" s="106" t="s">
        <v>379</v>
      </c>
      <c r="C164" s="107" t="s">
        <v>380</v>
      </c>
      <c r="D164" s="108" t="s">
        <v>381</v>
      </c>
      <c r="E164" s="99"/>
      <c r="F164" s="99">
        <v>0.006</v>
      </c>
      <c r="G164" s="100">
        <v>17.3</v>
      </c>
      <c r="H164" s="101">
        <v>0.96</v>
      </c>
      <c r="I164" s="100">
        <f t="shared" si="85"/>
        <v>0.108125</v>
      </c>
      <c r="J164" s="130" t="s">
        <v>120</v>
      </c>
      <c r="K164" s="110">
        <v>72</v>
      </c>
      <c r="L164" s="131">
        <v>50</v>
      </c>
      <c r="M164" s="108">
        <v>2</v>
      </c>
      <c r="N164" s="110">
        <v>32.75</v>
      </c>
      <c r="O164" s="110">
        <v>0.76</v>
      </c>
      <c r="P164" s="110">
        <v>22.5</v>
      </c>
      <c r="Q164" s="100">
        <f t="shared" si="84"/>
        <v>0.15625</v>
      </c>
      <c r="R164" s="143"/>
      <c r="S164" s="144">
        <v>0.001</v>
      </c>
      <c r="T164" s="144">
        <v>0.001</v>
      </c>
      <c r="U164" s="144"/>
      <c r="V164" s="100">
        <f t="shared" si="87"/>
        <v>0.391386458333333</v>
      </c>
      <c r="W164" s="20">
        <v>1</v>
      </c>
      <c r="X164" s="62">
        <f t="shared" si="75"/>
        <v>-0.608613541666667</v>
      </c>
      <c r="Y164" s="75">
        <f t="shared" si="76"/>
        <v>0.00255501941548608</v>
      </c>
      <c r="Z164" s="76">
        <f t="shared" si="77"/>
        <v>0.3992217836697</v>
      </c>
      <c r="AA164" s="22">
        <f t="shared" si="78"/>
        <v>0.0864236111111111</v>
      </c>
      <c r="AB164" s="76">
        <f t="shared" si="79"/>
        <v>0.220814004345308</v>
      </c>
      <c r="AC164" s="77">
        <f t="shared" si="80"/>
        <v>0.00255501941548608</v>
      </c>
      <c r="AD164" s="77">
        <f t="shared" si="81"/>
        <v>0</v>
      </c>
      <c r="AE164" s="77">
        <f t="shared" si="82"/>
        <v>0.723738525700568</v>
      </c>
      <c r="AF164" s="78">
        <v>17359</v>
      </c>
      <c r="AG164" s="171">
        <f t="shared" si="69"/>
        <v>0.51358130787037</v>
      </c>
      <c r="AH164" s="84">
        <f t="shared" si="70"/>
        <v>8915.25792332176</v>
      </c>
      <c r="AI164" s="85">
        <f t="shared" si="71"/>
        <v>6794.07753020833</v>
      </c>
      <c r="AJ164" s="85">
        <f t="shared" si="72"/>
        <v>17359</v>
      </c>
      <c r="AK164" s="76">
        <f t="shared" si="73"/>
        <v>0.312210213039531</v>
      </c>
      <c r="AL164" s="76">
        <f t="shared" si="74"/>
        <v>-0.48641869212963</v>
      </c>
    </row>
    <row r="165" spans="1:38">
      <c r="A165" s="17">
        <v>162</v>
      </c>
      <c r="B165" s="106" t="s">
        <v>382</v>
      </c>
      <c r="C165" s="107" t="s">
        <v>383</v>
      </c>
      <c r="D165" s="108" t="s">
        <v>381</v>
      </c>
      <c r="E165" s="99"/>
      <c r="F165" s="99">
        <v>0.0238</v>
      </c>
      <c r="G165" s="100">
        <v>17.3</v>
      </c>
      <c r="H165" s="101">
        <v>0.96</v>
      </c>
      <c r="I165" s="100">
        <f t="shared" si="85"/>
        <v>0.428895833333333</v>
      </c>
      <c r="J165" s="130" t="s">
        <v>384</v>
      </c>
      <c r="K165" s="110">
        <v>65</v>
      </c>
      <c r="L165" s="131">
        <v>55</v>
      </c>
      <c r="M165" s="108">
        <v>2</v>
      </c>
      <c r="N165" s="110">
        <v>32.75</v>
      </c>
      <c r="O165" s="110">
        <v>0.76</v>
      </c>
      <c r="P165" s="110">
        <v>22.5</v>
      </c>
      <c r="Q165" s="100">
        <f t="shared" si="84"/>
        <v>0.173076923076923</v>
      </c>
      <c r="R165" s="143"/>
      <c r="S165" s="144">
        <v>0.001</v>
      </c>
      <c r="T165" s="144">
        <v>0.01</v>
      </c>
      <c r="U165" s="144"/>
      <c r="V165" s="100">
        <f t="shared" si="87"/>
        <v>0.785450913461539</v>
      </c>
      <c r="W165" s="20">
        <v>1.26</v>
      </c>
      <c r="X165" s="62">
        <f t="shared" si="75"/>
        <v>-0.474549086538461</v>
      </c>
      <c r="Y165" s="75">
        <f t="shared" si="76"/>
        <v>0.0127315403529538</v>
      </c>
      <c r="Z165" s="76">
        <f t="shared" si="77"/>
        <v>0.220353583031892</v>
      </c>
      <c r="AA165" s="22">
        <f t="shared" si="78"/>
        <v>0.0957307692307692</v>
      </c>
      <c r="AB165" s="76">
        <f t="shared" si="79"/>
        <v>0.121880015148085</v>
      </c>
      <c r="AC165" s="77">
        <f t="shared" si="80"/>
        <v>0.00127315403529538</v>
      </c>
      <c r="AD165" s="77">
        <f t="shared" si="81"/>
        <v>0</v>
      </c>
      <c r="AE165" s="77">
        <f t="shared" si="82"/>
        <v>0.453949539070293</v>
      </c>
      <c r="AF165" s="78">
        <v>54840</v>
      </c>
      <c r="AG165" s="171">
        <f t="shared" si="69"/>
        <v>1.02848430822649</v>
      </c>
      <c r="AH165" s="84">
        <f t="shared" si="70"/>
        <v>56402.079463141</v>
      </c>
      <c r="AI165" s="85">
        <f t="shared" si="71"/>
        <v>43074.1280942308</v>
      </c>
      <c r="AJ165" s="85">
        <f t="shared" si="72"/>
        <v>69098.4</v>
      </c>
      <c r="AK165" s="76">
        <f t="shared" si="73"/>
        <v>0.309418947256538</v>
      </c>
      <c r="AL165" s="76">
        <f t="shared" si="74"/>
        <v>-0.183742612518655</v>
      </c>
    </row>
    <row r="166" spans="1:38">
      <c r="A166" s="17">
        <v>163</v>
      </c>
      <c r="B166" s="94" t="s">
        <v>385</v>
      </c>
      <c r="C166" s="102" t="s">
        <v>386</v>
      </c>
      <c r="D166" s="98" t="s">
        <v>387</v>
      </c>
      <c r="E166" s="99"/>
      <c r="F166" s="99">
        <v>0.0033</v>
      </c>
      <c r="G166" s="113">
        <v>24</v>
      </c>
      <c r="H166" s="105">
        <v>0.98</v>
      </c>
      <c r="I166" s="100">
        <f t="shared" si="85"/>
        <v>0.0808163265306122</v>
      </c>
      <c r="J166" s="130" t="s">
        <v>44</v>
      </c>
      <c r="K166" s="131">
        <v>65</v>
      </c>
      <c r="L166" s="131">
        <v>55</v>
      </c>
      <c r="M166" s="132">
        <v>3</v>
      </c>
      <c r="N166" s="110">
        <v>27.15</v>
      </c>
      <c r="O166" s="110">
        <v>0.76</v>
      </c>
      <c r="P166" s="110">
        <v>22.5</v>
      </c>
      <c r="Q166" s="100">
        <f t="shared" si="84"/>
        <v>0.115384615384615</v>
      </c>
      <c r="R166" s="145"/>
      <c r="S166" s="144">
        <f>0.0291/300+8.4124/1800</f>
        <v>0.00477055555555556</v>
      </c>
      <c r="T166" s="144">
        <v>0.0111111111111111</v>
      </c>
      <c r="U166" s="144">
        <v>0.2</v>
      </c>
      <c r="V166" s="100">
        <f t="shared" si="87"/>
        <v>0.492392250654108</v>
      </c>
      <c r="W166" s="20">
        <v>0.47</v>
      </c>
      <c r="X166" s="62">
        <f t="shared" si="75"/>
        <v>0.022392250654108</v>
      </c>
      <c r="Y166" s="75">
        <f t="shared" si="76"/>
        <v>0.0225655686017617</v>
      </c>
      <c r="Z166" s="76">
        <f t="shared" si="77"/>
        <v>0.234334750864448</v>
      </c>
      <c r="AA166" s="22">
        <f t="shared" si="78"/>
        <v>0.0529076923076923</v>
      </c>
      <c r="AB166" s="76">
        <f t="shared" si="79"/>
        <v>0.107450294429712</v>
      </c>
      <c r="AC166" s="77">
        <f t="shared" si="80"/>
        <v>0.00968852687916639</v>
      </c>
      <c r="AD166" s="77">
        <f t="shared" si="81"/>
        <v>0.40618023483171</v>
      </c>
      <c r="AE166" s="77">
        <f t="shared" si="82"/>
        <v>0.835870027557799</v>
      </c>
      <c r="AF166" s="78">
        <v>14695</v>
      </c>
      <c r="AG166" s="171">
        <f t="shared" si="69"/>
        <v>0.57175114412798</v>
      </c>
      <c r="AH166" s="84">
        <f t="shared" si="70"/>
        <v>8401.88306296067</v>
      </c>
      <c r="AI166" s="85">
        <f t="shared" si="71"/>
        <v>7235.70412336212</v>
      </c>
      <c r="AJ166" s="85">
        <f t="shared" si="72"/>
        <v>6906.65</v>
      </c>
      <c r="AK166" s="76">
        <f t="shared" si="73"/>
        <v>0.161170069936011</v>
      </c>
      <c r="AL166" s="76">
        <f t="shared" si="74"/>
        <v>0.21649179601698</v>
      </c>
    </row>
    <row r="167" spans="1:38">
      <c r="A167" s="17">
        <v>164</v>
      </c>
      <c r="B167" s="94" t="s">
        <v>388</v>
      </c>
      <c r="C167" s="102" t="s">
        <v>386</v>
      </c>
      <c r="D167" s="98" t="s">
        <v>387</v>
      </c>
      <c r="E167" s="99"/>
      <c r="F167" s="99">
        <v>0.0033</v>
      </c>
      <c r="G167" s="113">
        <v>24</v>
      </c>
      <c r="H167" s="105">
        <v>0.98</v>
      </c>
      <c r="I167" s="100">
        <f t="shared" si="85"/>
        <v>0.0808163265306122</v>
      </c>
      <c r="J167" s="130" t="s">
        <v>44</v>
      </c>
      <c r="K167" s="131">
        <v>65</v>
      </c>
      <c r="L167" s="131">
        <v>55</v>
      </c>
      <c r="M167" s="132">
        <v>3</v>
      </c>
      <c r="N167" s="110">
        <v>27.15</v>
      </c>
      <c r="O167" s="110">
        <v>0.76</v>
      </c>
      <c r="P167" s="110">
        <v>22.5</v>
      </c>
      <c r="Q167" s="100">
        <f t="shared" si="84"/>
        <v>0.115384615384615</v>
      </c>
      <c r="R167" s="145"/>
      <c r="S167" s="144">
        <f>0.0291/300+8.4124/1800</f>
        <v>0.00477055555555556</v>
      </c>
      <c r="T167" s="144">
        <v>0.0111111111111111</v>
      </c>
      <c r="U167" s="144">
        <v>0.2</v>
      </c>
      <c r="V167" s="100">
        <f t="shared" si="87"/>
        <v>0.492392250654108</v>
      </c>
      <c r="W167" s="20">
        <v>0.47</v>
      </c>
      <c r="X167" s="62">
        <f t="shared" si="75"/>
        <v>0.022392250654108</v>
      </c>
      <c r="Y167" s="75">
        <f t="shared" si="76"/>
        <v>0.0225655686017617</v>
      </c>
      <c r="Z167" s="76">
        <f t="shared" si="77"/>
        <v>0.234334750864448</v>
      </c>
      <c r="AA167" s="22">
        <f t="shared" si="78"/>
        <v>0.0529076923076923</v>
      </c>
      <c r="AB167" s="76">
        <f t="shared" si="79"/>
        <v>0.107450294429712</v>
      </c>
      <c r="AC167" s="77">
        <f t="shared" si="80"/>
        <v>0.00968852687916639</v>
      </c>
      <c r="AD167" s="77">
        <f t="shared" si="81"/>
        <v>0.40618023483171</v>
      </c>
      <c r="AE167" s="77">
        <f t="shared" si="82"/>
        <v>0.835870027557799</v>
      </c>
      <c r="AF167" s="78">
        <v>14699</v>
      </c>
      <c r="AG167" s="171">
        <f t="shared" si="69"/>
        <v>0.57175114412798</v>
      </c>
      <c r="AH167" s="84">
        <f t="shared" si="70"/>
        <v>8404.17006753718</v>
      </c>
      <c r="AI167" s="85">
        <f t="shared" si="71"/>
        <v>7237.67369236473</v>
      </c>
      <c r="AJ167" s="85">
        <f t="shared" si="72"/>
        <v>6908.53</v>
      </c>
      <c r="AK167" s="76">
        <f t="shared" si="73"/>
        <v>0.161170069936011</v>
      </c>
      <c r="AL167" s="76">
        <f t="shared" si="74"/>
        <v>0.21649179601698</v>
      </c>
    </row>
    <row r="168" spans="1:38">
      <c r="A168" s="17">
        <v>165</v>
      </c>
      <c r="B168" s="114" t="s">
        <v>389</v>
      </c>
      <c r="C168" s="115" t="s">
        <v>390</v>
      </c>
      <c r="D168" s="108" t="s">
        <v>391</v>
      </c>
      <c r="E168" s="99"/>
      <c r="F168" s="99">
        <v>0.004</v>
      </c>
      <c r="G168" s="99">
        <f>40/1.13</f>
        <v>35.3982300884956</v>
      </c>
      <c r="H168" s="101">
        <v>0.98</v>
      </c>
      <c r="I168" s="100">
        <f t="shared" si="85"/>
        <v>0.144482571789778</v>
      </c>
      <c r="J168" s="130" t="s">
        <v>47</v>
      </c>
      <c r="K168" s="110">
        <v>72</v>
      </c>
      <c r="L168" s="131">
        <v>50</v>
      </c>
      <c r="M168" s="108">
        <v>4</v>
      </c>
      <c r="N168" s="110">
        <v>27.5</v>
      </c>
      <c r="O168" s="110">
        <v>0.76</v>
      </c>
      <c r="P168" s="110">
        <v>22.5</v>
      </c>
      <c r="Q168" s="100">
        <f t="shared" si="84"/>
        <v>0.078125</v>
      </c>
      <c r="R168" s="143"/>
      <c r="S168" s="144">
        <v>0.01</v>
      </c>
      <c r="T168" s="144">
        <v>0.02</v>
      </c>
      <c r="U168" s="144"/>
      <c r="V168" s="100">
        <f t="shared" si="87"/>
        <v>0.31737044635332</v>
      </c>
      <c r="W168" s="20">
        <v>0.9</v>
      </c>
      <c r="X168" s="62">
        <f t="shared" si="75"/>
        <v>-0.58262955364668</v>
      </c>
      <c r="Y168" s="75">
        <f t="shared" si="76"/>
        <v>0.0630178399715723</v>
      </c>
      <c r="Z168" s="76">
        <f t="shared" si="77"/>
        <v>0.246163437388954</v>
      </c>
      <c r="AA168" s="22">
        <f t="shared" si="78"/>
        <v>0.0362847222222222</v>
      </c>
      <c r="AB168" s="76">
        <f t="shared" si="79"/>
        <v>0.114329240920648</v>
      </c>
      <c r="AC168" s="77">
        <f t="shared" si="80"/>
        <v>0.0315089199857862</v>
      </c>
      <c r="AD168" s="77">
        <f t="shared" si="81"/>
        <v>0</v>
      </c>
      <c r="AE168" s="77">
        <f t="shared" si="82"/>
        <v>0.544751020613528</v>
      </c>
      <c r="AF168" s="78">
        <v>19300</v>
      </c>
      <c r="AG168" s="171">
        <f t="shared" si="69"/>
        <v>0.399846134302857</v>
      </c>
      <c r="AH168" s="84">
        <f t="shared" si="70"/>
        <v>7717.03039204515</v>
      </c>
      <c r="AI168" s="85">
        <f t="shared" si="71"/>
        <v>6125.24961461908</v>
      </c>
      <c r="AJ168" s="85">
        <f t="shared" si="72"/>
        <v>17370</v>
      </c>
      <c r="AK168" s="76">
        <f t="shared" si="73"/>
        <v>0.259871985237464</v>
      </c>
      <c r="AL168" s="76">
        <f t="shared" si="74"/>
        <v>-0.55572651744127</v>
      </c>
    </row>
    <row r="169" spans="1:38">
      <c r="A169" s="116">
        <v>166</v>
      </c>
      <c r="B169" s="117" t="s">
        <v>392</v>
      </c>
      <c r="C169" s="118" t="s">
        <v>393</v>
      </c>
      <c r="D169" s="119" t="s">
        <v>381</v>
      </c>
      <c r="E169" s="120"/>
      <c r="F169" s="120">
        <v>0.0013</v>
      </c>
      <c r="G169" s="121">
        <v>17.3</v>
      </c>
      <c r="H169" s="122">
        <v>0.98</v>
      </c>
      <c r="I169" s="121">
        <f t="shared" si="85"/>
        <v>0.0229489795918367</v>
      </c>
      <c r="J169" s="137" t="s">
        <v>394</v>
      </c>
      <c r="K169" s="138">
        <v>51</v>
      </c>
      <c r="L169" s="139">
        <v>70</v>
      </c>
      <c r="M169" s="119">
        <v>4</v>
      </c>
      <c r="N169" s="138">
        <v>27.5</v>
      </c>
      <c r="O169" s="138">
        <v>0.76</v>
      </c>
      <c r="P169" s="138">
        <v>22.5</v>
      </c>
      <c r="Q169" s="121">
        <f t="shared" si="84"/>
        <v>0.110294117647059</v>
      </c>
      <c r="R169" s="147"/>
      <c r="S169" s="148">
        <v>0.00715583333333333</v>
      </c>
      <c r="T169" s="148">
        <v>0.0166666666666667</v>
      </c>
      <c r="U169" s="148"/>
      <c r="V169" s="121">
        <f t="shared" si="87"/>
        <v>0.228582632052821</v>
      </c>
      <c r="W169" s="149">
        <v>0.5</v>
      </c>
      <c r="X169" s="150">
        <f t="shared" si="75"/>
        <v>-0.271417367947179</v>
      </c>
      <c r="Y169" s="151">
        <f t="shared" si="76"/>
        <v>0.0729130928145729</v>
      </c>
      <c r="Z169" s="152">
        <f t="shared" si="77"/>
        <v>0.482513114214085</v>
      </c>
      <c r="AA169" s="153">
        <f t="shared" si="78"/>
        <v>0.0512254901960784</v>
      </c>
      <c r="AB169" s="152">
        <f t="shared" si="79"/>
        <v>0.224100535268319</v>
      </c>
      <c r="AC169" s="154">
        <f t="shared" si="80"/>
        <v>0.0313052363999368</v>
      </c>
      <c r="AD169" s="154">
        <f t="shared" si="81"/>
        <v>0</v>
      </c>
      <c r="AE169" s="154">
        <f t="shared" si="82"/>
        <v>0.89960313526124</v>
      </c>
      <c r="AF169" s="155">
        <v>19364</v>
      </c>
      <c r="AG169" s="171">
        <f t="shared" si="69"/>
        <v>0.287349053478535</v>
      </c>
      <c r="AH169" s="172">
        <f t="shared" si="70"/>
        <v>5564.22707155834</v>
      </c>
      <c r="AI169" s="160">
        <f t="shared" si="71"/>
        <v>4426.27408707083</v>
      </c>
      <c r="AJ169" s="160">
        <f t="shared" si="72"/>
        <v>9682</v>
      </c>
      <c r="AK169" s="152">
        <f t="shared" si="73"/>
        <v>0.257090492387601</v>
      </c>
      <c r="AL169" s="152">
        <f t="shared" si="74"/>
        <v>-0.425301893042931</v>
      </c>
    </row>
    <row r="170" spans="1:38">
      <c r="A170" s="20"/>
      <c r="B170" s="17"/>
      <c r="C170" s="91"/>
      <c r="D170" s="20"/>
      <c r="E170" s="55"/>
      <c r="F170" s="55"/>
      <c r="G170" s="21"/>
      <c r="H170" s="56"/>
      <c r="I170" s="31"/>
      <c r="J170" s="20"/>
      <c r="K170" s="21"/>
      <c r="L170" s="20"/>
      <c r="M170" s="20"/>
      <c r="N170" s="20"/>
      <c r="O170" s="20"/>
      <c r="P170" s="20"/>
      <c r="Q170" s="20"/>
      <c r="R170" s="21"/>
      <c r="S170" s="31"/>
      <c r="T170" s="31"/>
      <c r="U170" s="20"/>
      <c r="V170" s="20"/>
      <c r="W170" s="20"/>
      <c r="X170" s="20"/>
      <c r="Y170" s="156">
        <v>0.065</v>
      </c>
      <c r="Z170" s="157">
        <v>0.26</v>
      </c>
      <c r="AA170" s="21">
        <v>0.142</v>
      </c>
      <c r="AB170" s="158">
        <v>0.15</v>
      </c>
      <c r="AC170" s="158">
        <v>0.031</v>
      </c>
      <c r="AD170" s="158">
        <v>0.082</v>
      </c>
      <c r="AE170" s="158">
        <v>0.72</v>
      </c>
      <c r="AF170" s="39"/>
      <c r="AG170" s="41"/>
      <c r="AH170" s="161">
        <f>SUM(AH5:AH169)</f>
        <v>5077249.68802911</v>
      </c>
      <c r="AI170" s="161">
        <f>SUM(AI5:AI169)</f>
        <v>4193648.84363952</v>
      </c>
      <c r="AJ170" s="161">
        <f>SUM(AJ5:AJ169)</f>
        <v>5193715.76</v>
      </c>
      <c r="AK170" s="39"/>
      <c r="AL170" s="20"/>
    </row>
    <row r="172" spans="34:35">
      <c r="AH172" s="47">
        <f>AH170-AJ170</f>
        <v>-116466.07197089</v>
      </c>
      <c r="AI172" s="24"/>
    </row>
    <row r="173" spans="34:35">
      <c r="AH173" s="162">
        <f>AH172/AJ170</f>
        <v>-0.0224244216188855</v>
      </c>
      <c r="AI173" s="49"/>
    </row>
    <row r="174" s="43" customFormat="1" ht="17.5" spans="2:37">
      <c r="B174" s="64" t="s">
        <v>395</v>
      </c>
      <c r="C174" s="123" t="s">
        <v>396</v>
      </c>
      <c r="D174" s="43"/>
      <c r="E174" s="124"/>
      <c r="F174" s="124"/>
      <c r="G174" s="125"/>
      <c r="H174" s="126"/>
      <c r="I174" s="140"/>
      <c r="J174" s="43"/>
      <c r="K174" s="125"/>
      <c r="L174" s="43"/>
      <c r="M174" s="43"/>
      <c r="N174" s="43"/>
      <c r="O174" s="43"/>
      <c r="P174" s="43"/>
      <c r="Q174" s="43"/>
      <c r="R174" s="125"/>
      <c r="S174" s="140"/>
      <c r="T174" s="140"/>
      <c r="U174" s="43"/>
      <c r="V174" s="43"/>
      <c r="W174" s="43"/>
      <c r="X174" s="43"/>
      <c r="Y174" s="43"/>
      <c r="Z174" s="43"/>
      <c r="AA174" s="125"/>
      <c r="AB174" s="43"/>
      <c r="AC174" s="43"/>
      <c r="AD174" s="43"/>
      <c r="AE174" s="43"/>
      <c r="AF174" s="159"/>
      <c r="AG174" s="173"/>
      <c r="AH174" s="164"/>
      <c r="AI174" s="165"/>
      <c r="AJ174" s="165"/>
      <c r="AK174" s="159"/>
    </row>
    <row r="175" s="43" customFormat="1" ht="17.5" spans="2:37">
      <c r="B175" s="64"/>
      <c r="C175" s="123" t="s">
        <v>397</v>
      </c>
      <c r="D175" s="43"/>
      <c r="E175" s="124"/>
      <c r="F175" s="124"/>
      <c r="G175" s="125"/>
      <c r="H175" s="126"/>
      <c r="I175" s="140"/>
      <c r="J175" s="43"/>
      <c r="K175" s="125"/>
      <c r="L175" s="43"/>
      <c r="M175" s="43"/>
      <c r="N175" s="43"/>
      <c r="O175" s="43"/>
      <c r="P175" s="43"/>
      <c r="Q175" s="43"/>
      <c r="R175" s="125"/>
      <c r="S175" s="140"/>
      <c r="T175" s="140"/>
      <c r="U175" s="43"/>
      <c r="V175" s="43"/>
      <c r="W175" s="43"/>
      <c r="X175" s="43"/>
      <c r="Y175" s="43"/>
      <c r="Z175" s="43"/>
      <c r="AA175" s="125"/>
      <c r="AB175" s="43"/>
      <c r="AC175" s="43"/>
      <c r="AD175" s="43"/>
      <c r="AE175" s="43"/>
      <c r="AF175" s="159"/>
      <c r="AG175" s="173"/>
      <c r="AH175" s="164"/>
      <c r="AI175" s="165"/>
      <c r="AJ175" s="165"/>
      <c r="AK175" s="159"/>
    </row>
    <row r="176" s="43" customFormat="1" ht="17.5" spans="2:37">
      <c r="B176" s="64"/>
      <c r="C176" s="123" t="s">
        <v>398</v>
      </c>
      <c r="D176" s="43"/>
      <c r="E176" s="124"/>
      <c r="F176" s="124"/>
      <c r="G176" s="125"/>
      <c r="H176" s="126"/>
      <c r="I176" s="140"/>
      <c r="J176" s="43"/>
      <c r="K176" s="125"/>
      <c r="L176" s="43"/>
      <c r="M176" s="43"/>
      <c r="N176" s="43"/>
      <c r="O176" s="43"/>
      <c r="P176" s="43"/>
      <c r="Q176" s="43"/>
      <c r="R176" s="125"/>
      <c r="S176" s="140"/>
      <c r="T176" s="140"/>
      <c r="U176" s="43"/>
      <c r="V176" s="43"/>
      <c r="W176" s="43"/>
      <c r="X176" s="43"/>
      <c r="Y176" s="43"/>
      <c r="Z176" s="43"/>
      <c r="AA176" s="125"/>
      <c r="AB176" s="43"/>
      <c r="AC176" s="43"/>
      <c r="AD176" s="43"/>
      <c r="AE176" s="43"/>
      <c r="AF176" s="159"/>
      <c r="AG176" s="173"/>
      <c r="AH176" s="164"/>
      <c r="AI176" s="165"/>
      <c r="AJ176" s="165"/>
      <c r="AK176" s="159"/>
    </row>
    <row r="177" s="43" customFormat="1" ht="17.5" spans="2:37">
      <c r="B177" s="64"/>
      <c r="C177" s="123" t="s">
        <v>399</v>
      </c>
      <c r="D177" s="43"/>
      <c r="E177" s="124"/>
      <c r="F177" s="124"/>
      <c r="G177" s="125"/>
      <c r="H177" s="126"/>
      <c r="I177" s="140"/>
      <c r="J177" s="43"/>
      <c r="K177" s="125"/>
      <c r="L177" s="43"/>
      <c r="M177" s="43"/>
      <c r="N177" s="43"/>
      <c r="O177" s="43"/>
      <c r="P177" s="43"/>
      <c r="Q177" s="43"/>
      <c r="R177" s="125"/>
      <c r="S177" s="140"/>
      <c r="T177" s="140"/>
      <c r="U177" s="43"/>
      <c r="V177" s="43"/>
      <c r="W177" s="43"/>
      <c r="X177" s="43"/>
      <c r="Y177" s="43"/>
      <c r="Z177" s="43"/>
      <c r="AA177" s="125"/>
      <c r="AB177" s="43"/>
      <c r="AC177" s="43"/>
      <c r="AD177" s="43"/>
      <c r="AE177" s="43"/>
      <c r="AF177" s="159"/>
      <c r="AG177" s="173"/>
      <c r="AH177" s="164"/>
      <c r="AI177" s="165"/>
      <c r="AJ177" s="165"/>
      <c r="AK177" s="159"/>
    </row>
  </sheetData>
  <autoFilter xmlns:etc="http://www.wps.cn/officeDocument/2017/etCustomData" ref="A4:AL170" etc:filterBottomFollowUsedRange="0">
    <extLst/>
  </autoFilter>
  <mergeCells count="38">
    <mergeCell ref="A2:X2"/>
    <mergeCell ref="Y2:AE2"/>
    <mergeCell ref="AG2:AH2"/>
    <mergeCell ref="E3:F3"/>
    <mergeCell ref="AG3:AH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C3:AC4"/>
    <mergeCell ref="AD3:AD4"/>
    <mergeCell ref="AE3:AE4"/>
    <mergeCell ref="AF3:AF4"/>
    <mergeCell ref="AI3:AI4"/>
    <mergeCell ref="AJ3:AJ4"/>
    <mergeCell ref="AK3:AK4"/>
    <mergeCell ref="AL3:AL4"/>
    <mergeCell ref="AA3:AB4"/>
  </mergeCells>
  <conditionalFormatting sqref="B16">
    <cfRule type="duplicateValues" dxfId="0" priority="71"/>
  </conditionalFormatting>
  <conditionalFormatting sqref="B18">
    <cfRule type="duplicateValues" dxfId="0" priority="96"/>
  </conditionalFormatting>
  <conditionalFormatting sqref="B30">
    <cfRule type="duplicateValues" dxfId="0" priority="67"/>
  </conditionalFormatting>
  <conditionalFormatting sqref="B31">
    <cfRule type="duplicateValues" dxfId="0" priority="61"/>
  </conditionalFormatting>
  <conditionalFormatting sqref="B32">
    <cfRule type="duplicateValues" dxfId="0" priority="66"/>
  </conditionalFormatting>
  <conditionalFormatting sqref="B33">
    <cfRule type="duplicateValues" dxfId="0" priority="65"/>
  </conditionalFormatting>
  <conditionalFormatting sqref="B34">
    <cfRule type="duplicateValues" dxfId="0" priority="64"/>
  </conditionalFormatting>
  <conditionalFormatting sqref="B35">
    <cfRule type="duplicateValues" dxfId="0" priority="63"/>
  </conditionalFormatting>
  <conditionalFormatting sqref="B36">
    <cfRule type="duplicateValues" dxfId="0" priority="62"/>
  </conditionalFormatting>
  <conditionalFormatting sqref="B38">
    <cfRule type="duplicateValues" dxfId="0" priority="93"/>
  </conditionalFormatting>
  <conditionalFormatting sqref="B39">
    <cfRule type="duplicateValues" dxfId="0" priority="92"/>
  </conditionalFormatting>
  <conditionalFormatting sqref="B40">
    <cfRule type="duplicateValues" dxfId="0" priority="91"/>
  </conditionalFormatting>
  <conditionalFormatting sqref="B41">
    <cfRule type="duplicateValues" dxfId="0" priority="90"/>
  </conditionalFormatting>
  <conditionalFormatting sqref="B42">
    <cfRule type="duplicateValues" dxfId="0" priority="89"/>
  </conditionalFormatting>
  <conditionalFormatting sqref="B46">
    <cfRule type="duplicateValues" dxfId="0" priority="69"/>
  </conditionalFormatting>
  <conditionalFormatting sqref="B52">
    <cfRule type="duplicateValues" dxfId="0" priority="68"/>
  </conditionalFormatting>
  <conditionalFormatting sqref="B55">
    <cfRule type="duplicateValues" dxfId="0" priority="80"/>
  </conditionalFormatting>
  <conditionalFormatting sqref="B57">
    <cfRule type="duplicateValues" dxfId="0" priority="79"/>
  </conditionalFormatting>
  <conditionalFormatting sqref="B58">
    <cfRule type="duplicateValues" dxfId="0" priority="85"/>
  </conditionalFormatting>
  <conditionalFormatting sqref="B59">
    <cfRule type="duplicateValues" dxfId="0" priority="78"/>
  </conditionalFormatting>
  <conditionalFormatting sqref="B60">
    <cfRule type="duplicateValues" dxfId="0" priority="86"/>
  </conditionalFormatting>
  <conditionalFormatting sqref="B61">
    <cfRule type="duplicateValues" dxfId="0" priority="73"/>
  </conditionalFormatting>
  <conditionalFormatting sqref="B62">
    <cfRule type="duplicateValues" dxfId="0" priority="87"/>
  </conditionalFormatting>
  <conditionalFormatting sqref="B63">
    <cfRule type="duplicateValues" dxfId="0" priority="84"/>
  </conditionalFormatting>
  <conditionalFormatting sqref="B64">
    <cfRule type="duplicateValues" dxfId="0" priority="83"/>
  </conditionalFormatting>
  <conditionalFormatting sqref="B65">
    <cfRule type="duplicateValues" dxfId="0" priority="82"/>
  </conditionalFormatting>
  <conditionalFormatting sqref="B66">
    <cfRule type="duplicateValues" dxfId="0" priority="81"/>
  </conditionalFormatting>
  <conditionalFormatting sqref="B71">
    <cfRule type="duplicateValues" dxfId="0" priority="70"/>
  </conditionalFormatting>
  <conditionalFormatting sqref="B78">
    <cfRule type="duplicateValues" dxfId="0" priority="77"/>
  </conditionalFormatting>
  <conditionalFormatting sqref="B79">
    <cfRule type="duplicateValues" dxfId="0" priority="76"/>
  </conditionalFormatting>
  <conditionalFormatting sqref="B80">
    <cfRule type="duplicateValues" dxfId="0" priority="75"/>
  </conditionalFormatting>
  <conditionalFormatting sqref="B92">
    <cfRule type="duplicateValues" dxfId="0" priority="53"/>
  </conditionalFormatting>
  <conditionalFormatting sqref="B93">
    <cfRule type="duplicateValues" dxfId="0" priority="105"/>
  </conditionalFormatting>
  <conditionalFormatting sqref="B94">
    <cfRule type="duplicateValues" dxfId="0" priority="103"/>
  </conditionalFormatting>
  <conditionalFormatting sqref="B95">
    <cfRule type="duplicateValues" dxfId="0" priority="104"/>
  </conditionalFormatting>
  <conditionalFormatting sqref="B103">
    <cfRule type="duplicateValues" dxfId="0" priority="332"/>
  </conditionalFormatting>
  <conditionalFormatting sqref="B106">
    <cfRule type="duplicateValues" dxfId="0" priority="112"/>
  </conditionalFormatting>
  <conditionalFormatting sqref="B107">
    <cfRule type="duplicateValues" dxfId="0" priority="111"/>
  </conditionalFormatting>
  <conditionalFormatting sqref="B108">
    <cfRule type="duplicateValues" dxfId="0" priority="110"/>
  </conditionalFormatting>
  <conditionalFormatting sqref="B109">
    <cfRule type="duplicateValues" dxfId="0" priority="109"/>
  </conditionalFormatting>
  <conditionalFormatting sqref="B110">
    <cfRule type="duplicateValues" dxfId="0" priority="108"/>
  </conditionalFormatting>
  <conditionalFormatting sqref="B111">
    <cfRule type="duplicateValues" dxfId="0" priority="107"/>
  </conditionalFormatting>
  <conditionalFormatting sqref="B112">
    <cfRule type="duplicateValues" dxfId="0" priority="102"/>
  </conditionalFormatting>
  <conditionalFormatting sqref="B113">
    <cfRule type="duplicateValues" dxfId="0" priority="101"/>
  </conditionalFormatting>
  <conditionalFormatting sqref="B114">
    <cfRule type="duplicateValues" dxfId="0" priority="100"/>
  </conditionalFormatting>
  <conditionalFormatting sqref="B115">
    <cfRule type="duplicateValues" dxfId="0" priority="99"/>
  </conditionalFormatting>
  <conditionalFormatting sqref="B116">
    <cfRule type="duplicateValues" dxfId="0" priority="95"/>
  </conditionalFormatting>
  <conditionalFormatting sqref="B117">
    <cfRule type="duplicateValues" dxfId="0" priority="94"/>
  </conditionalFormatting>
  <conditionalFormatting sqref="B122">
    <cfRule type="duplicateValues" dxfId="0" priority="52"/>
  </conditionalFormatting>
  <conditionalFormatting sqref="B123">
    <cfRule type="duplicateValues" dxfId="0" priority="55"/>
  </conditionalFormatting>
  <conditionalFormatting sqref="B124">
    <cfRule type="duplicateValues" dxfId="0" priority="54"/>
  </conditionalFormatting>
  <conditionalFormatting sqref="B127">
    <cfRule type="duplicateValues" dxfId="0" priority="30"/>
  </conditionalFormatting>
  <conditionalFormatting sqref="B158">
    <cfRule type="duplicateValues" dxfId="0" priority="5"/>
  </conditionalFormatting>
  <conditionalFormatting sqref="B$1:B$1048576">
    <cfRule type="duplicateValues" dxfId="0" priority="1"/>
  </conditionalFormatting>
  <conditionalFormatting sqref="B83:B84">
    <cfRule type="duplicateValues" dxfId="0" priority="330"/>
  </conditionalFormatting>
  <conditionalFormatting sqref="B146:B169">
    <cfRule type="duplicateValues" dxfId="0" priority="2"/>
  </conditionalFormatting>
  <conditionalFormatting sqref="B149:B157">
    <cfRule type="duplicateValues" dxfId="0" priority="4"/>
  </conditionalFormatting>
  <conditionalFormatting sqref="B149:B158">
    <cfRule type="duplicateValues" dxfId="0" priority="3"/>
  </conditionalFormatting>
  <conditionalFormatting sqref="B19:B22 B43 B102 B104:B105 B72 B67:B68 B100 B5:B14">
    <cfRule type="duplicateValues" dxfId="0" priority="335"/>
  </conditionalFormatting>
  <conditionalFormatting sqref="B19:B29 B56 B43:B45 B53:B54 B47:B51 B67:B68 B81:B82 B72:B77 B96:B102 B85:B91 B118:B121 B104:B105 B125:B126 B37 B5:B15 B17">
    <cfRule type="duplicateValues" dxfId="0" priority="334"/>
  </conditionalFormatting>
  <conditionalFormatting sqref="B17 B118:B121 B56 B53:B54 B47:B51 B43:B45 B67:B70 B81:B91 B72:B77 B96:B105 B125:B126 B37 B5:B15 B19:B29">
    <cfRule type="duplicateValues" dxfId="0" priority="329"/>
  </conditionalFormatting>
  <conditionalFormatting sqref="B15 B85:B91 B96:B99 B44:B45 B81:B82 B73:B77 B101 B23:B29 B37 B17">
    <cfRule type="duplicateValues" dxfId="0" priority="336"/>
  </conditionalFormatting>
  <conditionalFormatting sqref="B125:B126 B47:B51 B53:B54 B56 B69:B70 B118:B121">
    <cfRule type="duplicateValues" dxfId="0" priority="337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177"/>
  <sheetViews>
    <sheetView tabSelected="1" workbookViewId="0">
      <pane xSplit="4" ySplit="4" topLeftCell="M56" activePane="bottomRight" state="frozen"/>
      <selection/>
      <selection pane="topRight"/>
      <selection pane="bottomLeft"/>
      <selection pane="bottomRight" activeCell="AG56" sqref="AG56"/>
    </sheetView>
  </sheetViews>
  <sheetFormatPr defaultColWidth="8.88181818181818" defaultRowHeight="14"/>
  <cols>
    <col min="1" max="1" width="5.26363636363636" style="1" customWidth="1"/>
    <col min="2" max="2" width="15.7909090909091" style="6" customWidth="1"/>
    <col min="3" max="3" width="16.4454545454545" style="7" customWidth="1"/>
    <col min="4" max="4" width="9.20909090909091" style="1" customWidth="1"/>
    <col min="5" max="5" width="10.6363636363636" style="44" customWidth="1"/>
    <col min="6" max="6" width="8.5" style="44" customWidth="1"/>
    <col min="7" max="7" width="8.76363636363636" style="9" customWidth="1"/>
    <col min="8" max="8" width="7.12727272727273" style="45" customWidth="1"/>
    <col min="9" max="9" width="8.12727272727273" style="8" customWidth="1"/>
    <col min="10" max="10" width="11.7909090909091" style="1" customWidth="1"/>
    <col min="11" max="11" width="9.09090909090909" style="9" customWidth="1"/>
    <col min="12" max="12" width="5.62727272727273" style="1" customWidth="1"/>
    <col min="13" max="13" width="5.5" style="1" customWidth="1"/>
    <col min="14" max="14" width="7.5" style="1" customWidth="1"/>
    <col min="15" max="15" width="8.62727272727273" style="1" customWidth="1"/>
    <col min="16" max="16" width="6.5" style="1" customWidth="1"/>
    <col min="17" max="17" width="7.62727272727273" style="1" customWidth="1"/>
    <col min="18" max="18" width="7.12727272727273" style="9" customWidth="1"/>
    <col min="19" max="20" width="8.12727272727273" style="8" customWidth="1"/>
    <col min="21" max="21" width="6.26363636363636" style="1" customWidth="1"/>
    <col min="22" max="23" width="8.88181818181818" style="1"/>
    <col min="24" max="24" width="7.38181818181818" style="1" customWidth="1"/>
    <col min="25" max="25" width="5.44545454545455" style="1" hidden="1" customWidth="1"/>
    <col min="26" max="26" width="6.44545454545455" style="1" hidden="1" customWidth="1"/>
    <col min="27" max="27" width="7.20909090909091" style="9" hidden="1" customWidth="1"/>
    <col min="28" max="28" width="5.20909090909091" style="1" hidden="1" customWidth="1"/>
    <col min="29" max="30" width="5.10909090909091" style="1" hidden="1" customWidth="1"/>
    <col min="31" max="31" width="8" style="1" hidden="1" customWidth="1"/>
    <col min="32" max="32" width="16.2727272727273" style="24" customWidth="1"/>
    <col min="33" max="33" width="21.6363636363636" style="46" customWidth="1"/>
    <col min="34" max="34" width="21.6363636363636" style="47" customWidth="1"/>
    <col min="35" max="35" width="17.5545454545455" style="48" hidden="1" customWidth="1"/>
    <col min="36" max="36" width="15.5545454545455" style="48" hidden="1" customWidth="1"/>
    <col min="37" max="37" width="12.8181818181818" style="1" hidden="1" customWidth="1"/>
    <col min="38" max="38" width="12.8181818181818" style="49" hidden="1" customWidth="1"/>
    <col min="39" max="16384" width="8.88181818181818" style="1"/>
  </cols>
  <sheetData>
    <row r="2" ht="21" spans="1:34">
      <c r="A2" s="10" t="s">
        <v>0</v>
      </c>
      <c r="B2" s="10"/>
      <c r="C2" s="10"/>
      <c r="D2" s="10"/>
      <c r="E2" s="10"/>
      <c r="F2" s="10"/>
      <c r="G2" s="10"/>
      <c r="H2" s="5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3" t="s">
        <v>1</v>
      </c>
      <c r="Z2" s="64"/>
      <c r="AA2" s="64"/>
      <c r="AB2" s="64"/>
      <c r="AC2" s="64"/>
      <c r="AD2" s="64"/>
      <c r="AE2" s="64"/>
      <c r="AF2" s="25"/>
      <c r="AG2" s="79" t="s">
        <v>400</v>
      </c>
      <c r="AH2" s="79"/>
    </row>
    <row r="3" s="2" customFormat="1" spans="1:38">
      <c r="A3" s="11" t="s">
        <v>3</v>
      </c>
      <c r="B3" s="11" t="s">
        <v>4</v>
      </c>
      <c r="C3" s="12" t="s">
        <v>5</v>
      </c>
      <c r="D3" s="11" t="s">
        <v>6</v>
      </c>
      <c r="E3" s="51" t="s">
        <v>7</v>
      </c>
      <c r="F3" s="51"/>
      <c r="G3" s="15" t="s">
        <v>8</v>
      </c>
      <c r="H3" s="52" t="s">
        <v>9</v>
      </c>
      <c r="I3" s="13" t="s">
        <v>10</v>
      </c>
      <c r="J3" s="59" t="s">
        <v>11</v>
      </c>
      <c r="K3" s="15" t="s">
        <v>12</v>
      </c>
      <c r="L3" s="60" t="s">
        <v>13</v>
      </c>
      <c r="M3" s="14" t="s">
        <v>14</v>
      </c>
      <c r="N3" s="11" t="s">
        <v>15</v>
      </c>
      <c r="O3" s="14" t="s">
        <v>16</v>
      </c>
      <c r="P3" s="14" t="s">
        <v>17</v>
      </c>
      <c r="Q3" s="15" t="s">
        <v>18</v>
      </c>
      <c r="R3" s="16" t="s">
        <v>19</v>
      </c>
      <c r="S3" s="26" t="s">
        <v>20</v>
      </c>
      <c r="T3" s="26" t="s">
        <v>21</v>
      </c>
      <c r="U3" s="27" t="s">
        <v>22</v>
      </c>
      <c r="V3" s="36" t="s">
        <v>23</v>
      </c>
      <c r="W3" s="36" t="s">
        <v>24</v>
      </c>
      <c r="X3" s="37" t="s">
        <v>25</v>
      </c>
      <c r="Y3" s="65" t="s">
        <v>26</v>
      </c>
      <c r="Z3" s="66" t="s">
        <v>27</v>
      </c>
      <c r="AA3" s="67" t="s">
        <v>28</v>
      </c>
      <c r="AB3" s="67"/>
      <c r="AC3" s="68" t="s">
        <v>29</v>
      </c>
      <c r="AD3" s="68" t="s">
        <v>22</v>
      </c>
      <c r="AE3" s="69" t="s">
        <v>30</v>
      </c>
      <c r="AF3" s="70" t="s">
        <v>31</v>
      </c>
      <c r="AG3" s="79" t="s">
        <v>401</v>
      </c>
      <c r="AH3" s="80"/>
      <c r="AI3" s="81" t="s">
        <v>33</v>
      </c>
      <c r="AJ3" s="81" t="s">
        <v>34</v>
      </c>
      <c r="AL3" s="82"/>
    </row>
    <row r="4" s="2" customFormat="1" spans="1:38">
      <c r="A4" s="11"/>
      <c r="B4" s="11"/>
      <c r="C4" s="12"/>
      <c r="D4" s="11"/>
      <c r="E4" s="51" t="s">
        <v>37</v>
      </c>
      <c r="F4" s="51" t="s">
        <v>38</v>
      </c>
      <c r="G4" s="15"/>
      <c r="H4" s="52"/>
      <c r="I4" s="13"/>
      <c r="J4" s="59"/>
      <c r="K4" s="15"/>
      <c r="L4" s="60"/>
      <c r="M4" s="14"/>
      <c r="N4" s="11"/>
      <c r="O4" s="14"/>
      <c r="P4" s="14"/>
      <c r="Q4" s="15"/>
      <c r="R4" s="16"/>
      <c r="S4" s="29"/>
      <c r="T4" s="29"/>
      <c r="U4" s="27"/>
      <c r="V4" s="36"/>
      <c r="W4" s="36"/>
      <c r="X4" s="37"/>
      <c r="Y4" s="71"/>
      <c r="Z4" s="14"/>
      <c r="AA4" s="72"/>
      <c r="AB4" s="72"/>
      <c r="AC4" s="73"/>
      <c r="AD4" s="73"/>
      <c r="AE4" s="74"/>
      <c r="AF4" s="70"/>
      <c r="AG4" s="79" t="s">
        <v>39</v>
      </c>
      <c r="AH4" s="80" t="s">
        <v>40</v>
      </c>
      <c r="AI4" s="81"/>
      <c r="AJ4" s="81"/>
      <c r="AL4" s="82"/>
    </row>
    <row r="5" spans="1:38">
      <c r="A5" s="17">
        <v>1</v>
      </c>
      <c r="B5" s="53" t="s">
        <v>41</v>
      </c>
      <c r="C5" s="54" t="s">
        <v>42</v>
      </c>
      <c r="D5" s="20" t="s">
        <v>43</v>
      </c>
      <c r="E5" s="55">
        <v>0.005</v>
      </c>
      <c r="F5" s="55">
        <v>0.0055</v>
      </c>
      <c r="G5" s="21">
        <v>15.3097</v>
      </c>
      <c r="H5" s="56">
        <v>0.9</v>
      </c>
      <c r="I5" s="21">
        <f t="shared" ref="I5:I68" si="0">F5*G5/H5</f>
        <v>0.0935592777777778</v>
      </c>
      <c r="J5" s="20" t="s">
        <v>44</v>
      </c>
      <c r="K5" s="21">
        <v>55</v>
      </c>
      <c r="L5" s="61">
        <v>65.4545454545455</v>
      </c>
      <c r="M5" s="20">
        <v>1</v>
      </c>
      <c r="N5" s="20">
        <v>27.15</v>
      </c>
      <c r="O5" s="20">
        <v>0.76</v>
      </c>
      <c r="P5" s="20">
        <v>22.5</v>
      </c>
      <c r="Q5" s="21">
        <f t="shared" ref="Q5:Q68" si="1">P5/K5/M5</f>
        <v>0.409090909090909</v>
      </c>
      <c r="R5" s="21">
        <v>0</v>
      </c>
      <c r="S5" s="31">
        <v>0.028662</v>
      </c>
      <c r="T5" s="31">
        <v>0.0666666666666667</v>
      </c>
      <c r="U5" s="20">
        <v>0</v>
      </c>
      <c r="V5" s="21">
        <f>(I5+Q5+AA5)/H5*1.11+R5*1.03+S5+T5+U5</f>
        <v>0.946614806228956</v>
      </c>
      <c r="W5" s="20">
        <v>0.99</v>
      </c>
      <c r="X5" s="62">
        <f t="shared" ref="X5:X68" si="2">V5-W5</f>
        <v>-0.0433851937710437</v>
      </c>
      <c r="Y5" s="75">
        <f t="shared" ref="Y5:Y68" si="3">T5/V5</f>
        <v>0.0704263933206873</v>
      </c>
      <c r="Z5" s="76">
        <f t="shared" ref="Z5:Z68" si="4">Q5/V5</f>
        <v>0.432161959013308</v>
      </c>
      <c r="AA5" s="22">
        <f t="shared" ref="AA5:AA68" si="5">(N5*O5/K5/M5)/2</f>
        <v>0.187581818181818</v>
      </c>
      <c r="AB5" s="76">
        <f t="shared" ref="AB5:AB68" si="6">AA5/V5</f>
        <v>0.198160663606236</v>
      </c>
      <c r="AC5" s="77">
        <f t="shared" ref="AC5:AC68" si="7">S5/V5</f>
        <v>0.0302784192803631</v>
      </c>
      <c r="AD5" s="77">
        <f t="shared" ref="AD5:AD68" si="8">U5/V5</f>
        <v>0</v>
      </c>
      <c r="AE5" s="77">
        <f t="shared" ref="AE5:AE68" si="9">1-I5/V5</f>
        <v>0.901164362566342</v>
      </c>
      <c r="AF5" s="78">
        <v>22900</v>
      </c>
      <c r="AG5" s="83">
        <f t="shared" ref="AG5:AG68" si="10">(I5+Q5+(N5*O5/K5/M5)/2)*1.5+R5*1.1+S5+T5+U5</f>
        <v>1.13067667424242</v>
      </c>
      <c r="AH5" s="84">
        <f t="shared" ref="AH5:AH68" si="11">AG5*AF5</f>
        <v>25892.4958401515</v>
      </c>
      <c r="AI5" s="85">
        <f t="shared" ref="AI5:AI68" si="12">V5*AF5</f>
        <v>21677.4790626431</v>
      </c>
      <c r="AJ5" s="85">
        <f t="shared" ref="AJ5:AJ68" si="13">W5*AF5</f>
        <v>22671</v>
      </c>
      <c r="AK5" s="1">
        <f>AG5/I5</f>
        <v>12.0851368362207</v>
      </c>
      <c r="AL5" s="49">
        <f>(AG5-W5)/W5</f>
        <v>0.142097650749924</v>
      </c>
    </row>
    <row r="6" spans="1:38">
      <c r="A6" s="17">
        <v>2</v>
      </c>
      <c r="B6" s="53" t="s">
        <v>45</v>
      </c>
      <c r="C6" s="54" t="s">
        <v>46</v>
      </c>
      <c r="D6" s="20" t="s">
        <v>43</v>
      </c>
      <c r="E6" s="55">
        <v>0.001</v>
      </c>
      <c r="F6" s="55">
        <v>0.00108</v>
      </c>
      <c r="G6" s="21">
        <v>15.3097</v>
      </c>
      <c r="H6" s="56">
        <v>0.95</v>
      </c>
      <c r="I6" s="21">
        <f t="shared" si="0"/>
        <v>0.0174047115789474</v>
      </c>
      <c r="J6" s="20" t="s">
        <v>47</v>
      </c>
      <c r="K6" s="21">
        <v>65</v>
      </c>
      <c r="L6" s="61">
        <v>55.3846153846154</v>
      </c>
      <c r="M6" s="20">
        <v>4</v>
      </c>
      <c r="N6" s="20">
        <v>20.2</v>
      </c>
      <c r="O6" s="20">
        <v>0.76</v>
      </c>
      <c r="P6" s="20">
        <v>22.5</v>
      </c>
      <c r="Q6" s="21">
        <f t="shared" si="1"/>
        <v>0.0865384615384615</v>
      </c>
      <c r="R6" s="21">
        <v>0</v>
      </c>
      <c r="S6" s="31">
        <v>0.00715583333333333</v>
      </c>
      <c r="T6" s="31">
        <v>0.0166666666666667</v>
      </c>
      <c r="U6" s="20">
        <v>0</v>
      </c>
      <c r="V6" s="21">
        <f t="shared" ref="V6:V69" si="14">(I6+Q6+(N6*O6/K6/M6)/2)/H6*1.11+R6*1.03+S6+T6+U6</f>
        <v>0.179767276363094</v>
      </c>
      <c r="W6" s="20">
        <v>0.09</v>
      </c>
      <c r="X6" s="62">
        <f t="shared" si="2"/>
        <v>0.0897672763630941</v>
      </c>
      <c r="Y6" s="75">
        <f t="shared" si="3"/>
        <v>0.092712461377027</v>
      </c>
      <c r="Z6" s="76">
        <f t="shared" si="4"/>
        <v>0.481391626380716</v>
      </c>
      <c r="AA6" s="22">
        <f t="shared" si="5"/>
        <v>0.0295230769230769</v>
      </c>
      <c r="AB6" s="76">
        <f t="shared" si="6"/>
        <v>0.164229427737706</v>
      </c>
      <c r="AC6" s="77">
        <f t="shared" si="7"/>
        <v>0.0398060952922265</v>
      </c>
      <c r="AD6" s="77">
        <f t="shared" si="8"/>
        <v>0</v>
      </c>
      <c r="AE6" s="77">
        <f t="shared" si="9"/>
        <v>0.903181980997513</v>
      </c>
      <c r="AF6" s="78">
        <v>98000</v>
      </c>
      <c r="AG6" s="83">
        <f t="shared" si="10"/>
        <v>0.224021875060729</v>
      </c>
      <c r="AH6" s="84">
        <f t="shared" si="11"/>
        <v>21954.1437559514</v>
      </c>
      <c r="AI6" s="85">
        <f t="shared" si="12"/>
        <v>17617.1930835832</v>
      </c>
      <c r="AJ6" s="85">
        <f t="shared" si="13"/>
        <v>8820</v>
      </c>
      <c r="AK6" s="1">
        <f t="shared" ref="AK6:AK37" si="15">AG6/I6</f>
        <v>12.8713351005313</v>
      </c>
      <c r="AL6" s="49">
        <f t="shared" ref="AL6:AL37" si="16">(AG6-W6)/W6</f>
        <v>1.48913194511921</v>
      </c>
    </row>
    <row r="7" spans="1:38">
      <c r="A7" s="17">
        <v>3</v>
      </c>
      <c r="B7" s="53" t="s">
        <v>48</v>
      </c>
      <c r="C7" s="54" t="s">
        <v>49</v>
      </c>
      <c r="D7" s="20" t="s">
        <v>43</v>
      </c>
      <c r="E7" s="55">
        <v>0.00124</v>
      </c>
      <c r="F7" s="55">
        <v>0.001426</v>
      </c>
      <c r="G7" s="21">
        <v>15.3097</v>
      </c>
      <c r="H7" s="56">
        <v>0.85</v>
      </c>
      <c r="I7" s="21">
        <f t="shared" si="0"/>
        <v>0.0256842731764706</v>
      </c>
      <c r="J7" s="20" t="s">
        <v>44</v>
      </c>
      <c r="K7" s="21">
        <v>55</v>
      </c>
      <c r="L7" s="61">
        <v>65.4545454545455</v>
      </c>
      <c r="M7" s="20">
        <v>8</v>
      </c>
      <c r="N7" s="20">
        <v>27.15</v>
      </c>
      <c r="O7" s="20">
        <v>0.76</v>
      </c>
      <c r="P7" s="20">
        <v>22.5</v>
      </c>
      <c r="Q7" s="21">
        <f t="shared" si="1"/>
        <v>0.0511363636363636</v>
      </c>
      <c r="R7" s="21">
        <v>0</v>
      </c>
      <c r="S7" s="31">
        <v>0.00286233333333333</v>
      </c>
      <c r="T7" s="31">
        <v>0.00666666666666667</v>
      </c>
      <c r="U7" s="20">
        <v>0</v>
      </c>
      <c r="V7" s="21">
        <f t="shared" si="14"/>
        <v>0.140467687217616</v>
      </c>
      <c r="W7" s="20">
        <v>0.27</v>
      </c>
      <c r="X7" s="62">
        <f t="shared" si="2"/>
        <v>-0.129532312782384</v>
      </c>
      <c r="Y7" s="75">
        <f t="shared" si="3"/>
        <v>0.0474604999820245</v>
      </c>
      <c r="Z7" s="76">
        <f t="shared" si="4"/>
        <v>0.364043607816665</v>
      </c>
      <c r="AA7" s="22">
        <f t="shared" si="5"/>
        <v>0.0234477272727273</v>
      </c>
      <c r="AB7" s="76">
        <f t="shared" si="6"/>
        <v>0.166926128970868</v>
      </c>
      <c r="AC7" s="77">
        <f t="shared" si="7"/>
        <v>0.0203771656672822</v>
      </c>
      <c r="AD7" s="77">
        <f t="shared" si="8"/>
        <v>0</v>
      </c>
      <c r="AE7" s="77">
        <f t="shared" si="9"/>
        <v>0.817151733005471</v>
      </c>
      <c r="AF7" s="78">
        <v>30789</v>
      </c>
      <c r="AG7" s="83">
        <f t="shared" si="10"/>
        <v>0.159931546128342</v>
      </c>
      <c r="AH7" s="84">
        <f t="shared" si="11"/>
        <v>4924.13237374553</v>
      </c>
      <c r="AI7" s="85">
        <f t="shared" si="12"/>
        <v>4324.85962174317</v>
      </c>
      <c r="AJ7" s="85">
        <f t="shared" si="13"/>
        <v>8313.03</v>
      </c>
      <c r="AK7" s="1">
        <f t="shared" si="15"/>
        <v>6.22682779572894</v>
      </c>
      <c r="AL7" s="49">
        <f t="shared" si="16"/>
        <v>-0.407660940265399</v>
      </c>
    </row>
    <row r="8" spans="1:38">
      <c r="A8" s="17">
        <v>4</v>
      </c>
      <c r="B8" s="53" t="s">
        <v>50</v>
      </c>
      <c r="C8" s="54" t="s">
        <v>51</v>
      </c>
      <c r="D8" s="20" t="s">
        <v>43</v>
      </c>
      <c r="E8" s="55">
        <v>0.001</v>
      </c>
      <c r="F8" s="55">
        <v>0.00108</v>
      </c>
      <c r="G8" s="21">
        <v>15.3097</v>
      </c>
      <c r="H8" s="56">
        <v>0.95</v>
      </c>
      <c r="I8" s="21">
        <f t="shared" si="0"/>
        <v>0.0174047115789474</v>
      </c>
      <c r="J8" s="20" t="s">
        <v>47</v>
      </c>
      <c r="K8" s="21">
        <v>65</v>
      </c>
      <c r="L8" s="61">
        <v>55.3846153846154</v>
      </c>
      <c r="M8" s="20">
        <v>8</v>
      </c>
      <c r="N8" s="20">
        <v>20.2</v>
      </c>
      <c r="O8" s="20">
        <v>0.76</v>
      </c>
      <c r="P8" s="20">
        <v>22.5</v>
      </c>
      <c r="Q8" s="21">
        <f t="shared" si="1"/>
        <v>0.0432692307692308</v>
      </c>
      <c r="R8" s="21">
        <v>0</v>
      </c>
      <c r="S8" s="31">
        <v>0.00286233333333333</v>
      </c>
      <c r="T8" s="31">
        <v>0.00666666666666667</v>
      </c>
      <c r="U8" s="20">
        <v>0</v>
      </c>
      <c r="V8" s="21">
        <f t="shared" si="14"/>
        <v>0.0976694038934584</v>
      </c>
      <c r="W8" s="20">
        <v>0.14</v>
      </c>
      <c r="X8" s="62">
        <f t="shared" si="2"/>
        <v>-0.0423305961065416</v>
      </c>
      <c r="Y8" s="75">
        <f t="shared" si="3"/>
        <v>0.0682574726670691</v>
      </c>
      <c r="Z8" s="76">
        <f t="shared" si="4"/>
        <v>0.443017250483381</v>
      </c>
      <c r="AA8" s="22">
        <f t="shared" si="5"/>
        <v>0.0147615384615385</v>
      </c>
      <c r="AB8" s="76">
        <f t="shared" si="6"/>
        <v>0.151137796209353</v>
      </c>
      <c r="AC8" s="77">
        <f t="shared" si="7"/>
        <v>0.0293063458896061</v>
      </c>
      <c r="AD8" s="77">
        <f t="shared" si="8"/>
        <v>0</v>
      </c>
      <c r="AE8" s="77">
        <f t="shared" si="9"/>
        <v>0.821799756268267</v>
      </c>
      <c r="AF8" s="78">
        <v>90140</v>
      </c>
      <c r="AG8" s="83">
        <f t="shared" si="10"/>
        <v>0.122682221214575</v>
      </c>
      <c r="AH8" s="84">
        <f t="shared" si="11"/>
        <v>11058.5754202818</v>
      </c>
      <c r="AI8" s="85">
        <f t="shared" si="12"/>
        <v>8803.92006695634</v>
      </c>
      <c r="AJ8" s="85">
        <f t="shared" si="13"/>
        <v>12619.6</v>
      </c>
      <c r="AK8" s="1">
        <f t="shared" si="15"/>
        <v>7.048793693483</v>
      </c>
      <c r="AL8" s="49">
        <f t="shared" si="16"/>
        <v>-0.123698419895893</v>
      </c>
    </row>
    <row r="9" spans="1:38">
      <c r="A9" s="17">
        <v>5</v>
      </c>
      <c r="B9" s="53" t="s">
        <v>52</v>
      </c>
      <c r="C9" s="54" t="s">
        <v>53</v>
      </c>
      <c r="D9" s="20" t="s">
        <v>43</v>
      </c>
      <c r="E9" s="55">
        <v>0.002</v>
      </c>
      <c r="F9" s="55">
        <v>0.00216</v>
      </c>
      <c r="G9" s="21">
        <v>15.3097</v>
      </c>
      <c r="H9" s="56">
        <v>0.95</v>
      </c>
      <c r="I9" s="21">
        <f t="shared" si="0"/>
        <v>0.0348094231578947</v>
      </c>
      <c r="J9" s="20" t="s">
        <v>54</v>
      </c>
      <c r="K9" s="21">
        <v>65</v>
      </c>
      <c r="L9" s="61">
        <v>55.3846153846154</v>
      </c>
      <c r="M9" s="20">
        <v>2</v>
      </c>
      <c r="N9" s="20">
        <v>17.41</v>
      </c>
      <c r="O9" s="20">
        <v>0.76</v>
      </c>
      <c r="P9" s="20">
        <v>22.5</v>
      </c>
      <c r="Q9" s="21">
        <f t="shared" si="1"/>
        <v>0.173076923076923</v>
      </c>
      <c r="R9" s="21">
        <v>0</v>
      </c>
      <c r="S9" s="31">
        <v>0.00286233333333333</v>
      </c>
      <c r="T9" s="31">
        <v>0.00666666666666667</v>
      </c>
      <c r="U9" s="20">
        <v>0</v>
      </c>
      <c r="V9" s="21">
        <f t="shared" si="14"/>
        <v>0.311889629649265</v>
      </c>
      <c r="W9" s="20">
        <v>0.27</v>
      </c>
      <c r="X9" s="62">
        <f t="shared" si="2"/>
        <v>0.0418896296492648</v>
      </c>
      <c r="Y9" s="75">
        <f t="shared" si="3"/>
        <v>0.0213750828271003</v>
      </c>
      <c r="Z9" s="76">
        <f t="shared" si="4"/>
        <v>0.554930034934334</v>
      </c>
      <c r="AA9" s="22">
        <f t="shared" si="5"/>
        <v>0.0508907692307692</v>
      </c>
      <c r="AB9" s="76">
        <f t="shared" si="6"/>
        <v>0.163169161116381</v>
      </c>
      <c r="AC9" s="77">
        <f t="shared" si="7"/>
        <v>0.00917739181181549</v>
      </c>
      <c r="AD9" s="77">
        <f t="shared" si="8"/>
        <v>0</v>
      </c>
      <c r="AE9" s="77">
        <f t="shared" si="9"/>
        <v>0.888391854525463</v>
      </c>
      <c r="AF9" s="78">
        <v>18200</v>
      </c>
      <c r="AG9" s="83">
        <f t="shared" si="10"/>
        <v>0.397694673198381</v>
      </c>
      <c r="AH9" s="84">
        <f t="shared" si="11"/>
        <v>7238.04305221053</v>
      </c>
      <c r="AI9" s="85">
        <f t="shared" si="12"/>
        <v>5676.39125961662</v>
      </c>
      <c r="AJ9" s="85">
        <f t="shared" si="13"/>
        <v>4914</v>
      </c>
      <c r="AK9" s="1">
        <f t="shared" si="15"/>
        <v>11.4249142076974</v>
      </c>
      <c r="AL9" s="49">
        <f t="shared" si="16"/>
        <v>0.472943234068076</v>
      </c>
    </row>
    <row r="10" spans="1:38">
      <c r="A10" s="17">
        <v>6</v>
      </c>
      <c r="B10" s="53" t="s">
        <v>55</v>
      </c>
      <c r="C10" s="54" t="s">
        <v>56</v>
      </c>
      <c r="D10" s="20" t="s">
        <v>43</v>
      </c>
      <c r="E10" s="55">
        <v>0.001</v>
      </c>
      <c r="F10" s="55">
        <v>0.00108</v>
      </c>
      <c r="G10" s="21">
        <v>15.3097</v>
      </c>
      <c r="H10" s="56">
        <v>0.95</v>
      </c>
      <c r="I10" s="21">
        <f t="shared" si="0"/>
        <v>0.0174047115789474</v>
      </c>
      <c r="J10" s="20" t="s">
        <v>54</v>
      </c>
      <c r="K10" s="21">
        <v>65</v>
      </c>
      <c r="L10" s="61">
        <v>55.3846153846154</v>
      </c>
      <c r="M10" s="20">
        <v>2</v>
      </c>
      <c r="N10" s="20">
        <v>17.41</v>
      </c>
      <c r="O10" s="20">
        <v>0.76</v>
      </c>
      <c r="P10" s="20">
        <v>22.5</v>
      </c>
      <c r="Q10" s="21">
        <f t="shared" si="1"/>
        <v>0.173076923076923</v>
      </c>
      <c r="R10" s="21">
        <v>0</v>
      </c>
      <c r="S10" s="31">
        <v>0.00286233333333333</v>
      </c>
      <c r="T10" s="31">
        <v>0.00666666666666667</v>
      </c>
      <c r="U10" s="20">
        <v>0</v>
      </c>
      <c r="V10" s="21">
        <f t="shared" si="14"/>
        <v>0.291553598225442</v>
      </c>
      <c r="W10" s="20">
        <v>0.21</v>
      </c>
      <c r="X10" s="62">
        <f t="shared" si="2"/>
        <v>0.0815535982254423</v>
      </c>
      <c r="Y10" s="75">
        <f t="shared" si="3"/>
        <v>0.0228660071672712</v>
      </c>
      <c r="Z10" s="76">
        <f t="shared" si="4"/>
        <v>0.593636724534925</v>
      </c>
      <c r="AA10" s="22">
        <f t="shared" si="5"/>
        <v>0.0508907692307692</v>
      </c>
      <c r="AB10" s="76">
        <f t="shared" si="6"/>
        <v>0.174550304096807</v>
      </c>
      <c r="AC10" s="77">
        <f t="shared" si="7"/>
        <v>0.00981752017726787</v>
      </c>
      <c r="AD10" s="77">
        <f t="shared" si="8"/>
        <v>0</v>
      </c>
      <c r="AE10" s="77">
        <f t="shared" si="9"/>
        <v>0.940303561043725</v>
      </c>
      <c r="AF10" s="78">
        <v>21300</v>
      </c>
      <c r="AG10" s="83">
        <f t="shared" si="10"/>
        <v>0.37158760582996</v>
      </c>
      <c r="AH10" s="84">
        <f t="shared" si="11"/>
        <v>7914.81600417814</v>
      </c>
      <c r="AI10" s="85">
        <f t="shared" si="12"/>
        <v>6210.09164220192</v>
      </c>
      <c r="AJ10" s="85">
        <f t="shared" si="13"/>
        <v>4473</v>
      </c>
      <c r="AK10" s="1">
        <f t="shared" si="15"/>
        <v>21.3498284153947</v>
      </c>
      <c r="AL10" s="49">
        <f t="shared" si="16"/>
        <v>0.769464789666474</v>
      </c>
    </row>
    <row r="11" spans="1:38">
      <c r="A11" s="17">
        <v>7</v>
      </c>
      <c r="B11" s="57" t="s">
        <v>57</v>
      </c>
      <c r="C11" s="58" t="s">
        <v>58</v>
      </c>
      <c r="D11" s="20" t="s">
        <v>59</v>
      </c>
      <c r="E11" s="55">
        <v>0.012</v>
      </c>
      <c r="F11" s="55">
        <v>0.0126</v>
      </c>
      <c r="G11" s="21">
        <v>18.5841</v>
      </c>
      <c r="H11" s="56">
        <v>0.96</v>
      </c>
      <c r="I11" s="21">
        <f t="shared" si="0"/>
        <v>0.2439163125</v>
      </c>
      <c r="J11" s="20" t="s">
        <v>44</v>
      </c>
      <c r="K11" s="21">
        <v>51</v>
      </c>
      <c r="L11" s="61">
        <v>70.5882352941177</v>
      </c>
      <c r="M11" s="20">
        <v>2</v>
      </c>
      <c r="N11" s="20">
        <v>27.15</v>
      </c>
      <c r="O11" s="20">
        <v>0.76</v>
      </c>
      <c r="P11" s="20">
        <v>22.5</v>
      </c>
      <c r="Q11" s="21">
        <f t="shared" si="1"/>
        <v>0.220588235294118</v>
      </c>
      <c r="R11" s="21">
        <v>0</v>
      </c>
      <c r="S11" s="31">
        <v>0.0143116666666667</v>
      </c>
      <c r="T11" s="31">
        <v>0.0333333333333333</v>
      </c>
      <c r="U11" s="20">
        <v>0.3</v>
      </c>
      <c r="V11" s="21">
        <f t="shared" si="14"/>
        <v>1.00167967015165</v>
      </c>
      <c r="W11" s="20">
        <v>1.35</v>
      </c>
      <c r="X11" s="62">
        <f t="shared" si="2"/>
        <v>-0.348320329848346</v>
      </c>
      <c r="Y11" s="75">
        <f t="shared" si="3"/>
        <v>0.0332774382136423</v>
      </c>
      <c r="Z11" s="76">
        <f t="shared" si="4"/>
        <v>0.220218341119692</v>
      </c>
      <c r="AA11" s="22">
        <f t="shared" si="5"/>
        <v>0.101147058823529</v>
      </c>
      <c r="AB11" s="76">
        <f t="shared" si="6"/>
        <v>0.100977450014749</v>
      </c>
      <c r="AC11" s="77">
        <f t="shared" si="7"/>
        <v>0.0142876680970274</v>
      </c>
      <c r="AD11" s="77">
        <f t="shared" si="8"/>
        <v>0.299496943922781</v>
      </c>
      <c r="AE11" s="77">
        <f t="shared" si="9"/>
        <v>0.756492699444453</v>
      </c>
      <c r="AF11" s="78">
        <v>22465</v>
      </c>
      <c r="AG11" s="83">
        <f t="shared" si="10"/>
        <v>1.19612240992647</v>
      </c>
      <c r="AH11" s="84">
        <f t="shared" si="11"/>
        <v>26870.8899389982</v>
      </c>
      <c r="AI11" s="85">
        <f t="shared" si="12"/>
        <v>22502.7337899569</v>
      </c>
      <c r="AJ11" s="85">
        <f t="shared" si="13"/>
        <v>30327.75</v>
      </c>
      <c r="AK11" s="1">
        <f t="shared" si="15"/>
        <v>4.90382294511963</v>
      </c>
      <c r="AL11" s="49">
        <f t="shared" si="16"/>
        <v>-0.113983400054466</v>
      </c>
    </row>
    <row r="12" spans="1:38">
      <c r="A12" s="17">
        <v>8</v>
      </c>
      <c r="B12" s="57" t="s">
        <v>60</v>
      </c>
      <c r="C12" s="58" t="s">
        <v>61</v>
      </c>
      <c r="D12" s="20" t="s">
        <v>59</v>
      </c>
      <c r="E12" s="55">
        <v>0.017</v>
      </c>
      <c r="F12" s="55">
        <v>0.01785</v>
      </c>
      <c r="G12" s="21">
        <v>18.5841</v>
      </c>
      <c r="H12" s="56">
        <v>0.96</v>
      </c>
      <c r="I12" s="21">
        <f t="shared" si="0"/>
        <v>0.345548109375</v>
      </c>
      <c r="J12" s="20" t="s">
        <v>44</v>
      </c>
      <c r="K12" s="21">
        <v>51</v>
      </c>
      <c r="L12" s="61">
        <v>70.5882352941177</v>
      </c>
      <c r="M12" s="20">
        <v>2</v>
      </c>
      <c r="N12" s="20">
        <v>27.15</v>
      </c>
      <c r="O12" s="20">
        <v>0.76</v>
      </c>
      <c r="P12" s="20">
        <v>22.5</v>
      </c>
      <c r="Q12" s="21">
        <f t="shared" si="1"/>
        <v>0.220588235294118</v>
      </c>
      <c r="R12" s="21">
        <v>0</v>
      </c>
      <c r="S12" s="31">
        <v>0.0286233333333333</v>
      </c>
      <c r="T12" s="31">
        <v>0.0666666666666667</v>
      </c>
      <c r="U12" s="20">
        <v>0</v>
      </c>
      <c r="V12" s="21">
        <f t="shared" si="14"/>
        <v>0.866836435288373</v>
      </c>
      <c r="W12" s="20">
        <v>1.23</v>
      </c>
      <c r="X12" s="62">
        <f t="shared" si="2"/>
        <v>-0.363163564711627</v>
      </c>
      <c r="Y12" s="75">
        <f t="shared" si="3"/>
        <v>0.076908011653304</v>
      </c>
      <c r="Z12" s="76">
        <f t="shared" si="4"/>
        <v>0.254475038558726</v>
      </c>
      <c r="AA12" s="22">
        <f t="shared" si="5"/>
        <v>0.101147058823529</v>
      </c>
      <c r="AB12" s="76">
        <f t="shared" si="6"/>
        <v>0.116685287680461</v>
      </c>
      <c r="AC12" s="77">
        <f t="shared" si="7"/>
        <v>0.033020454803346</v>
      </c>
      <c r="AD12" s="77">
        <f t="shared" si="8"/>
        <v>0</v>
      </c>
      <c r="AE12" s="77">
        <f t="shared" si="9"/>
        <v>0.601368729661155</v>
      </c>
      <c r="AF12" s="78">
        <v>22623</v>
      </c>
      <c r="AG12" s="83">
        <f t="shared" si="10"/>
        <v>1.09621510523897</v>
      </c>
      <c r="AH12" s="84">
        <f t="shared" si="11"/>
        <v>24799.6743258212</v>
      </c>
      <c r="AI12" s="85">
        <f t="shared" si="12"/>
        <v>19610.4406755289</v>
      </c>
      <c r="AJ12" s="85">
        <f t="shared" si="13"/>
        <v>27826.29</v>
      </c>
      <c r="AK12" s="1">
        <f t="shared" si="15"/>
        <v>3.17239503124968</v>
      </c>
      <c r="AL12" s="49">
        <f t="shared" si="16"/>
        <v>-0.108768207122788</v>
      </c>
    </row>
    <row r="13" spans="1:38">
      <c r="A13" s="17">
        <v>9</v>
      </c>
      <c r="B13" s="53" t="s">
        <v>62</v>
      </c>
      <c r="C13" s="54" t="s">
        <v>63</v>
      </c>
      <c r="D13" s="20" t="s">
        <v>64</v>
      </c>
      <c r="E13" s="55">
        <v>0</v>
      </c>
      <c r="F13" s="55">
        <v>0.0013625</v>
      </c>
      <c r="G13" s="21">
        <v>21.2389</v>
      </c>
      <c r="H13" s="56">
        <v>0.98</v>
      </c>
      <c r="I13" s="21">
        <f t="shared" si="0"/>
        <v>0.0295285727040816</v>
      </c>
      <c r="J13" s="20" t="s">
        <v>65</v>
      </c>
      <c r="K13" s="21">
        <v>51</v>
      </c>
      <c r="L13" s="61">
        <v>70.5882352941177</v>
      </c>
      <c r="M13" s="20">
        <v>2</v>
      </c>
      <c r="N13" s="20">
        <v>48.5</v>
      </c>
      <c r="O13" s="20">
        <v>0.76</v>
      </c>
      <c r="P13" s="20">
        <v>22.5</v>
      </c>
      <c r="Q13" s="21">
        <f t="shared" si="1"/>
        <v>0.220588235294118</v>
      </c>
      <c r="R13" s="21">
        <v>0</v>
      </c>
      <c r="S13" s="31">
        <v>0.0042717</v>
      </c>
      <c r="T13" s="31">
        <v>0.01</v>
      </c>
      <c r="U13" s="20">
        <v>0</v>
      </c>
      <c r="V13" s="21">
        <f t="shared" si="14"/>
        <v>0.502222130187636</v>
      </c>
      <c r="W13" s="20">
        <v>0.16</v>
      </c>
      <c r="X13" s="62">
        <f t="shared" si="2"/>
        <v>0.342222130187636</v>
      </c>
      <c r="Y13" s="75">
        <f t="shared" si="3"/>
        <v>0.0199115080736563</v>
      </c>
      <c r="Z13" s="76">
        <f t="shared" si="4"/>
        <v>0.439224442801243</v>
      </c>
      <c r="AA13" s="22">
        <f t="shared" si="5"/>
        <v>0.180686274509804</v>
      </c>
      <c r="AB13" s="76">
        <f t="shared" si="6"/>
        <v>0.359773621370085</v>
      </c>
      <c r="AC13" s="77">
        <f t="shared" si="7"/>
        <v>0.00850559890382378</v>
      </c>
      <c r="AD13" s="77">
        <f t="shared" si="8"/>
        <v>0</v>
      </c>
      <c r="AE13" s="77">
        <f t="shared" si="9"/>
        <v>0.941204158619913</v>
      </c>
      <c r="AF13" s="78">
        <v>10290</v>
      </c>
      <c r="AG13" s="83">
        <f t="shared" si="10"/>
        <v>0.660476323762005</v>
      </c>
      <c r="AH13" s="84">
        <f t="shared" si="11"/>
        <v>6796.30137151103</v>
      </c>
      <c r="AI13" s="85">
        <f t="shared" si="12"/>
        <v>5167.86571963078</v>
      </c>
      <c r="AJ13" s="85">
        <f t="shared" si="13"/>
        <v>1646.4</v>
      </c>
      <c r="AK13" s="1">
        <f t="shared" si="15"/>
        <v>22.3673636508245</v>
      </c>
      <c r="AL13" s="49">
        <f t="shared" si="16"/>
        <v>3.12797702351253</v>
      </c>
    </row>
    <row r="14" spans="1:36">
      <c r="A14" s="17">
        <v>10</v>
      </c>
      <c r="B14" s="18" t="s">
        <v>66</v>
      </c>
      <c r="C14" s="23" t="s">
        <v>67</v>
      </c>
      <c r="D14" s="20" t="s">
        <v>64</v>
      </c>
      <c r="E14" s="55">
        <v>0</v>
      </c>
      <c r="F14" s="55">
        <v>0.0013625</v>
      </c>
      <c r="G14" s="21">
        <v>21.2389</v>
      </c>
      <c r="H14" s="56">
        <v>0.98</v>
      </c>
      <c r="I14" s="21">
        <f t="shared" si="0"/>
        <v>0.0295285727040816</v>
      </c>
      <c r="J14" s="20" t="s">
        <v>65</v>
      </c>
      <c r="K14" s="21">
        <v>51</v>
      </c>
      <c r="L14" s="61">
        <v>70.5882352941177</v>
      </c>
      <c r="M14" s="20">
        <v>2</v>
      </c>
      <c r="N14" s="20">
        <v>48.5</v>
      </c>
      <c r="O14" s="20">
        <v>0.76</v>
      </c>
      <c r="P14" s="20">
        <v>22.5</v>
      </c>
      <c r="Q14" s="21">
        <f t="shared" si="1"/>
        <v>0.220588235294118</v>
      </c>
      <c r="R14" s="21">
        <v>0</v>
      </c>
      <c r="S14" s="31">
        <v>0.0042717</v>
      </c>
      <c r="T14" s="31">
        <v>0.01</v>
      </c>
      <c r="U14" s="20">
        <v>0</v>
      </c>
      <c r="V14" s="21">
        <f t="shared" si="14"/>
        <v>0.502222130187636</v>
      </c>
      <c r="W14" s="20">
        <v>0.16</v>
      </c>
      <c r="X14" s="62">
        <f t="shared" si="2"/>
        <v>0.342222130187636</v>
      </c>
      <c r="Y14" s="75">
        <f t="shared" si="3"/>
        <v>0.0199115080736563</v>
      </c>
      <c r="Z14" s="76">
        <f t="shared" si="4"/>
        <v>0.439224442801243</v>
      </c>
      <c r="AA14" s="22">
        <f t="shared" si="5"/>
        <v>0.180686274509804</v>
      </c>
      <c r="AB14" s="76">
        <f t="shared" si="6"/>
        <v>0.359773621370085</v>
      </c>
      <c r="AC14" s="77">
        <f t="shared" si="7"/>
        <v>0.00850559890382378</v>
      </c>
      <c r="AD14" s="77">
        <f t="shared" si="8"/>
        <v>0</v>
      </c>
      <c r="AE14" s="77">
        <f t="shared" si="9"/>
        <v>0.941204158619913</v>
      </c>
      <c r="AF14" s="78">
        <v>0</v>
      </c>
      <c r="AG14" s="83">
        <f t="shared" si="10"/>
        <v>0.660476323762005</v>
      </c>
      <c r="AH14" s="84">
        <f t="shared" si="11"/>
        <v>0</v>
      </c>
      <c r="AI14" s="85">
        <f t="shared" si="12"/>
        <v>0</v>
      </c>
      <c r="AJ14" s="85">
        <f t="shared" si="13"/>
        <v>0</v>
      </c>
    </row>
    <row r="15" spans="1:38">
      <c r="A15" s="17">
        <v>11</v>
      </c>
      <c r="B15" s="18" t="s">
        <v>68</v>
      </c>
      <c r="C15" s="23" t="s">
        <v>69</v>
      </c>
      <c r="D15" s="20" t="s">
        <v>70</v>
      </c>
      <c r="E15" s="55">
        <v>0.001</v>
      </c>
      <c r="F15" s="55">
        <v>0.0011</v>
      </c>
      <c r="G15" s="21">
        <v>23.716814159292</v>
      </c>
      <c r="H15" s="56">
        <v>0.97</v>
      </c>
      <c r="I15" s="21">
        <f t="shared" si="0"/>
        <v>0.0268953562631146</v>
      </c>
      <c r="J15" s="20" t="s">
        <v>47</v>
      </c>
      <c r="K15" s="21">
        <v>80</v>
      </c>
      <c r="L15" s="61">
        <v>45</v>
      </c>
      <c r="M15" s="20">
        <v>8</v>
      </c>
      <c r="N15" s="20">
        <v>20.2</v>
      </c>
      <c r="O15" s="20">
        <v>0.76</v>
      </c>
      <c r="P15" s="20">
        <v>22.5</v>
      </c>
      <c r="Q15" s="21">
        <f t="shared" si="1"/>
        <v>0.03515625</v>
      </c>
      <c r="R15" s="21">
        <v>0</v>
      </c>
      <c r="S15" s="31">
        <v>0.00283033333333333</v>
      </c>
      <c r="T15" s="31">
        <v>0.00666666666666667</v>
      </c>
      <c r="U15" s="20">
        <v>0</v>
      </c>
      <c r="V15" s="21">
        <f t="shared" si="14"/>
        <v>0.094229314899028</v>
      </c>
      <c r="W15" s="20">
        <v>0.12</v>
      </c>
      <c r="X15" s="62">
        <f t="shared" si="2"/>
        <v>-0.025770685100972</v>
      </c>
      <c r="Y15" s="75">
        <f t="shared" si="3"/>
        <v>0.0707493912463481</v>
      </c>
      <c r="Z15" s="76">
        <f t="shared" si="4"/>
        <v>0.373092492900663</v>
      </c>
      <c r="AA15" s="22">
        <f t="shared" si="5"/>
        <v>0.01199375</v>
      </c>
      <c r="AB15" s="76">
        <f t="shared" si="6"/>
        <v>0.127282576689133</v>
      </c>
      <c r="AC15" s="77">
        <f t="shared" si="7"/>
        <v>0.030036654053637</v>
      </c>
      <c r="AD15" s="77">
        <f t="shared" si="8"/>
        <v>0</v>
      </c>
      <c r="AE15" s="77">
        <f t="shared" si="9"/>
        <v>0.714575487554648</v>
      </c>
      <c r="AF15" s="78">
        <v>1197276</v>
      </c>
      <c r="AG15" s="83">
        <f t="shared" si="10"/>
        <v>0.120565034394672</v>
      </c>
      <c r="AH15" s="84">
        <f t="shared" si="11"/>
        <v>144349.622119915</v>
      </c>
      <c r="AI15" s="85">
        <f t="shared" si="12"/>
        <v>112818.497225049</v>
      </c>
      <c r="AJ15" s="85">
        <f t="shared" si="13"/>
        <v>143673.12</v>
      </c>
      <c r="AK15" s="1">
        <f t="shared" si="15"/>
        <v>4.48274539348712</v>
      </c>
      <c r="AL15" s="49">
        <f t="shared" si="16"/>
        <v>0.00470861995559904</v>
      </c>
    </row>
    <row r="16" spans="1:38">
      <c r="A16" s="17">
        <v>12</v>
      </c>
      <c r="B16" s="18" t="s">
        <v>71</v>
      </c>
      <c r="C16" s="19" t="s">
        <v>72</v>
      </c>
      <c r="D16" s="20" t="s">
        <v>70</v>
      </c>
      <c r="E16" s="55">
        <v>0.0013</v>
      </c>
      <c r="F16" s="55">
        <v>0.00143</v>
      </c>
      <c r="G16" s="21">
        <v>23.716814159292</v>
      </c>
      <c r="H16" s="56">
        <v>0.97</v>
      </c>
      <c r="I16" s="21">
        <f t="shared" si="0"/>
        <v>0.034963963142049</v>
      </c>
      <c r="J16" s="20" t="s">
        <v>47</v>
      </c>
      <c r="K16" s="21">
        <v>80</v>
      </c>
      <c r="L16" s="61">
        <v>45</v>
      </c>
      <c r="M16" s="20">
        <v>2</v>
      </c>
      <c r="N16" s="20">
        <v>20.2</v>
      </c>
      <c r="O16" s="20">
        <v>0.76</v>
      </c>
      <c r="P16" s="20">
        <v>22.5</v>
      </c>
      <c r="Q16" s="21">
        <f t="shared" si="1"/>
        <v>0.140625</v>
      </c>
      <c r="R16" s="21">
        <v>0</v>
      </c>
      <c r="S16" s="31">
        <v>0.00283033333333333</v>
      </c>
      <c r="T16" s="31">
        <v>0.00666666666666667</v>
      </c>
      <c r="U16" s="20">
        <v>0</v>
      </c>
      <c r="V16" s="21">
        <f t="shared" si="14"/>
        <v>0.26532792689451</v>
      </c>
      <c r="W16" s="20">
        <v>0.19</v>
      </c>
      <c r="X16" s="62">
        <f t="shared" si="2"/>
        <v>0.0753279268945097</v>
      </c>
      <c r="Y16" s="75">
        <f t="shared" si="3"/>
        <v>0.0251261401115806</v>
      </c>
      <c r="Z16" s="76">
        <f t="shared" si="4"/>
        <v>0.530004517978653</v>
      </c>
      <c r="AA16" s="22">
        <f t="shared" si="5"/>
        <v>0.047975</v>
      </c>
      <c r="AB16" s="76">
        <f t="shared" si="6"/>
        <v>0.180813985777962</v>
      </c>
      <c r="AC16" s="77">
        <f t="shared" si="7"/>
        <v>0.0106673027843715</v>
      </c>
      <c r="AD16" s="77">
        <f t="shared" si="8"/>
        <v>0</v>
      </c>
      <c r="AE16" s="77">
        <f t="shared" si="9"/>
        <v>0.868223584485511</v>
      </c>
      <c r="AF16" s="78">
        <v>113080</v>
      </c>
      <c r="AG16" s="83">
        <f t="shared" si="10"/>
        <v>0.344842944713074</v>
      </c>
      <c r="AH16" s="84">
        <f t="shared" si="11"/>
        <v>38994.8401881544</v>
      </c>
      <c r="AI16" s="85">
        <f t="shared" si="12"/>
        <v>30003.2819732312</v>
      </c>
      <c r="AJ16" s="85">
        <f t="shared" si="13"/>
        <v>21485.2</v>
      </c>
      <c r="AK16" s="1">
        <f t="shared" si="15"/>
        <v>9.86281055474378</v>
      </c>
      <c r="AL16" s="49">
        <f t="shared" si="16"/>
        <v>0.814962866910913</v>
      </c>
    </row>
    <row r="17" spans="1:38">
      <c r="A17" s="17">
        <v>13</v>
      </c>
      <c r="B17" s="18" t="s">
        <v>73</v>
      </c>
      <c r="C17" s="23" t="s">
        <v>74</v>
      </c>
      <c r="D17" s="20" t="s">
        <v>64</v>
      </c>
      <c r="E17" s="55">
        <v>0.001</v>
      </c>
      <c r="F17" s="55">
        <v>0.0011</v>
      </c>
      <c r="G17" s="21">
        <v>21.2389</v>
      </c>
      <c r="H17" s="56">
        <v>0.97</v>
      </c>
      <c r="I17" s="21">
        <f t="shared" si="0"/>
        <v>0.0240853505154639</v>
      </c>
      <c r="J17" s="20" t="s">
        <v>47</v>
      </c>
      <c r="K17" s="21">
        <v>72</v>
      </c>
      <c r="L17" s="61">
        <v>50</v>
      </c>
      <c r="M17" s="20">
        <v>4</v>
      </c>
      <c r="N17" s="20">
        <v>20.2</v>
      </c>
      <c r="O17" s="20">
        <v>0.76</v>
      </c>
      <c r="P17" s="20">
        <v>22.5</v>
      </c>
      <c r="Q17" s="21">
        <f t="shared" si="1"/>
        <v>0.078125</v>
      </c>
      <c r="R17" s="21">
        <v>0</v>
      </c>
      <c r="S17" s="31">
        <v>0.0286233333333333</v>
      </c>
      <c r="T17" s="31">
        <v>0.0666666666666667</v>
      </c>
      <c r="U17" s="20">
        <v>0</v>
      </c>
      <c r="V17" s="21">
        <f t="shared" si="14"/>
        <v>0.242751930314947</v>
      </c>
      <c r="W17" s="20">
        <v>0.16</v>
      </c>
      <c r="X17" s="62">
        <f t="shared" si="2"/>
        <v>0.0827519303149467</v>
      </c>
      <c r="Y17" s="75">
        <f t="shared" si="3"/>
        <v>0.274628780830592</v>
      </c>
      <c r="Z17" s="76">
        <f t="shared" si="4"/>
        <v>0.32183060253585</v>
      </c>
      <c r="AA17" s="22">
        <f t="shared" si="5"/>
        <v>0.0266527777777778</v>
      </c>
      <c r="AB17" s="76">
        <f t="shared" si="6"/>
        <v>0.109794298002897</v>
      </c>
      <c r="AC17" s="77">
        <f t="shared" si="7"/>
        <v>0.117911867049615</v>
      </c>
      <c r="AD17" s="77">
        <f t="shared" si="8"/>
        <v>0</v>
      </c>
      <c r="AE17" s="77">
        <f t="shared" si="9"/>
        <v>0.90078204328091</v>
      </c>
      <c r="AF17" s="78">
        <v>0</v>
      </c>
      <c r="AG17" s="83">
        <f t="shared" si="10"/>
        <v>0.288584692439863</v>
      </c>
      <c r="AH17" s="84">
        <f t="shared" si="11"/>
        <v>0</v>
      </c>
      <c r="AI17" s="85">
        <f t="shared" si="12"/>
        <v>0</v>
      </c>
      <c r="AJ17" s="85">
        <f t="shared" si="13"/>
        <v>0</v>
      </c>
      <c r="AL17" s="49">
        <f t="shared" si="16"/>
        <v>0.803654327749141</v>
      </c>
    </row>
    <row r="18" spans="1:38">
      <c r="A18" s="17">
        <v>14</v>
      </c>
      <c r="B18" s="18" t="s">
        <v>75</v>
      </c>
      <c r="C18" s="19" t="s">
        <v>76</v>
      </c>
      <c r="D18" s="20" t="s">
        <v>64</v>
      </c>
      <c r="E18" s="55">
        <v>0.001</v>
      </c>
      <c r="F18" s="55">
        <v>0.0011</v>
      </c>
      <c r="G18" s="21">
        <v>21.2389</v>
      </c>
      <c r="H18" s="56">
        <v>0.97</v>
      </c>
      <c r="I18" s="21">
        <f t="shared" si="0"/>
        <v>0.0240853505154639</v>
      </c>
      <c r="J18" s="20" t="s">
        <v>47</v>
      </c>
      <c r="K18" s="21">
        <v>72</v>
      </c>
      <c r="L18" s="61">
        <v>50</v>
      </c>
      <c r="M18" s="20">
        <v>4</v>
      </c>
      <c r="N18" s="20">
        <v>20.2</v>
      </c>
      <c r="O18" s="20">
        <v>0.76</v>
      </c>
      <c r="P18" s="20">
        <v>22.5</v>
      </c>
      <c r="Q18" s="21">
        <f t="shared" si="1"/>
        <v>0.078125</v>
      </c>
      <c r="R18" s="21">
        <v>0</v>
      </c>
      <c r="S18" s="31">
        <v>0.0143116666666667</v>
      </c>
      <c r="T18" s="31">
        <v>0.0333333333333333</v>
      </c>
      <c r="U18" s="20">
        <v>0</v>
      </c>
      <c r="V18" s="21">
        <f t="shared" si="14"/>
        <v>0.195106930314947</v>
      </c>
      <c r="W18" s="20">
        <v>0.16</v>
      </c>
      <c r="X18" s="62">
        <f t="shared" si="2"/>
        <v>0.0351069303149467</v>
      </c>
      <c r="Y18" s="75">
        <f t="shared" si="3"/>
        <v>0.170846485460695</v>
      </c>
      <c r="Z18" s="76">
        <f t="shared" si="4"/>
        <v>0.400421450298503</v>
      </c>
      <c r="AA18" s="22">
        <f t="shared" si="5"/>
        <v>0.0266527777777778</v>
      </c>
      <c r="AB18" s="76">
        <f t="shared" si="6"/>
        <v>0.136606002332947</v>
      </c>
      <c r="AC18" s="77">
        <f t="shared" si="7"/>
        <v>0.0733529385325495</v>
      </c>
      <c r="AD18" s="77">
        <f t="shared" si="8"/>
        <v>0</v>
      </c>
      <c r="AE18" s="77">
        <f t="shared" si="9"/>
        <v>0.876553075400322</v>
      </c>
      <c r="AF18" s="78">
        <v>82600</v>
      </c>
      <c r="AG18" s="83">
        <f t="shared" si="10"/>
        <v>0.240939692439863</v>
      </c>
      <c r="AH18" s="84">
        <f t="shared" si="11"/>
        <v>19901.6185955326</v>
      </c>
      <c r="AI18" s="85">
        <f t="shared" si="12"/>
        <v>16115.8324440146</v>
      </c>
      <c r="AJ18" s="85">
        <f t="shared" si="13"/>
        <v>13216</v>
      </c>
      <c r="AK18" s="1">
        <f t="shared" si="15"/>
        <v>10.003578411083</v>
      </c>
      <c r="AL18" s="49">
        <f t="shared" si="16"/>
        <v>0.505873077749141</v>
      </c>
    </row>
    <row r="19" spans="1:38">
      <c r="A19" s="17">
        <v>15</v>
      </c>
      <c r="B19" s="18" t="s">
        <v>77</v>
      </c>
      <c r="C19" s="23" t="s">
        <v>78</v>
      </c>
      <c r="D19" s="20" t="s">
        <v>64</v>
      </c>
      <c r="E19" s="55">
        <v>0.001</v>
      </c>
      <c r="F19" s="55">
        <v>0.0011</v>
      </c>
      <c r="G19" s="21">
        <v>21.2389</v>
      </c>
      <c r="H19" s="56">
        <v>0.97</v>
      </c>
      <c r="I19" s="21">
        <f t="shared" si="0"/>
        <v>0.0240853505154639</v>
      </c>
      <c r="J19" s="20" t="s">
        <v>47</v>
      </c>
      <c r="K19" s="21">
        <v>72</v>
      </c>
      <c r="L19" s="61">
        <v>50</v>
      </c>
      <c r="M19" s="20">
        <v>4</v>
      </c>
      <c r="N19" s="20">
        <v>20.2</v>
      </c>
      <c r="O19" s="20">
        <v>0.76</v>
      </c>
      <c r="P19" s="20">
        <v>22.5</v>
      </c>
      <c r="Q19" s="21">
        <f t="shared" si="1"/>
        <v>0.078125</v>
      </c>
      <c r="R19" s="21">
        <v>0</v>
      </c>
      <c r="S19" s="31">
        <v>0.0143116666666667</v>
      </c>
      <c r="T19" s="31">
        <v>0.0333333333333333</v>
      </c>
      <c r="U19" s="20">
        <v>0</v>
      </c>
      <c r="V19" s="21">
        <f t="shared" si="14"/>
        <v>0.195106930314947</v>
      </c>
      <c r="W19" s="20">
        <v>0.16</v>
      </c>
      <c r="X19" s="62">
        <f t="shared" si="2"/>
        <v>0.0351069303149467</v>
      </c>
      <c r="Y19" s="75">
        <f t="shared" si="3"/>
        <v>0.170846485460695</v>
      </c>
      <c r="Z19" s="76">
        <f t="shared" si="4"/>
        <v>0.400421450298503</v>
      </c>
      <c r="AA19" s="22">
        <f t="shared" si="5"/>
        <v>0.0266527777777778</v>
      </c>
      <c r="AB19" s="76">
        <f t="shared" si="6"/>
        <v>0.136606002332947</v>
      </c>
      <c r="AC19" s="77">
        <f t="shared" si="7"/>
        <v>0.0733529385325495</v>
      </c>
      <c r="AD19" s="77">
        <f t="shared" si="8"/>
        <v>0</v>
      </c>
      <c r="AE19" s="77">
        <f t="shared" si="9"/>
        <v>0.876553075400322</v>
      </c>
      <c r="AF19" s="78">
        <v>183411</v>
      </c>
      <c r="AG19" s="83">
        <f t="shared" si="10"/>
        <v>0.240939692439863</v>
      </c>
      <c r="AH19" s="84">
        <f t="shared" si="11"/>
        <v>44190.9899300876</v>
      </c>
      <c r="AI19" s="85">
        <f t="shared" si="12"/>
        <v>35784.7571959947</v>
      </c>
      <c r="AJ19" s="85">
        <f t="shared" si="13"/>
        <v>29345.76</v>
      </c>
      <c r="AK19" s="1">
        <f t="shared" si="15"/>
        <v>10.003578411083</v>
      </c>
      <c r="AL19" s="49">
        <f t="shared" si="16"/>
        <v>0.505873077749141</v>
      </c>
    </row>
    <row r="20" ht="28" spans="1:38">
      <c r="A20" s="17">
        <v>16</v>
      </c>
      <c r="B20" s="18" t="s">
        <v>79</v>
      </c>
      <c r="C20" s="19" t="s">
        <v>80</v>
      </c>
      <c r="D20" s="20" t="s">
        <v>59</v>
      </c>
      <c r="E20" s="55">
        <v>0.035</v>
      </c>
      <c r="F20" s="55">
        <v>0.03675</v>
      </c>
      <c r="G20" s="21">
        <v>18.5841</v>
      </c>
      <c r="H20" s="56">
        <v>0.97</v>
      </c>
      <c r="I20" s="21">
        <f t="shared" si="0"/>
        <v>0.704088324742268</v>
      </c>
      <c r="J20" s="20" t="s">
        <v>81</v>
      </c>
      <c r="K20" s="21">
        <v>42</v>
      </c>
      <c r="L20" s="61">
        <v>85.7142857142857</v>
      </c>
      <c r="M20" s="20">
        <v>2</v>
      </c>
      <c r="N20" s="20">
        <v>39.75</v>
      </c>
      <c r="O20" s="20">
        <v>0.76</v>
      </c>
      <c r="P20" s="20">
        <v>22.5</v>
      </c>
      <c r="Q20" s="21">
        <f t="shared" si="1"/>
        <v>0.267857142857143</v>
      </c>
      <c r="R20" s="21">
        <v>0</v>
      </c>
      <c r="S20" s="31">
        <v>0.0947811111111111</v>
      </c>
      <c r="T20" s="31">
        <v>0.222222222222222</v>
      </c>
      <c r="U20" s="20">
        <v>0.3</v>
      </c>
      <c r="V20" s="21">
        <f t="shared" si="14"/>
        <v>1.93500462688965</v>
      </c>
      <c r="W20" s="20">
        <v>2.79</v>
      </c>
      <c r="X20" s="62">
        <f t="shared" si="2"/>
        <v>-0.854995373110346</v>
      </c>
      <c r="Y20" s="75">
        <f t="shared" si="3"/>
        <v>0.114843251087944</v>
      </c>
      <c r="Z20" s="76">
        <f t="shared" si="4"/>
        <v>0.13842713300779</v>
      </c>
      <c r="AA20" s="22">
        <f t="shared" si="5"/>
        <v>0.179821428571429</v>
      </c>
      <c r="AB20" s="76">
        <f t="shared" si="6"/>
        <v>0.0929307486258962</v>
      </c>
      <c r="AC20" s="77">
        <f t="shared" si="7"/>
        <v>0.0489823692377745</v>
      </c>
      <c r="AD20" s="77">
        <f t="shared" si="8"/>
        <v>0.155038388968725</v>
      </c>
      <c r="AE20" s="77">
        <f t="shared" si="9"/>
        <v>0.636130934800902</v>
      </c>
      <c r="AF20" s="78">
        <v>36792</v>
      </c>
      <c r="AG20" s="83">
        <f t="shared" si="10"/>
        <v>2.34465367758959</v>
      </c>
      <c r="AH20" s="84">
        <f t="shared" si="11"/>
        <v>86264.4981058763</v>
      </c>
      <c r="AI20" s="85">
        <f t="shared" si="12"/>
        <v>71192.6902325242</v>
      </c>
      <c r="AJ20" s="85">
        <f t="shared" si="13"/>
        <v>102649.68</v>
      </c>
      <c r="AK20" s="1">
        <f t="shared" si="15"/>
        <v>3.33005618073252</v>
      </c>
      <c r="AL20" s="49">
        <f t="shared" si="16"/>
        <v>-0.159622337781508</v>
      </c>
    </row>
    <row r="21" ht="28" spans="1:36">
      <c r="A21" s="17">
        <v>17</v>
      </c>
      <c r="B21" s="18" t="s">
        <v>82</v>
      </c>
      <c r="C21" s="19" t="s">
        <v>83</v>
      </c>
      <c r="D21" s="20" t="s">
        <v>59</v>
      </c>
      <c r="E21" s="55">
        <v>0.035</v>
      </c>
      <c r="F21" s="55">
        <v>0.0378</v>
      </c>
      <c r="G21" s="21">
        <v>18.5841</v>
      </c>
      <c r="H21" s="56">
        <v>0.97</v>
      </c>
      <c r="I21" s="21">
        <f t="shared" si="0"/>
        <v>0.724205134020619</v>
      </c>
      <c r="J21" s="20" t="s">
        <v>81</v>
      </c>
      <c r="K21" s="21">
        <v>42</v>
      </c>
      <c r="L21" s="61">
        <v>85.7142857142857</v>
      </c>
      <c r="M21" s="20">
        <v>2</v>
      </c>
      <c r="N21" s="20">
        <v>39.75</v>
      </c>
      <c r="O21" s="20">
        <v>0.76</v>
      </c>
      <c r="P21" s="20">
        <v>22.5</v>
      </c>
      <c r="Q21" s="21">
        <f t="shared" si="1"/>
        <v>0.267857142857143</v>
      </c>
      <c r="R21" s="21">
        <v>0</v>
      </c>
      <c r="S21" s="31">
        <v>0.0947811111111111</v>
      </c>
      <c r="T21" s="31">
        <v>0.222222222222222</v>
      </c>
      <c r="U21" s="20">
        <v>0.3</v>
      </c>
      <c r="V21" s="21">
        <f t="shared" si="14"/>
        <v>1.95802489317725</v>
      </c>
      <c r="W21" s="20">
        <v>2.79</v>
      </c>
      <c r="X21" s="62">
        <f t="shared" si="2"/>
        <v>-0.831975106822748</v>
      </c>
      <c r="Y21" s="75">
        <f t="shared" si="3"/>
        <v>0.113493052614682</v>
      </c>
      <c r="Z21" s="76">
        <f t="shared" si="4"/>
        <v>0.136799661633768</v>
      </c>
      <c r="AA21" s="22">
        <f t="shared" si="5"/>
        <v>0.179821428571429</v>
      </c>
      <c r="AB21" s="76">
        <f t="shared" si="6"/>
        <v>0.0918381728434696</v>
      </c>
      <c r="AC21" s="77">
        <f t="shared" si="7"/>
        <v>0.0484064893359509</v>
      </c>
      <c r="AD21" s="77">
        <f t="shared" si="8"/>
        <v>0.15321562102982</v>
      </c>
      <c r="AE21" s="77">
        <f t="shared" si="9"/>
        <v>0.630134868793489</v>
      </c>
      <c r="AF21" s="78">
        <v>0</v>
      </c>
      <c r="AG21" s="83">
        <f t="shared" si="10"/>
        <v>2.37482889150712</v>
      </c>
      <c r="AH21" s="84">
        <f t="shared" si="11"/>
        <v>0</v>
      </c>
      <c r="AI21" s="85">
        <f t="shared" si="12"/>
        <v>0</v>
      </c>
      <c r="AJ21" s="85">
        <f t="shared" si="13"/>
        <v>0</v>
      </c>
    </row>
    <row r="22" spans="1:38">
      <c r="A22" s="17">
        <v>18</v>
      </c>
      <c r="B22" s="18" t="s">
        <v>84</v>
      </c>
      <c r="C22" s="23" t="s">
        <v>85</v>
      </c>
      <c r="D22" s="20" t="s">
        <v>86</v>
      </c>
      <c r="E22" s="55">
        <v>0</v>
      </c>
      <c r="F22" s="55">
        <v>0.0448</v>
      </c>
      <c r="G22" s="21">
        <v>13.7168</v>
      </c>
      <c r="H22" s="56">
        <v>0.94</v>
      </c>
      <c r="I22" s="21">
        <f t="shared" si="0"/>
        <v>0.65373685106383</v>
      </c>
      <c r="J22" s="20" t="s">
        <v>87</v>
      </c>
      <c r="K22" s="21">
        <v>36</v>
      </c>
      <c r="L22" s="61">
        <v>100</v>
      </c>
      <c r="M22" s="20">
        <v>2</v>
      </c>
      <c r="N22" s="20">
        <v>68.9</v>
      </c>
      <c r="O22" s="20">
        <v>0.76</v>
      </c>
      <c r="P22" s="20">
        <v>22.5</v>
      </c>
      <c r="Q22" s="21">
        <f t="shared" si="1"/>
        <v>0.3125</v>
      </c>
      <c r="R22" s="21">
        <v>0.9</v>
      </c>
      <c r="S22" s="31">
        <v>0.036575652173913</v>
      </c>
      <c r="T22" s="31">
        <v>0.0869565217391304</v>
      </c>
      <c r="U22" s="20">
        <v>0</v>
      </c>
      <c r="V22" s="21">
        <f t="shared" si="14"/>
        <v>2.62091735619764</v>
      </c>
      <c r="W22" s="20">
        <v>4.59</v>
      </c>
      <c r="X22" s="62">
        <f t="shared" si="2"/>
        <v>-1.96908264380236</v>
      </c>
      <c r="Y22" s="75">
        <f t="shared" si="3"/>
        <v>0.0331778953401586</v>
      </c>
      <c r="Z22" s="76">
        <f t="shared" si="4"/>
        <v>0.119233061378695</v>
      </c>
      <c r="AA22" s="22">
        <f t="shared" si="5"/>
        <v>0.363638888888889</v>
      </c>
      <c r="AB22" s="76">
        <f t="shared" si="6"/>
        <v>0.138744889467422</v>
      </c>
      <c r="AC22" s="77">
        <f t="shared" si="7"/>
        <v>0.0139552863379775</v>
      </c>
      <c r="AD22" s="77">
        <f t="shared" si="8"/>
        <v>0</v>
      </c>
      <c r="AE22" s="77">
        <f t="shared" si="9"/>
        <v>0.750569452517093</v>
      </c>
      <c r="AF22" s="78">
        <v>44889</v>
      </c>
      <c r="AG22" s="83">
        <f t="shared" si="10"/>
        <v>3.10834578384212</v>
      </c>
      <c r="AH22" s="84">
        <f t="shared" si="11"/>
        <v>139530.533890889</v>
      </c>
      <c r="AI22" s="85">
        <f t="shared" si="12"/>
        <v>117650.359202356</v>
      </c>
      <c r="AJ22" s="85">
        <f t="shared" si="13"/>
        <v>206040.51</v>
      </c>
      <c r="AK22" s="1">
        <f t="shared" si="15"/>
        <v>4.75473545476883</v>
      </c>
      <c r="AL22" s="49">
        <f t="shared" si="16"/>
        <v>-0.322800482823067</v>
      </c>
    </row>
    <row r="23" spans="1:38">
      <c r="A23" s="17">
        <v>19</v>
      </c>
      <c r="B23" s="18" t="s">
        <v>88</v>
      </c>
      <c r="C23" s="23" t="s">
        <v>89</v>
      </c>
      <c r="D23" s="20" t="s">
        <v>43</v>
      </c>
      <c r="E23" s="55">
        <v>0</v>
      </c>
      <c r="F23" s="55">
        <v>0.021575</v>
      </c>
      <c r="G23" s="21">
        <v>15.3097</v>
      </c>
      <c r="H23" s="56">
        <v>0.95</v>
      </c>
      <c r="I23" s="21">
        <f t="shared" si="0"/>
        <v>0.347691344736842</v>
      </c>
      <c r="J23" s="20" t="s">
        <v>81</v>
      </c>
      <c r="K23" s="21">
        <v>60</v>
      </c>
      <c r="L23" s="61">
        <v>60</v>
      </c>
      <c r="M23" s="20">
        <v>1</v>
      </c>
      <c r="N23" s="20">
        <v>39.75</v>
      </c>
      <c r="O23" s="20">
        <v>0.76</v>
      </c>
      <c r="P23" s="20">
        <v>22.5</v>
      </c>
      <c r="Q23" s="21">
        <f t="shared" si="1"/>
        <v>0.375</v>
      </c>
      <c r="R23" s="21">
        <v>0</v>
      </c>
      <c r="S23" s="31">
        <v>0.0286233333333333</v>
      </c>
      <c r="T23" s="31">
        <v>0.0666666666666667</v>
      </c>
      <c r="U23" s="20">
        <v>0</v>
      </c>
      <c r="V23" s="21">
        <f t="shared" si="14"/>
        <v>1.23384778174515</v>
      </c>
      <c r="W23" s="20">
        <v>1.98</v>
      </c>
      <c r="X23" s="62">
        <f t="shared" si="2"/>
        <v>-0.746152218254848</v>
      </c>
      <c r="Y23" s="75">
        <f t="shared" si="3"/>
        <v>0.0540315164098877</v>
      </c>
      <c r="Z23" s="76">
        <f t="shared" si="4"/>
        <v>0.303927279805618</v>
      </c>
      <c r="AA23" s="22">
        <f t="shared" si="5"/>
        <v>0.25175</v>
      </c>
      <c r="AB23" s="76">
        <f t="shared" si="6"/>
        <v>0.204036513842838</v>
      </c>
      <c r="AC23" s="77">
        <f t="shared" si="7"/>
        <v>0.0231984315705852</v>
      </c>
      <c r="AD23" s="77">
        <f t="shared" si="8"/>
        <v>0</v>
      </c>
      <c r="AE23" s="77">
        <f t="shared" si="9"/>
        <v>0.718205641019131</v>
      </c>
      <c r="AF23" s="78">
        <v>65152</v>
      </c>
      <c r="AG23" s="83">
        <f t="shared" si="10"/>
        <v>1.55695201710526</v>
      </c>
      <c r="AH23" s="84">
        <f t="shared" si="11"/>
        <v>101438.537818442</v>
      </c>
      <c r="AI23" s="85">
        <f t="shared" si="12"/>
        <v>80387.6506762602</v>
      </c>
      <c r="AJ23" s="85">
        <f t="shared" si="13"/>
        <v>129000.96</v>
      </c>
      <c r="AK23" s="1">
        <f t="shared" si="15"/>
        <v>4.47797174325313</v>
      </c>
      <c r="AL23" s="49">
        <f t="shared" si="16"/>
        <v>-0.213660597421584</v>
      </c>
    </row>
    <row r="24" spans="1:38">
      <c r="A24" s="17">
        <v>20</v>
      </c>
      <c r="B24" s="18" t="s">
        <v>90</v>
      </c>
      <c r="C24" s="23" t="s">
        <v>91</v>
      </c>
      <c r="D24" s="20" t="s">
        <v>43</v>
      </c>
      <c r="E24" s="55">
        <v>0</v>
      </c>
      <c r="F24" s="55">
        <v>0.016625</v>
      </c>
      <c r="G24" s="21">
        <v>15.3097</v>
      </c>
      <c r="H24" s="56">
        <v>0.95</v>
      </c>
      <c r="I24" s="21">
        <f t="shared" si="0"/>
        <v>0.26791975</v>
      </c>
      <c r="J24" s="20" t="s">
        <v>81</v>
      </c>
      <c r="K24" s="21">
        <v>60</v>
      </c>
      <c r="L24" s="61">
        <v>60</v>
      </c>
      <c r="M24" s="20">
        <v>1</v>
      </c>
      <c r="N24" s="20">
        <v>39.75</v>
      </c>
      <c r="O24" s="20">
        <v>0.76</v>
      </c>
      <c r="P24" s="20">
        <v>22.5</v>
      </c>
      <c r="Q24" s="21">
        <f t="shared" si="1"/>
        <v>0.375</v>
      </c>
      <c r="R24" s="21">
        <v>0</v>
      </c>
      <c r="S24" s="31">
        <v>0.0286233333333333</v>
      </c>
      <c r="T24" s="31">
        <v>0.0666666666666667</v>
      </c>
      <c r="U24" s="20">
        <v>0</v>
      </c>
      <c r="V24" s="21">
        <f t="shared" si="14"/>
        <v>1.14064097105263</v>
      </c>
      <c r="W24" s="20">
        <v>1.35</v>
      </c>
      <c r="X24" s="62">
        <f t="shared" si="2"/>
        <v>-0.209359028947369</v>
      </c>
      <c r="Y24" s="75">
        <f t="shared" si="3"/>
        <v>0.058446670213103</v>
      </c>
      <c r="Z24" s="76">
        <f t="shared" si="4"/>
        <v>0.328762519948704</v>
      </c>
      <c r="AA24" s="22">
        <f t="shared" si="5"/>
        <v>0.25175</v>
      </c>
      <c r="AB24" s="76">
        <f t="shared" si="6"/>
        <v>0.22070923839223</v>
      </c>
      <c r="AC24" s="77">
        <f t="shared" si="7"/>
        <v>0.0250940778559957</v>
      </c>
      <c r="AD24" s="77">
        <f t="shared" si="8"/>
        <v>0</v>
      </c>
      <c r="AE24" s="77">
        <f t="shared" si="9"/>
        <v>0.765114740922595</v>
      </c>
      <c r="AF24" s="78">
        <v>64057</v>
      </c>
      <c r="AG24" s="83">
        <f t="shared" si="10"/>
        <v>1.437294625</v>
      </c>
      <c r="AH24" s="84">
        <f t="shared" si="11"/>
        <v>92068.781793625</v>
      </c>
      <c r="AI24" s="85">
        <f t="shared" si="12"/>
        <v>73066.0386827184</v>
      </c>
      <c r="AJ24" s="85">
        <f t="shared" si="13"/>
        <v>86476.95</v>
      </c>
      <c r="AK24" s="1">
        <f t="shared" si="15"/>
        <v>5.36464603673301</v>
      </c>
      <c r="AL24" s="49">
        <f t="shared" si="16"/>
        <v>0.064662685185185</v>
      </c>
    </row>
    <row r="25" spans="1:38">
      <c r="A25" s="17">
        <v>21</v>
      </c>
      <c r="B25" s="18" t="s">
        <v>92</v>
      </c>
      <c r="C25" s="23" t="s">
        <v>93</v>
      </c>
      <c r="D25" s="20" t="s">
        <v>43</v>
      </c>
      <c r="E25" s="55">
        <v>0</v>
      </c>
      <c r="F25" s="55">
        <v>0.0067</v>
      </c>
      <c r="G25" s="21">
        <v>15.3097</v>
      </c>
      <c r="H25" s="56">
        <v>0.98</v>
      </c>
      <c r="I25" s="21">
        <f t="shared" si="0"/>
        <v>0.104668357142857</v>
      </c>
      <c r="J25" s="20" t="s">
        <v>44</v>
      </c>
      <c r="K25" s="21">
        <v>102</v>
      </c>
      <c r="L25" s="61">
        <v>35.2941176470588</v>
      </c>
      <c r="M25" s="20">
        <v>4</v>
      </c>
      <c r="N25" s="20">
        <v>27.15</v>
      </c>
      <c r="O25" s="20">
        <v>0.76</v>
      </c>
      <c r="P25" s="20">
        <v>22.5</v>
      </c>
      <c r="Q25" s="21">
        <f t="shared" si="1"/>
        <v>0.0551470588235294</v>
      </c>
      <c r="R25" s="21">
        <v>0</v>
      </c>
      <c r="S25" s="31">
        <v>0.0286233333333333</v>
      </c>
      <c r="T25" s="31">
        <v>0.0666666666666667</v>
      </c>
      <c r="U25" s="20">
        <v>0</v>
      </c>
      <c r="V25" s="21">
        <f t="shared" si="14"/>
        <v>0.304946551577774</v>
      </c>
      <c r="W25" s="20">
        <v>0.43</v>
      </c>
      <c r="X25" s="62">
        <f t="shared" si="2"/>
        <v>-0.125053448422226</v>
      </c>
      <c r="Y25" s="75">
        <f t="shared" si="3"/>
        <v>0.218617545670668</v>
      </c>
      <c r="Z25" s="76">
        <f t="shared" si="4"/>
        <v>0.180841719764339</v>
      </c>
      <c r="AA25" s="22">
        <f t="shared" si="5"/>
        <v>0.0252867647058824</v>
      </c>
      <c r="AB25" s="76">
        <f t="shared" si="6"/>
        <v>0.082921956569275</v>
      </c>
      <c r="AC25" s="77">
        <f t="shared" si="7"/>
        <v>0.0938634432337012</v>
      </c>
      <c r="AD25" s="77">
        <f t="shared" si="8"/>
        <v>0</v>
      </c>
      <c r="AE25" s="77">
        <f t="shared" si="9"/>
        <v>0.656764909780715</v>
      </c>
      <c r="AF25" s="78">
        <v>72725</v>
      </c>
      <c r="AG25" s="83">
        <f t="shared" si="10"/>
        <v>0.372943271008403</v>
      </c>
      <c r="AH25" s="84">
        <f t="shared" si="11"/>
        <v>27122.2993840861</v>
      </c>
      <c r="AI25" s="85">
        <f t="shared" si="12"/>
        <v>22177.2379634936</v>
      </c>
      <c r="AJ25" s="85">
        <f t="shared" si="13"/>
        <v>31271.75</v>
      </c>
      <c r="AK25" s="1">
        <f t="shared" si="15"/>
        <v>3.56309472307271</v>
      </c>
      <c r="AL25" s="49">
        <f t="shared" si="16"/>
        <v>-0.132690067422318</v>
      </c>
    </row>
    <row r="26" spans="1:38">
      <c r="A26" s="17">
        <v>22</v>
      </c>
      <c r="B26" s="18" t="s">
        <v>94</v>
      </c>
      <c r="C26" s="23" t="s">
        <v>95</v>
      </c>
      <c r="D26" s="20" t="s">
        <v>43</v>
      </c>
      <c r="E26" s="55">
        <v>0.021</v>
      </c>
      <c r="F26" s="55">
        <v>0.02247</v>
      </c>
      <c r="G26" s="21">
        <v>15.3097</v>
      </c>
      <c r="H26" s="56">
        <v>0.95</v>
      </c>
      <c r="I26" s="21">
        <f t="shared" si="0"/>
        <v>0.362114693684211</v>
      </c>
      <c r="J26" s="20" t="s">
        <v>65</v>
      </c>
      <c r="K26" s="21">
        <v>48</v>
      </c>
      <c r="L26" s="61">
        <v>75</v>
      </c>
      <c r="M26" s="20">
        <v>2</v>
      </c>
      <c r="N26" s="20">
        <v>48.5</v>
      </c>
      <c r="O26" s="20">
        <v>0.76</v>
      </c>
      <c r="P26" s="20">
        <v>22.5</v>
      </c>
      <c r="Q26" s="21">
        <f t="shared" si="1"/>
        <v>0.234375</v>
      </c>
      <c r="R26" s="21">
        <v>0</v>
      </c>
      <c r="S26" s="31">
        <v>0.084415</v>
      </c>
      <c r="T26" s="31">
        <v>0.2</v>
      </c>
      <c r="U26" s="20">
        <v>0</v>
      </c>
      <c r="V26" s="21">
        <f t="shared" si="14"/>
        <v>1.20567861577839</v>
      </c>
      <c r="W26" s="20">
        <v>1.26</v>
      </c>
      <c r="X26" s="62">
        <f t="shared" si="2"/>
        <v>-0.0543213842216062</v>
      </c>
      <c r="Y26" s="75">
        <f t="shared" si="3"/>
        <v>0.165881684706566</v>
      </c>
      <c r="Z26" s="76">
        <f t="shared" si="4"/>
        <v>0.194392599265507</v>
      </c>
      <c r="AA26" s="22">
        <f t="shared" si="5"/>
        <v>0.191979166666667</v>
      </c>
      <c r="AB26" s="76">
        <f t="shared" si="6"/>
        <v>0.159229137976146</v>
      </c>
      <c r="AC26" s="77">
        <f t="shared" si="7"/>
        <v>0.0700145120725237</v>
      </c>
      <c r="AD26" s="77">
        <f t="shared" si="8"/>
        <v>0</v>
      </c>
      <c r="AE26" s="77">
        <f t="shared" si="9"/>
        <v>0.699659022773306</v>
      </c>
      <c r="AF26" s="78">
        <v>25399</v>
      </c>
      <c r="AG26" s="83">
        <f t="shared" si="10"/>
        <v>1.46711829052632</v>
      </c>
      <c r="AH26" s="84">
        <f t="shared" si="11"/>
        <v>37263.3374610779</v>
      </c>
      <c r="AI26" s="85">
        <f t="shared" si="12"/>
        <v>30623.0311621554</v>
      </c>
      <c r="AJ26" s="85">
        <f t="shared" si="13"/>
        <v>32002.74</v>
      </c>
      <c r="AK26" s="1">
        <f t="shared" si="15"/>
        <v>4.05152929752623</v>
      </c>
      <c r="AL26" s="49">
        <f t="shared" si="16"/>
        <v>0.164379595655807</v>
      </c>
    </row>
    <row r="27" spans="1:38">
      <c r="A27" s="17">
        <v>23</v>
      </c>
      <c r="B27" s="18" t="s">
        <v>96</v>
      </c>
      <c r="C27" s="23" t="s">
        <v>97</v>
      </c>
      <c r="D27" s="20" t="s">
        <v>43</v>
      </c>
      <c r="E27" s="55">
        <v>0</v>
      </c>
      <c r="F27" s="55">
        <v>0.0021</v>
      </c>
      <c r="G27" s="21">
        <v>15.3097</v>
      </c>
      <c r="H27" s="56">
        <v>0.96</v>
      </c>
      <c r="I27" s="21">
        <f t="shared" si="0"/>
        <v>0.03348996875</v>
      </c>
      <c r="J27" s="20" t="s">
        <v>81</v>
      </c>
      <c r="K27" s="21">
        <v>65</v>
      </c>
      <c r="L27" s="61">
        <v>55.3846153846154</v>
      </c>
      <c r="M27" s="20">
        <v>1</v>
      </c>
      <c r="N27" s="20">
        <v>39.75</v>
      </c>
      <c r="O27" s="20">
        <v>0.76</v>
      </c>
      <c r="P27" s="20">
        <v>22.5</v>
      </c>
      <c r="Q27" s="21">
        <f t="shared" si="1"/>
        <v>0.346153846153846</v>
      </c>
      <c r="R27" s="21">
        <v>0</v>
      </c>
      <c r="S27" s="31">
        <v>0.00715583333333333</v>
      </c>
      <c r="T27" s="31">
        <v>0.0166666666666667</v>
      </c>
      <c r="U27" s="20">
        <v>0</v>
      </c>
      <c r="V27" s="21">
        <f t="shared" si="14"/>
        <v>0.731480372521034</v>
      </c>
      <c r="W27" s="20">
        <v>0.26</v>
      </c>
      <c r="X27" s="62">
        <f t="shared" si="2"/>
        <v>0.471480372521034</v>
      </c>
      <c r="Y27" s="75">
        <f t="shared" si="3"/>
        <v>0.0227848446694822</v>
      </c>
      <c r="Z27" s="76">
        <f t="shared" si="4"/>
        <v>0.473223696981552</v>
      </c>
      <c r="AA27" s="22">
        <f t="shared" si="5"/>
        <v>0.232384615384615</v>
      </c>
      <c r="AB27" s="76">
        <f t="shared" si="6"/>
        <v>0.317690841906948</v>
      </c>
      <c r="AC27" s="77">
        <f t="shared" si="7"/>
        <v>0.00978267305884214</v>
      </c>
      <c r="AD27" s="77">
        <f t="shared" si="8"/>
        <v>0</v>
      </c>
      <c r="AE27" s="77">
        <f t="shared" si="9"/>
        <v>0.954216175842726</v>
      </c>
      <c r="AF27" s="78">
        <v>78132</v>
      </c>
      <c r="AG27" s="83">
        <f t="shared" si="10"/>
        <v>0.941865145432692</v>
      </c>
      <c r="AH27" s="84">
        <f t="shared" si="11"/>
        <v>73589.8075429471</v>
      </c>
      <c r="AI27" s="85">
        <f t="shared" si="12"/>
        <v>57152.0244658134</v>
      </c>
      <c r="AJ27" s="85">
        <f t="shared" si="13"/>
        <v>20314.32</v>
      </c>
      <c r="AK27" s="1">
        <f t="shared" si="15"/>
        <v>28.1237988743329</v>
      </c>
      <c r="AL27" s="49">
        <f t="shared" si="16"/>
        <v>2.6225582516642</v>
      </c>
    </row>
    <row r="28" spans="1:38">
      <c r="A28" s="17">
        <v>24</v>
      </c>
      <c r="B28" s="18" t="s">
        <v>98</v>
      </c>
      <c r="C28" s="23" t="s">
        <v>99</v>
      </c>
      <c r="D28" s="20" t="s">
        <v>43</v>
      </c>
      <c r="E28" s="55">
        <v>0</v>
      </c>
      <c r="F28" s="55">
        <v>0.00155</v>
      </c>
      <c r="G28" s="21">
        <v>15.3097</v>
      </c>
      <c r="H28" s="56">
        <v>0.96</v>
      </c>
      <c r="I28" s="21">
        <f t="shared" si="0"/>
        <v>0.0247187864583333</v>
      </c>
      <c r="J28" s="20" t="s">
        <v>81</v>
      </c>
      <c r="K28" s="21">
        <v>65</v>
      </c>
      <c r="L28" s="61">
        <v>55.3846153846154</v>
      </c>
      <c r="M28" s="20">
        <v>1</v>
      </c>
      <c r="N28" s="20">
        <v>39.75</v>
      </c>
      <c r="O28" s="20">
        <v>0.76</v>
      </c>
      <c r="P28" s="20">
        <v>22.5</v>
      </c>
      <c r="Q28" s="21">
        <f t="shared" si="1"/>
        <v>0.346153846153846</v>
      </c>
      <c r="R28" s="21">
        <v>0</v>
      </c>
      <c r="S28" s="31">
        <v>0.00715583333333333</v>
      </c>
      <c r="T28" s="31">
        <v>0.0166666666666667</v>
      </c>
      <c r="U28" s="20">
        <v>0</v>
      </c>
      <c r="V28" s="21">
        <f t="shared" si="14"/>
        <v>0.721338692996294</v>
      </c>
      <c r="W28" s="20">
        <v>0.23</v>
      </c>
      <c r="X28" s="62">
        <f t="shared" si="2"/>
        <v>0.491338692996294</v>
      </c>
      <c r="Y28" s="75">
        <f t="shared" si="3"/>
        <v>0.0231051887670641</v>
      </c>
      <c r="Z28" s="76">
        <f t="shared" si="4"/>
        <v>0.479876997469793</v>
      </c>
      <c r="AA28" s="22">
        <f t="shared" si="5"/>
        <v>0.232384615384615</v>
      </c>
      <c r="AB28" s="76">
        <f t="shared" si="6"/>
        <v>0.322157424301387</v>
      </c>
      <c r="AC28" s="77">
        <f t="shared" si="7"/>
        <v>0.00992021279713896</v>
      </c>
      <c r="AD28" s="77">
        <f t="shared" si="8"/>
        <v>0</v>
      </c>
      <c r="AE28" s="77">
        <f t="shared" si="9"/>
        <v>0.965732066367248</v>
      </c>
      <c r="AF28" s="78">
        <v>78202</v>
      </c>
      <c r="AG28" s="83">
        <f t="shared" si="10"/>
        <v>0.928708371995192</v>
      </c>
      <c r="AH28" s="84">
        <f t="shared" si="11"/>
        <v>72626.852106768</v>
      </c>
      <c r="AI28" s="85">
        <f t="shared" si="12"/>
        <v>56410.1284696962</v>
      </c>
      <c r="AJ28" s="85">
        <f t="shared" si="13"/>
        <v>17986.46</v>
      </c>
      <c r="AK28" s="1">
        <f t="shared" si="15"/>
        <v>37.5709533136123</v>
      </c>
      <c r="AL28" s="49">
        <f t="shared" si="16"/>
        <v>3.03786248693562</v>
      </c>
    </row>
    <row r="29" spans="1:38">
      <c r="A29" s="17">
        <v>25</v>
      </c>
      <c r="B29" s="18" t="s">
        <v>100</v>
      </c>
      <c r="C29" s="23" t="s">
        <v>101</v>
      </c>
      <c r="D29" s="20" t="s">
        <v>43</v>
      </c>
      <c r="E29" s="55">
        <v>0</v>
      </c>
      <c r="F29" s="55">
        <v>0.00235</v>
      </c>
      <c r="G29" s="21">
        <v>15.3097</v>
      </c>
      <c r="H29" s="56">
        <v>0.96</v>
      </c>
      <c r="I29" s="21">
        <f t="shared" si="0"/>
        <v>0.0374768697916667</v>
      </c>
      <c r="J29" s="20" t="s">
        <v>81</v>
      </c>
      <c r="K29" s="21">
        <v>65</v>
      </c>
      <c r="L29" s="61">
        <v>55.3846153846154</v>
      </c>
      <c r="M29" s="20">
        <v>1</v>
      </c>
      <c r="N29" s="20">
        <v>39.75</v>
      </c>
      <c r="O29" s="20">
        <v>0.76</v>
      </c>
      <c r="P29" s="20">
        <v>22.5</v>
      </c>
      <c r="Q29" s="21">
        <f t="shared" si="1"/>
        <v>0.346153846153846</v>
      </c>
      <c r="R29" s="21">
        <v>0</v>
      </c>
      <c r="S29" s="31">
        <v>0.00715583333333333</v>
      </c>
      <c r="T29" s="31">
        <v>0.0166666666666667</v>
      </c>
      <c r="U29" s="20">
        <v>0</v>
      </c>
      <c r="V29" s="21">
        <f t="shared" si="14"/>
        <v>0.736090226850461</v>
      </c>
      <c r="W29" s="20">
        <v>0.26</v>
      </c>
      <c r="X29" s="62">
        <f t="shared" si="2"/>
        <v>0.476090226850461</v>
      </c>
      <c r="Y29" s="75">
        <f t="shared" si="3"/>
        <v>0.0226421518160607</v>
      </c>
      <c r="Z29" s="76">
        <f t="shared" si="4"/>
        <v>0.470260076179721</v>
      </c>
      <c r="AA29" s="22">
        <f t="shared" si="5"/>
        <v>0.232384615384615</v>
      </c>
      <c r="AB29" s="76">
        <f t="shared" si="6"/>
        <v>0.31570126447532</v>
      </c>
      <c r="AC29" s="77">
        <f t="shared" si="7"/>
        <v>0.00972140788222564</v>
      </c>
      <c r="AD29" s="77">
        <f t="shared" si="8"/>
        <v>0</v>
      </c>
      <c r="AE29" s="77">
        <f t="shared" si="9"/>
        <v>0.949086581475181</v>
      </c>
      <c r="AF29" s="78">
        <v>77246</v>
      </c>
      <c r="AG29" s="83">
        <f t="shared" si="10"/>
        <v>0.947845496995192</v>
      </c>
      <c r="AH29" s="84">
        <f t="shared" si="11"/>
        <v>73217.2732608906</v>
      </c>
      <c r="AI29" s="85">
        <f t="shared" si="12"/>
        <v>56860.0256632907</v>
      </c>
      <c r="AJ29" s="85">
        <f t="shared" si="13"/>
        <v>20083.96</v>
      </c>
      <c r="AK29" s="1">
        <f t="shared" si="15"/>
        <v>25.2914798451485</v>
      </c>
      <c r="AL29" s="49">
        <f t="shared" si="16"/>
        <v>2.64555960382766</v>
      </c>
    </row>
    <row r="30" spans="1:38">
      <c r="A30" s="17">
        <v>26</v>
      </c>
      <c r="B30" s="18" t="s">
        <v>102</v>
      </c>
      <c r="C30" s="19" t="s">
        <v>103</v>
      </c>
      <c r="D30" s="20" t="s">
        <v>86</v>
      </c>
      <c r="E30" s="55">
        <v>0.023</v>
      </c>
      <c r="F30" s="55">
        <f>E30*1.03</f>
        <v>0.02369</v>
      </c>
      <c r="G30" s="21">
        <v>13.7168</v>
      </c>
      <c r="H30" s="56">
        <v>0.98</v>
      </c>
      <c r="I30" s="21">
        <f t="shared" si="0"/>
        <v>0.331582644897959</v>
      </c>
      <c r="J30" s="20" t="s">
        <v>44</v>
      </c>
      <c r="K30" s="21">
        <v>60</v>
      </c>
      <c r="L30" s="61">
        <v>60</v>
      </c>
      <c r="M30" s="20">
        <v>2</v>
      </c>
      <c r="N30" s="20">
        <v>27.15</v>
      </c>
      <c r="O30" s="20">
        <v>0.76</v>
      </c>
      <c r="P30" s="20">
        <v>22.5</v>
      </c>
      <c r="Q30" s="21">
        <f t="shared" si="1"/>
        <v>0.1875</v>
      </c>
      <c r="R30" s="21">
        <v>0</v>
      </c>
      <c r="S30" s="31">
        <v>0.0293483333333333</v>
      </c>
      <c r="T30" s="31">
        <v>0.0666666666666667</v>
      </c>
      <c r="U30" s="20">
        <v>0</v>
      </c>
      <c r="V30" s="21">
        <f t="shared" si="14"/>
        <v>0.781335393710954</v>
      </c>
      <c r="W30" s="20">
        <v>1.76</v>
      </c>
      <c r="X30" s="62">
        <f t="shared" si="2"/>
        <v>-0.978664606289046</v>
      </c>
      <c r="Y30" s="75">
        <f t="shared" si="3"/>
        <v>0.0853240070823277</v>
      </c>
      <c r="Z30" s="76">
        <f t="shared" si="4"/>
        <v>0.239973769919046</v>
      </c>
      <c r="AA30" s="22">
        <f t="shared" si="5"/>
        <v>0.085975</v>
      </c>
      <c r="AB30" s="76">
        <f t="shared" si="6"/>
        <v>0.110035972633547</v>
      </c>
      <c r="AC30" s="77">
        <f t="shared" si="7"/>
        <v>0.0375617610178176</v>
      </c>
      <c r="AD30" s="77">
        <f t="shared" si="8"/>
        <v>0</v>
      </c>
      <c r="AE30" s="77">
        <f t="shared" si="9"/>
        <v>0.575620600875244</v>
      </c>
      <c r="AF30" s="78">
        <v>2385</v>
      </c>
      <c r="AG30" s="83">
        <f t="shared" si="10"/>
        <v>1.00360146734694</v>
      </c>
      <c r="AH30" s="84">
        <f t="shared" si="11"/>
        <v>2393.58949962245</v>
      </c>
      <c r="AI30" s="85">
        <f t="shared" si="12"/>
        <v>1863.48491400062</v>
      </c>
      <c r="AJ30" s="85">
        <f t="shared" si="13"/>
        <v>4197.6</v>
      </c>
      <c r="AK30" s="1">
        <f t="shared" si="15"/>
        <v>3.02670083247507</v>
      </c>
      <c r="AL30" s="49">
        <f t="shared" si="16"/>
        <v>-0.429771893552876</v>
      </c>
    </row>
    <row r="31" spans="1:38">
      <c r="A31" s="17">
        <v>27</v>
      </c>
      <c r="B31" s="18" t="s">
        <v>104</v>
      </c>
      <c r="C31" s="19" t="s">
        <v>105</v>
      </c>
      <c r="D31" s="20" t="s">
        <v>86</v>
      </c>
      <c r="E31" s="55">
        <v>0.001</v>
      </c>
      <c r="F31" s="55">
        <v>0.00105</v>
      </c>
      <c r="G31" s="21">
        <v>13.7168</v>
      </c>
      <c r="H31" s="56">
        <v>0.98</v>
      </c>
      <c r="I31" s="21">
        <f t="shared" si="0"/>
        <v>0.0146965714285714</v>
      </c>
      <c r="J31" s="20" t="s">
        <v>44</v>
      </c>
      <c r="K31" s="21">
        <v>60</v>
      </c>
      <c r="L31" s="61">
        <v>60</v>
      </c>
      <c r="M31" s="20">
        <v>2</v>
      </c>
      <c r="N31" s="20">
        <v>27.15</v>
      </c>
      <c r="O31" s="20">
        <v>0.76</v>
      </c>
      <c r="P31" s="20">
        <v>22.5</v>
      </c>
      <c r="Q31" s="21">
        <f t="shared" si="1"/>
        <v>0.1875</v>
      </c>
      <c r="R31" s="21">
        <v>0</v>
      </c>
      <c r="S31" s="31">
        <v>0.00477055555555556</v>
      </c>
      <c r="T31" s="31">
        <v>0.0111111111111111</v>
      </c>
      <c r="U31" s="20">
        <v>0</v>
      </c>
      <c r="V31" s="21">
        <f t="shared" si="14"/>
        <v>0.34228007920311</v>
      </c>
      <c r="W31" s="20">
        <v>0.08</v>
      </c>
      <c r="X31" s="62">
        <f t="shared" si="2"/>
        <v>0.26228007920311</v>
      </c>
      <c r="Y31" s="75">
        <f t="shared" si="3"/>
        <v>0.0324620443497027</v>
      </c>
      <c r="Z31" s="76">
        <f t="shared" si="4"/>
        <v>0.547796998401233</v>
      </c>
      <c r="AA31" s="22">
        <f t="shared" si="5"/>
        <v>0.085975</v>
      </c>
      <c r="AB31" s="76">
        <f t="shared" si="6"/>
        <v>0.251183183666912</v>
      </c>
      <c r="AC31" s="77">
        <f t="shared" si="7"/>
        <v>0.0139375787415449</v>
      </c>
      <c r="AD31" s="77">
        <f t="shared" si="8"/>
        <v>0</v>
      </c>
      <c r="AE31" s="77">
        <f t="shared" si="9"/>
        <v>0.957062732184743</v>
      </c>
      <c r="AF31" s="78">
        <v>1200</v>
      </c>
      <c r="AG31" s="83">
        <f t="shared" si="10"/>
        <v>0.448139023809524</v>
      </c>
      <c r="AH31" s="84">
        <f t="shared" si="11"/>
        <v>537.766828571429</v>
      </c>
      <c r="AI31" s="85">
        <f t="shared" si="12"/>
        <v>410.736095043732</v>
      </c>
      <c r="AJ31" s="85">
        <f t="shared" si="13"/>
        <v>96</v>
      </c>
      <c r="AK31" s="1">
        <f t="shared" si="15"/>
        <v>30.492759892168</v>
      </c>
      <c r="AL31" s="49">
        <f t="shared" si="16"/>
        <v>4.60173779761905</v>
      </c>
    </row>
    <row r="32" spans="1:38">
      <c r="A32" s="17">
        <v>28</v>
      </c>
      <c r="B32" s="18" t="s">
        <v>106</v>
      </c>
      <c r="C32" s="19" t="s">
        <v>107</v>
      </c>
      <c r="D32" s="20" t="s">
        <v>43</v>
      </c>
      <c r="E32" s="55">
        <v>0.009</v>
      </c>
      <c r="F32" s="55">
        <v>0.00972</v>
      </c>
      <c r="G32" s="21">
        <v>15.3097</v>
      </c>
      <c r="H32" s="56">
        <v>0.9</v>
      </c>
      <c r="I32" s="21">
        <f t="shared" si="0"/>
        <v>0.16534476</v>
      </c>
      <c r="J32" s="20" t="s">
        <v>47</v>
      </c>
      <c r="K32" s="21">
        <v>60</v>
      </c>
      <c r="L32" s="61">
        <v>60</v>
      </c>
      <c r="M32" s="20">
        <v>2</v>
      </c>
      <c r="N32" s="20">
        <v>21.2</v>
      </c>
      <c r="O32" s="20">
        <v>0.76</v>
      </c>
      <c r="P32" s="20">
        <v>22.5</v>
      </c>
      <c r="Q32" s="21">
        <f t="shared" si="1"/>
        <v>0.1875</v>
      </c>
      <c r="R32" s="21">
        <v>0</v>
      </c>
      <c r="S32" s="31">
        <v>0.00702483333333333</v>
      </c>
      <c r="T32" s="31">
        <v>0.0166666666666667</v>
      </c>
      <c r="U32" s="20">
        <v>0</v>
      </c>
      <c r="V32" s="21">
        <f t="shared" si="14"/>
        <v>0.541664481777778</v>
      </c>
      <c r="W32" s="20">
        <v>1.35</v>
      </c>
      <c r="X32" s="62">
        <f t="shared" si="2"/>
        <v>-0.808335518222222</v>
      </c>
      <c r="Y32" s="75">
        <f t="shared" si="3"/>
        <v>0.030769354881763</v>
      </c>
      <c r="Z32" s="76">
        <f t="shared" si="4"/>
        <v>0.346155242419833</v>
      </c>
      <c r="AA32" s="22">
        <f t="shared" si="5"/>
        <v>0.0671333333333333</v>
      </c>
      <c r="AB32" s="76">
        <f t="shared" si="6"/>
        <v>0.123938961463741</v>
      </c>
      <c r="AC32" s="77">
        <f t="shared" si="7"/>
        <v>0.0129689753891143</v>
      </c>
      <c r="AD32" s="77">
        <f t="shared" si="8"/>
        <v>0</v>
      </c>
      <c r="AE32" s="77">
        <f t="shared" si="9"/>
        <v>0.694746904103205</v>
      </c>
      <c r="AF32" s="78">
        <v>1000</v>
      </c>
      <c r="AG32" s="83">
        <f t="shared" si="10"/>
        <v>0.65365864</v>
      </c>
      <c r="AH32" s="84">
        <f t="shared" si="11"/>
        <v>653.65864</v>
      </c>
      <c r="AI32" s="85">
        <f t="shared" si="12"/>
        <v>541.664481777778</v>
      </c>
      <c r="AJ32" s="85">
        <f t="shared" si="13"/>
        <v>1350</v>
      </c>
      <c r="AK32" s="1">
        <f t="shared" si="15"/>
        <v>3.95330725932893</v>
      </c>
      <c r="AL32" s="49">
        <f t="shared" si="16"/>
        <v>-0.515808414814815</v>
      </c>
    </row>
    <row r="33" spans="1:36">
      <c r="A33" s="17">
        <v>29</v>
      </c>
      <c r="B33" s="18" t="s">
        <v>108</v>
      </c>
      <c r="C33" s="19" t="s">
        <v>109</v>
      </c>
      <c r="D33" s="20" t="s">
        <v>43</v>
      </c>
      <c r="E33" s="55">
        <v>0.001189</v>
      </c>
      <c r="F33" s="55">
        <f>E33*1.03</f>
        <v>0.00122467</v>
      </c>
      <c r="G33" s="21">
        <v>15.3097</v>
      </c>
      <c r="H33" s="56">
        <v>0.98</v>
      </c>
      <c r="I33" s="21">
        <f t="shared" si="0"/>
        <v>0.0191319696928571</v>
      </c>
      <c r="J33" s="20" t="s">
        <v>44</v>
      </c>
      <c r="K33" s="21">
        <v>65.4545454545455</v>
      </c>
      <c r="L33" s="61">
        <v>55</v>
      </c>
      <c r="M33" s="20">
        <v>4</v>
      </c>
      <c r="N33" s="20">
        <v>27.15</v>
      </c>
      <c r="O33" s="20">
        <v>0.76</v>
      </c>
      <c r="P33" s="20">
        <v>22.5</v>
      </c>
      <c r="Q33" s="21">
        <f t="shared" si="1"/>
        <v>0.0859374999999999</v>
      </c>
      <c r="R33" s="21">
        <v>0</v>
      </c>
      <c r="S33" s="31">
        <v>0.00702483333333333</v>
      </c>
      <c r="T33" s="31">
        <v>0.0166666666666667</v>
      </c>
      <c r="U33" s="20">
        <v>0</v>
      </c>
      <c r="V33" s="21">
        <f t="shared" si="14"/>
        <v>0.187331186335787</v>
      </c>
      <c r="W33" s="20">
        <v>0.19</v>
      </c>
      <c r="X33" s="62">
        <f t="shared" si="2"/>
        <v>-0.00266881366421293</v>
      </c>
      <c r="Y33" s="75">
        <f t="shared" si="3"/>
        <v>0.0889689911897107</v>
      </c>
      <c r="Z33" s="76">
        <f t="shared" si="4"/>
        <v>0.458746360821945</v>
      </c>
      <c r="AA33" s="22">
        <f t="shared" si="5"/>
        <v>0.0394052083333333</v>
      </c>
      <c r="AB33" s="76">
        <f t="shared" si="6"/>
        <v>0.210350497982222</v>
      </c>
      <c r="AC33" s="77">
        <f t="shared" si="7"/>
        <v>0.0374995400965511</v>
      </c>
      <c r="AD33" s="77">
        <f t="shared" si="8"/>
        <v>0</v>
      </c>
      <c r="AE33" s="77">
        <f t="shared" si="9"/>
        <v>0.897870877417263</v>
      </c>
      <c r="AF33" s="78"/>
      <c r="AG33" s="83">
        <f t="shared" si="10"/>
        <v>0.240403517039286</v>
      </c>
      <c r="AH33" s="84">
        <f t="shared" si="11"/>
        <v>0</v>
      </c>
      <c r="AI33" s="85">
        <f t="shared" si="12"/>
        <v>0</v>
      </c>
      <c r="AJ33" s="85">
        <f t="shared" si="13"/>
        <v>0</v>
      </c>
    </row>
    <row r="34" spans="1:36">
      <c r="A34" s="17">
        <v>30</v>
      </c>
      <c r="B34" s="18" t="s">
        <v>110</v>
      </c>
      <c r="C34" s="19" t="s">
        <v>111</v>
      </c>
      <c r="D34" s="20" t="s">
        <v>43</v>
      </c>
      <c r="E34" s="55">
        <v>0.003</v>
      </c>
      <c r="F34" s="55">
        <v>0.00321</v>
      </c>
      <c r="G34" s="21">
        <v>15.3097</v>
      </c>
      <c r="H34" s="56">
        <v>0.98</v>
      </c>
      <c r="I34" s="21">
        <f t="shared" si="0"/>
        <v>0.0501470785714286</v>
      </c>
      <c r="J34" s="20" t="s">
        <v>44</v>
      </c>
      <c r="K34" s="21">
        <v>65.4545454545455</v>
      </c>
      <c r="L34" s="61">
        <v>55</v>
      </c>
      <c r="M34" s="20">
        <v>4</v>
      </c>
      <c r="N34" s="20">
        <v>27.15</v>
      </c>
      <c r="O34" s="20">
        <v>0.76</v>
      </c>
      <c r="P34" s="20">
        <v>22.5</v>
      </c>
      <c r="Q34" s="21">
        <f t="shared" si="1"/>
        <v>0.0859374999999999</v>
      </c>
      <c r="R34" s="21">
        <v>0</v>
      </c>
      <c r="S34" s="31">
        <v>0.00702483333333333</v>
      </c>
      <c r="T34" s="31">
        <v>0.0166666666666667</v>
      </c>
      <c r="U34" s="20">
        <v>0</v>
      </c>
      <c r="V34" s="21">
        <f t="shared" si="14"/>
        <v>0.222460544351312</v>
      </c>
      <c r="W34" s="20">
        <v>0.2</v>
      </c>
      <c r="X34" s="62">
        <f t="shared" si="2"/>
        <v>0.0224605443513119</v>
      </c>
      <c r="Y34" s="75">
        <f t="shared" si="3"/>
        <v>0.0749196524501286</v>
      </c>
      <c r="Z34" s="76">
        <f t="shared" si="4"/>
        <v>0.386304457945974</v>
      </c>
      <c r="AA34" s="22">
        <f t="shared" si="5"/>
        <v>0.0394052083333333</v>
      </c>
      <c r="AB34" s="76">
        <f t="shared" si="6"/>
        <v>0.177133470783494</v>
      </c>
      <c r="AC34" s="77">
        <f t="shared" si="7"/>
        <v>0.0315778843112046</v>
      </c>
      <c r="AD34" s="77">
        <f t="shared" si="8"/>
        <v>0</v>
      </c>
      <c r="AE34" s="77">
        <f t="shared" si="9"/>
        <v>0.774579898122357</v>
      </c>
      <c r="AF34" s="78"/>
      <c r="AG34" s="83">
        <f t="shared" si="10"/>
        <v>0.286926180357143</v>
      </c>
      <c r="AH34" s="84">
        <f t="shared" si="11"/>
        <v>0</v>
      </c>
      <c r="AI34" s="85">
        <f t="shared" si="12"/>
        <v>0</v>
      </c>
      <c r="AJ34" s="85">
        <f t="shared" si="13"/>
        <v>0</v>
      </c>
    </row>
    <row r="35" spans="1:36">
      <c r="A35" s="17">
        <v>31</v>
      </c>
      <c r="B35" s="18" t="s">
        <v>112</v>
      </c>
      <c r="C35" s="19" t="s">
        <v>113</v>
      </c>
      <c r="D35" s="20" t="s">
        <v>43</v>
      </c>
      <c r="E35" s="55">
        <v>0.002</v>
      </c>
      <c r="F35" s="55">
        <v>0.00214</v>
      </c>
      <c r="G35" s="21">
        <v>15.3097</v>
      </c>
      <c r="H35" s="56">
        <v>0.98</v>
      </c>
      <c r="I35" s="21">
        <f t="shared" si="0"/>
        <v>0.0334313857142857</v>
      </c>
      <c r="J35" s="20" t="s">
        <v>44</v>
      </c>
      <c r="K35" s="21">
        <v>65.4545454545455</v>
      </c>
      <c r="L35" s="61">
        <v>55</v>
      </c>
      <c r="M35" s="20">
        <v>4</v>
      </c>
      <c r="N35" s="20">
        <v>27.15</v>
      </c>
      <c r="O35" s="20">
        <v>0.76</v>
      </c>
      <c r="P35" s="20">
        <v>22.5</v>
      </c>
      <c r="Q35" s="21">
        <f t="shared" si="1"/>
        <v>0.0859374999999999</v>
      </c>
      <c r="R35" s="21">
        <v>0</v>
      </c>
      <c r="S35" s="31">
        <v>0.00702483333333333</v>
      </c>
      <c r="T35" s="31">
        <v>0.0166666666666667</v>
      </c>
      <c r="U35" s="20">
        <v>0</v>
      </c>
      <c r="V35" s="21">
        <f t="shared" si="14"/>
        <v>0.203527463666181</v>
      </c>
      <c r="W35" s="20">
        <v>0.19</v>
      </c>
      <c r="X35" s="62">
        <f t="shared" si="2"/>
        <v>0.0135274636661807</v>
      </c>
      <c r="Y35" s="75">
        <f t="shared" si="3"/>
        <v>0.0818890304357295</v>
      </c>
      <c r="Z35" s="76">
        <f t="shared" si="4"/>
        <v>0.422240313184229</v>
      </c>
      <c r="AA35" s="22">
        <f t="shared" si="5"/>
        <v>0.0394052083333333</v>
      </c>
      <c r="AB35" s="76">
        <f t="shared" si="6"/>
        <v>0.193611258272075</v>
      </c>
      <c r="AC35" s="77">
        <f t="shared" si="7"/>
        <v>0.0345154074383555</v>
      </c>
      <c r="AD35" s="77">
        <f t="shared" si="8"/>
        <v>0</v>
      </c>
      <c r="AE35" s="77">
        <f t="shared" si="9"/>
        <v>0.835740174264055</v>
      </c>
      <c r="AF35" s="78"/>
      <c r="AG35" s="83">
        <f t="shared" si="10"/>
        <v>0.261852641071428</v>
      </c>
      <c r="AH35" s="84">
        <f t="shared" si="11"/>
        <v>0</v>
      </c>
      <c r="AI35" s="85">
        <f t="shared" si="12"/>
        <v>0</v>
      </c>
      <c r="AJ35" s="85">
        <f t="shared" si="13"/>
        <v>0</v>
      </c>
    </row>
    <row r="36" spans="1:36">
      <c r="A36" s="17">
        <v>32</v>
      </c>
      <c r="B36" s="18" t="s">
        <v>114</v>
      </c>
      <c r="C36" s="19" t="s">
        <v>115</v>
      </c>
      <c r="D36" s="20" t="s">
        <v>43</v>
      </c>
      <c r="E36" s="55">
        <v>0.001</v>
      </c>
      <c r="F36" s="55">
        <v>0.00107</v>
      </c>
      <c r="G36" s="21">
        <v>15.3097</v>
      </c>
      <c r="H36" s="56">
        <v>0.98</v>
      </c>
      <c r="I36" s="21">
        <f t="shared" si="0"/>
        <v>0.0167156928571429</v>
      </c>
      <c r="J36" s="20" t="s">
        <v>44</v>
      </c>
      <c r="K36" s="21">
        <v>65.4545454545455</v>
      </c>
      <c r="L36" s="61">
        <v>55</v>
      </c>
      <c r="M36" s="20">
        <v>4</v>
      </c>
      <c r="N36" s="20">
        <v>27.15</v>
      </c>
      <c r="O36" s="20">
        <v>0.76</v>
      </c>
      <c r="P36" s="20">
        <v>22.5</v>
      </c>
      <c r="Q36" s="21">
        <f t="shared" si="1"/>
        <v>0.0859374999999999</v>
      </c>
      <c r="R36" s="21">
        <v>0</v>
      </c>
      <c r="S36" s="31">
        <v>0.00702483333333333</v>
      </c>
      <c r="T36" s="31">
        <v>0.0166666666666667</v>
      </c>
      <c r="U36" s="20">
        <v>0</v>
      </c>
      <c r="V36" s="21">
        <f t="shared" si="14"/>
        <v>0.18459438298105</v>
      </c>
      <c r="W36" s="20">
        <v>0.17</v>
      </c>
      <c r="X36" s="62">
        <f t="shared" si="2"/>
        <v>0.0145943829810496</v>
      </c>
      <c r="Y36" s="75">
        <f t="shared" si="3"/>
        <v>0.0902880488426221</v>
      </c>
      <c r="Z36" s="76">
        <f t="shared" si="4"/>
        <v>0.465547751844769</v>
      </c>
      <c r="AA36" s="22">
        <f t="shared" si="5"/>
        <v>0.0394052083333333</v>
      </c>
      <c r="AB36" s="76">
        <f t="shared" si="6"/>
        <v>0.213469162479221</v>
      </c>
      <c r="AC36" s="77">
        <f t="shared" si="7"/>
        <v>0.0380555097066767</v>
      </c>
      <c r="AD36" s="77">
        <f t="shared" si="8"/>
        <v>0</v>
      </c>
      <c r="AE36" s="77">
        <f t="shared" si="9"/>
        <v>0.909446362412561</v>
      </c>
      <c r="AF36" s="78"/>
      <c r="AG36" s="83">
        <f t="shared" si="10"/>
        <v>0.236779101785714</v>
      </c>
      <c r="AH36" s="84">
        <f t="shared" si="11"/>
        <v>0</v>
      </c>
      <c r="AI36" s="85">
        <f t="shared" si="12"/>
        <v>0</v>
      </c>
      <c r="AJ36" s="85">
        <f t="shared" si="13"/>
        <v>0</v>
      </c>
    </row>
    <row r="37" spans="1:38">
      <c r="A37" s="17">
        <v>33</v>
      </c>
      <c r="B37" s="18" t="s">
        <v>116</v>
      </c>
      <c r="C37" s="23" t="s">
        <v>117</v>
      </c>
      <c r="D37" s="20" t="s">
        <v>43</v>
      </c>
      <c r="E37" s="55">
        <v>0.002</v>
      </c>
      <c r="F37" s="55">
        <v>0.00214</v>
      </c>
      <c r="G37" s="21">
        <v>15.3097</v>
      </c>
      <c r="H37" s="56">
        <v>0.98</v>
      </c>
      <c r="I37" s="21">
        <f t="shared" si="0"/>
        <v>0.0334313857142857</v>
      </c>
      <c r="J37" s="20" t="s">
        <v>47</v>
      </c>
      <c r="K37" s="21">
        <v>65.4545454545455</v>
      </c>
      <c r="L37" s="61">
        <v>55</v>
      </c>
      <c r="M37" s="20">
        <v>2</v>
      </c>
      <c r="N37" s="20">
        <v>21.2</v>
      </c>
      <c r="O37" s="20">
        <v>0.76</v>
      </c>
      <c r="P37" s="20">
        <v>22.5</v>
      </c>
      <c r="Q37" s="21">
        <f t="shared" si="1"/>
        <v>0.171875</v>
      </c>
      <c r="R37" s="21">
        <v>0</v>
      </c>
      <c r="S37" s="31">
        <v>0.00280675333333333</v>
      </c>
      <c r="T37" s="31">
        <v>0.00666666666666667</v>
      </c>
      <c r="U37" s="20">
        <v>0</v>
      </c>
      <c r="V37" s="21">
        <f t="shared" si="14"/>
        <v>0.311716537152575</v>
      </c>
      <c r="W37" s="20">
        <v>0.27</v>
      </c>
      <c r="X37" s="62">
        <f t="shared" si="2"/>
        <v>0.0417165371525752</v>
      </c>
      <c r="Y37" s="75">
        <f t="shared" si="3"/>
        <v>0.0213869521571246</v>
      </c>
      <c r="Z37" s="76">
        <f t="shared" si="4"/>
        <v>0.551382360300867</v>
      </c>
      <c r="AA37" s="22">
        <f t="shared" si="5"/>
        <v>0.0615388888888888</v>
      </c>
      <c r="AB37" s="76">
        <f t="shared" si="6"/>
        <v>0.197419390870391</v>
      </c>
      <c r="AC37" s="77">
        <f t="shared" si="7"/>
        <v>0.00900418488852747</v>
      </c>
      <c r="AD37" s="77">
        <f t="shared" si="8"/>
        <v>0</v>
      </c>
      <c r="AE37" s="77">
        <f t="shared" si="9"/>
        <v>0.892750682977329</v>
      </c>
      <c r="AF37" s="78">
        <v>69020</v>
      </c>
      <c r="AG37" s="83">
        <f t="shared" si="10"/>
        <v>0.409741331904762</v>
      </c>
      <c r="AH37" s="84">
        <f t="shared" si="11"/>
        <v>28280.3467280666</v>
      </c>
      <c r="AI37" s="85">
        <f t="shared" si="12"/>
        <v>21514.6753942707</v>
      </c>
      <c r="AJ37" s="85">
        <f t="shared" si="13"/>
        <v>18635.4</v>
      </c>
      <c r="AK37" s="1">
        <f t="shared" si="15"/>
        <v>12.2561875061515</v>
      </c>
      <c r="AL37" s="49">
        <f t="shared" si="16"/>
        <v>0.517560488536154</v>
      </c>
    </row>
    <row r="38" ht="28" spans="1:38">
      <c r="A38" s="17">
        <v>34</v>
      </c>
      <c r="B38" s="18" t="s">
        <v>118</v>
      </c>
      <c r="C38" s="19" t="s">
        <v>119</v>
      </c>
      <c r="D38" s="20" t="s">
        <v>59</v>
      </c>
      <c r="E38" s="55">
        <v>0</v>
      </c>
      <c r="F38" s="55">
        <v>0.0152125</v>
      </c>
      <c r="G38" s="21">
        <v>18.5841</v>
      </c>
      <c r="H38" s="56">
        <v>0.96</v>
      </c>
      <c r="I38" s="21">
        <f t="shared" si="0"/>
        <v>0.29449023046875</v>
      </c>
      <c r="J38" s="20" t="s">
        <v>120</v>
      </c>
      <c r="K38" s="21">
        <v>60</v>
      </c>
      <c r="L38" s="61">
        <v>60</v>
      </c>
      <c r="M38" s="20">
        <v>4</v>
      </c>
      <c r="N38" s="20">
        <v>39.75</v>
      </c>
      <c r="O38" s="20">
        <v>0.76</v>
      </c>
      <c r="P38" s="20">
        <v>22.5</v>
      </c>
      <c r="Q38" s="21">
        <f t="shared" si="1"/>
        <v>0.09375</v>
      </c>
      <c r="R38" s="21">
        <v>0</v>
      </c>
      <c r="S38" s="31">
        <v>0.021031</v>
      </c>
      <c r="T38" s="31">
        <v>0.05</v>
      </c>
      <c r="U38" s="20">
        <v>0</v>
      </c>
      <c r="V38" s="21">
        <f t="shared" si="14"/>
        <v>0.592705250854492</v>
      </c>
      <c r="W38" s="20">
        <v>0.75</v>
      </c>
      <c r="X38" s="62">
        <f t="shared" si="2"/>
        <v>-0.157294749145508</v>
      </c>
      <c r="Y38" s="75">
        <f t="shared" si="3"/>
        <v>0.0843589624487313</v>
      </c>
      <c r="Z38" s="76">
        <f t="shared" si="4"/>
        <v>0.158173054591371</v>
      </c>
      <c r="AA38" s="22">
        <f t="shared" si="5"/>
        <v>0.0629375</v>
      </c>
      <c r="AB38" s="76">
        <f t="shared" si="6"/>
        <v>0.106186843982341</v>
      </c>
      <c r="AC38" s="77">
        <f t="shared" si="7"/>
        <v>0.0354830667851854</v>
      </c>
      <c r="AD38" s="77">
        <f t="shared" si="8"/>
        <v>0</v>
      </c>
      <c r="AE38" s="77">
        <f t="shared" si="9"/>
        <v>0.50314219412737</v>
      </c>
      <c r="AF38" s="78">
        <v>29366</v>
      </c>
      <c r="AG38" s="83">
        <f t="shared" si="10"/>
        <v>0.747797595703125</v>
      </c>
      <c r="AH38" s="84">
        <f t="shared" si="11"/>
        <v>21959.824195418</v>
      </c>
      <c r="AI38" s="85">
        <f t="shared" si="12"/>
        <v>17405.382396593</v>
      </c>
      <c r="AJ38" s="85">
        <f t="shared" si="13"/>
        <v>22024.5</v>
      </c>
      <c r="AK38" s="1">
        <f t="shared" ref="AK38:AK69" si="17">AG38/I38</f>
        <v>2.53929508803341</v>
      </c>
      <c r="AL38" s="49">
        <f t="shared" ref="AL38:AL69" si="18">(AG38-W38)/W38</f>
        <v>-0.00293653906249987</v>
      </c>
    </row>
    <row r="39" ht="28" spans="1:38">
      <c r="A39" s="17">
        <v>35</v>
      </c>
      <c r="B39" s="18" t="s">
        <v>121</v>
      </c>
      <c r="C39" s="19" t="s">
        <v>122</v>
      </c>
      <c r="D39" s="20" t="s">
        <v>59</v>
      </c>
      <c r="E39" s="55">
        <v>0.003</v>
      </c>
      <c r="F39" s="55">
        <v>0.0030333</v>
      </c>
      <c r="G39" s="21">
        <v>18.5841</v>
      </c>
      <c r="H39" s="56">
        <v>0.98</v>
      </c>
      <c r="I39" s="21">
        <f t="shared" si="0"/>
        <v>0.0575215821734694</v>
      </c>
      <c r="J39" s="20" t="s">
        <v>120</v>
      </c>
      <c r="K39" s="21">
        <v>65.4545454545455</v>
      </c>
      <c r="L39" s="61">
        <v>55</v>
      </c>
      <c r="M39" s="20">
        <v>3</v>
      </c>
      <c r="N39" s="20">
        <v>39.75</v>
      </c>
      <c r="O39" s="20">
        <v>0.76</v>
      </c>
      <c r="P39" s="20">
        <v>22.5</v>
      </c>
      <c r="Q39" s="21">
        <f t="shared" si="1"/>
        <v>0.114583333333333</v>
      </c>
      <c r="R39" s="21">
        <v>0</v>
      </c>
      <c r="S39" s="31">
        <v>0.00468322222222222</v>
      </c>
      <c r="T39" s="31">
        <v>0.0111111111111111</v>
      </c>
      <c r="U39" s="20">
        <v>0.2</v>
      </c>
      <c r="V39" s="21">
        <f t="shared" si="14"/>
        <v>0.497857256339338</v>
      </c>
      <c r="W39" s="20">
        <v>0.21</v>
      </c>
      <c r="X39" s="62">
        <f t="shared" si="2"/>
        <v>0.287857256339338</v>
      </c>
      <c r="Y39" s="75">
        <f t="shared" si="3"/>
        <v>0.0223178651503631</v>
      </c>
      <c r="Z39" s="76">
        <f t="shared" si="4"/>
        <v>0.23015298436312</v>
      </c>
      <c r="AA39" s="22">
        <f t="shared" si="5"/>
        <v>0.0769236111111111</v>
      </c>
      <c r="AB39" s="76">
        <f t="shared" si="6"/>
        <v>0.154509370169108</v>
      </c>
      <c r="AC39" s="77">
        <f t="shared" si="7"/>
        <v>0.00940675698222655</v>
      </c>
      <c r="AD39" s="77">
        <f t="shared" si="8"/>
        <v>0.401721572706536</v>
      </c>
      <c r="AE39" s="77">
        <f t="shared" si="9"/>
        <v>0.884461697723528</v>
      </c>
      <c r="AF39" s="78">
        <v>18895</v>
      </c>
      <c r="AG39" s="83">
        <f t="shared" si="10"/>
        <v>0.589337123260204</v>
      </c>
      <c r="AH39" s="84">
        <f t="shared" si="11"/>
        <v>11135.5249440016</v>
      </c>
      <c r="AI39" s="85">
        <f t="shared" si="12"/>
        <v>9407.01285853179</v>
      </c>
      <c r="AJ39" s="85">
        <f t="shared" si="13"/>
        <v>3967.95</v>
      </c>
      <c r="AK39" s="1">
        <f t="shared" si="17"/>
        <v>10.2454957077315</v>
      </c>
      <c r="AL39" s="49">
        <f t="shared" si="18"/>
        <v>1.80636725362002</v>
      </c>
    </row>
    <row r="40" ht="28" spans="1:38">
      <c r="A40" s="17">
        <v>36</v>
      </c>
      <c r="B40" s="18" t="s">
        <v>123</v>
      </c>
      <c r="C40" s="19" t="s">
        <v>124</v>
      </c>
      <c r="D40" s="20" t="s">
        <v>59</v>
      </c>
      <c r="E40" s="55">
        <v>0.003</v>
      </c>
      <c r="F40" s="55">
        <v>0.0030333</v>
      </c>
      <c r="G40" s="21">
        <v>18.5841</v>
      </c>
      <c r="H40" s="56">
        <v>0.98</v>
      </c>
      <c r="I40" s="21">
        <f t="shared" si="0"/>
        <v>0.0575215821734694</v>
      </c>
      <c r="J40" s="20" t="s">
        <v>120</v>
      </c>
      <c r="K40" s="21">
        <v>65.4545454545455</v>
      </c>
      <c r="L40" s="61">
        <v>55</v>
      </c>
      <c r="M40" s="20">
        <v>3</v>
      </c>
      <c r="N40" s="20">
        <v>39.75</v>
      </c>
      <c r="O40" s="20">
        <v>0.76</v>
      </c>
      <c r="P40" s="20">
        <v>22.5</v>
      </c>
      <c r="Q40" s="21">
        <f t="shared" si="1"/>
        <v>0.114583333333333</v>
      </c>
      <c r="R40" s="21">
        <v>0</v>
      </c>
      <c r="S40" s="31">
        <v>0.00468322222222222</v>
      </c>
      <c r="T40" s="31">
        <v>0.0111111111111111</v>
      </c>
      <c r="U40" s="20">
        <v>0.2</v>
      </c>
      <c r="V40" s="21">
        <f t="shared" si="14"/>
        <v>0.497857256339338</v>
      </c>
      <c r="W40" s="20">
        <v>0.21</v>
      </c>
      <c r="X40" s="62">
        <f t="shared" si="2"/>
        <v>0.287857256339338</v>
      </c>
      <c r="Y40" s="75">
        <f t="shared" si="3"/>
        <v>0.0223178651503631</v>
      </c>
      <c r="Z40" s="76">
        <f t="shared" si="4"/>
        <v>0.23015298436312</v>
      </c>
      <c r="AA40" s="22">
        <f t="shared" si="5"/>
        <v>0.0769236111111111</v>
      </c>
      <c r="AB40" s="76">
        <f t="shared" si="6"/>
        <v>0.154509370169108</v>
      </c>
      <c r="AC40" s="77">
        <f t="shared" si="7"/>
        <v>0.00940675698222655</v>
      </c>
      <c r="AD40" s="77">
        <f t="shared" si="8"/>
        <v>0.401721572706536</v>
      </c>
      <c r="AE40" s="77">
        <f t="shared" si="9"/>
        <v>0.884461697723528</v>
      </c>
      <c r="AF40" s="78">
        <v>21830</v>
      </c>
      <c r="AG40" s="83">
        <f t="shared" si="10"/>
        <v>0.589337123260204</v>
      </c>
      <c r="AH40" s="84">
        <f t="shared" si="11"/>
        <v>12865.2294007702</v>
      </c>
      <c r="AI40" s="85">
        <f t="shared" si="12"/>
        <v>10868.2239058877</v>
      </c>
      <c r="AJ40" s="85">
        <f t="shared" si="13"/>
        <v>4584.3</v>
      </c>
      <c r="AK40" s="1">
        <f t="shared" si="17"/>
        <v>10.2454957077315</v>
      </c>
      <c r="AL40" s="49">
        <f t="shared" si="18"/>
        <v>1.80636725362002</v>
      </c>
    </row>
    <row r="41" ht="28" spans="1:38">
      <c r="A41" s="17">
        <v>37</v>
      </c>
      <c r="B41" s="18" t="s">
        <v>125</v>
      </c>
      <c r="C41" s="19" t="s">
        <v>126</v>
      </c>
      <c r="D41" s="20" t="s">
        <v>59</v>
      </c>
      <c r="E41" s="55">
        <v>0.003</v>
      </c>
      <c r="F41" s="55">
        <v>0.0030333</v>
      </c>
      <c r="G41" s="21">
        <v>18.5841</v>
      </c>
      <c r="H41" s="56">
        <v>0.98</v>
      </c>
      <c r="I41" s="21">
        <f t="shared" si="0"/>
        <v>0.0575215821734694</v>
      </c>
      <c r="J41" s="20" t="s">
        <v>120</v>
      </c>
      <c r="K41" s="21">
        <v>65.4545454545455</v>
      </c>
      <c r="L41" s="61">
        <v>55</v>
      </c>
      <c r="M41" s="20">
        <v>3</v>
      </c>
      <c r="N41" s="20">
        <v>39.75</v>
      </c>
      <c r="O41" s="20">
        <v>0.76</v>
      </c>
      <c r="P41" s="20">
        <v>22.5</v>
      </c>
      <c r="Q41" s="21">
        <f t="shared" si="1"/>
        <v>0.114583333333333</v>
      </c>
      <c r="R41" s="21">
        <v>0</v>
      </c>
      <c r="S41" s="31">
        <v>0.00468322222222222</v>
      </c>
      <c r="T41" s="31">
        <v>0.0111111111111111</v>
      </c>
      <c r="U41" s="20">
        <v>0.2</v>
      </c>
      <c r="V41" s="21">
        <f t="shared" si="14"/>
        <v>0.497857256339338</v>
      </c>
      <c r="W41" s="20">
        <v>0.21</v>
      </c>
      <c r="X41" s="62">
        <f t="shared" si="2"/>
        <v>0.287857256339338</v>
      </c>
      <c r="Y41" s="75">
        <f t="shared" si="3"/>
        <v>0.0223178651503631</v>
      </c>
      <c r="Z41" s="76">
        <f t="shared" si="4"/>
        <v>0.23015298436312</v>
      </c>
      <c r="AA41" s="22">
        <f t="shared" si="5"/>
        <v>0.0769236111111111</v>
      </c>
      <c r="AB41" s="76">
        <f t="shared" si="6"/>
        <v>0.154509370169108</v>
      </c>
      <c r="AC41" s="77">
        <f t="shared" si="7"/>
        <v>0.00940675698222655</v>
      </c>
      <c r="AD41" s="77">
        <f t="shared" si="8"/>
        <v>0.401721572706536</v>
      </c>
      <c r="AE41" s="77">
        <f t="shared" si="9"/>
        <v>0.884461697723528</v>
      </c>
      <c r="AF41" s="78">
        <v>3440</v>
      </c>
      <c r="AG41" s="83">
        <f t="shared" si="10"/>
        <v>0.589337123260204</v>
      </c>
      <c r="AH41" s="84">
        <f t="shared" si="11"/>
        <v>2027.3197040151</v>
      </c>
      <c r="AI41" s="85">
        <f t="shared" si="12"/>
        <v>1712.62896180732</v>
      </c>
      <c r="AJ41" s="85">
        <f t="shared" si="13"/>
        <v>722.4</v>
      </c>
      <c r="AK41" s="1">
        <f t="shared" si="17"/>
        <v>10.2454957077315</v>
      </c>
      <c r="AL41" s="49">
        <f t="shared" si="18"/>
        <v>1.80636725362002</v>
      </c>
    </row>
    <row r="42" ht="28" spans="1:38">
      <c r="A42" s="17">
        <v>38</v>
      </c>
      <c r="B42" s="18" t="s">
        <v>127</v>
      </c>
      <c r="C42" s="19" t="s">
        <v>128</v>
      </c>
      <c r="D42" s="20" t="s">
        <v>86</v>
      </c>
      <c r="E42" s="55">
        <v>0.006</v>
      </c>
      <c r="F42" s="55">
        <v>0.0063</v>
      </c>
      <c r="G42" s="21">
        <v>13.7168</v>
      </c>
      <c r="H42" s="56">
        <v>0.98</v>
      </c>
      <c r="I42" s="21">
        <f t="shared" si="0"/>
        <v>0.0881794285714286</v>
      </c>
      <c r="J42" s="20" t="s">
        <v>47</v>
      </c>
      <c r="K42" s="21">
        <v>55.3846153846154</v>
      </c>
      <c r="L42" s="61">
        <v>65</v>
      </c>
      <c r="M42" s="20">
        <v>8</v>
      </c>
      <c r="N42" s="20">
        <v>21.2</v>
      </c>
      <c r="O42" s="20">
        <v>0.76</v>
      </c>
      <c r="P42" s="20">
        <v>22.5</v>
      </c>
      <c r="Q42" s="21">
        <f t="shared" si="1"/>
        <v>0.05078125</v>
      </c>
      <c r="R42" s="21">
        <v>0</v>
      </c>
      <c r="S42" s="31">
        <v>0.00468322222222222</v>
      </c>
      <c r="T42" s="31">
        <v>0.0111111111111111</v>
      </c>
      <c r="U42" s="20">
        <v>0</v>
      </c>
      <c r="V42" s="21">
        <f t="shared" si="14"/>
        <v>0.193782406341108</v>
      </c>
      <c r="W42" s="20">
        <v>0.28</v>
      </c>
      <c r="X42" s="62">
        <f t="shared" si="2"/>
        <v>-0.0862175936588921</v>
      </c>
      <c r="Y42" s="75">
        <f t="shared" si="3"/>
        <v>0.0573380799676552</v>
      </c>
      <c r="Z42" s="76">
        <f t="shared" si="4"/>
        <v>0.262052943602174</v>
      </c>
      <c r="AA42" s="22">
        <f t="shared" si="5"/>
        <v>0.0181819444444444</v>
      </c>
      <c r="AB42" s="76">
        <f t="shared" si="6"/>
        <v>0.0938266006070719</v>
      </c>
      <c r="AC42" s="77">
        <f t="shared" si="7"/>
        <v>0.024167427325567</v>
      </c>
      <c r="AD42" s="77">
        <f t="shared" si="8"/>
        <v>0</v>
      </c>
      <c r="AE42" s="77">
        <f t="shared" si="9"/>
        <v>0.544956478576235</v>
      </c>
      <c r="AF42" s="78">
        <v>13700</v>
      </c>
      <c r="AG42" s="83">
        <f t="shared" si="10"/>
        <v>0.251508267857143</v>
      </c>
      <c r="AH42" s="84">
        <f t="shared" si="11"/>
        <v>3445.66326964286</v>
      </c>
      <c r="AI42" s="85">
        <f t="shared" si="12"/>
        <v>2654.81896687318</v>
      </c>
      <c r="AJ42" s="85">
        <f t="shared" si="13"/>
        <v>3836</v>
      </c>
      <c r="AK42" s="1">
        <f t="shared" si="17"/>
        <v>2.85223290660601</v>
      </c>
      <c r="AL42" s="49">
        <f t="shared" si="18"/>
        <v>-0.10175618622449</v>
      </c>
    </row>
    <row r="43" spans="1:38">
      <c r="A43" s="17">
        <v>39</v>
      </c>
      <c r="B43" s="18" t="s">
        <v>129</v>
      </c>
      <c r="C43" s="23" t="s">
        <v>130</v>
      </c>
      <c r="D43" s="20" t="s">
        <v>43</v>
      </c>
      <c r="E43" s="55">
        <v>0.012</v>
      </c>
      <c r="F43" s="55">
        <v>0.01296</v>
      </c>
      <c r="G43" s="21">
        <v>15.3097</v>
      </c>
      <c r="H43" s="56">
        <v>0.94</v>
      </c>
      <c r="I43" s="21">
        <f t="shared" si="0"/>
        <v>0.211078417021277</v>
      </c>
      <c r="J43" s="20" t="s">
        <v>44</v>
      </c>
      <c r="K43" s="21">
        <v>51.4285714285715</v>
      </c>
      <c r="L43" s="61">
        <v>69.9999999999999</v>
      </c>
      <c r="M43" s="20">
        <v>2</v>
      </c>
      <c r="N43" s="20">
        <v>27.15</v>
      </c>
      <c r="O43" s="20">
        <v>0.76</v>
      </c>
      <c r="P43" s="20">
        <v>22.5</v>
      </c>
      <c r="Q43" s="21">
        <f t="shared" si="1"/>
        <v>0.21875</v>
      </c>
      <c r="R43" s="21">
        <v>0</v>
      </c>
      <c r="S43" s="31">
        <v>0.022338</v>
      </c>
      <c r="T43" s="31">
        <v>0.05</v>
      </c>
      <c r="U43" s="20">
        <v>0</v>
      </c>
      <c r="V43" s="21">
        <f t="shared" si="14"/>
        <v>0.698345625418742</v>
      </c>
      <c r="W43" s="20">
        <v>1.33</v>
      </c>
      <c r="X43" s="62">
        <f t="shared" si="2"/>
        <v>-0.631654374581258</v>
      </c>
      <c r="Y43" s="75">
        <f t="shared" si="3"/>
        <v>0.0715977850795858</v>
      </c>
      <c r="Z43" s="76">
        <f t="shared" si="4"/>
        <v>0.313240309723187</v>
      </c>
      <c r="AA43" s="22">
        <f t="shared" si="5"/>
        <v>0.100304166666667</v>
      </c>
      <c r="AB43" s="76">
        <f t="shared" si="6"/>
        <v>0.143631123351739</v>
      </c>
      <c r="AC43" s="77">
        <f t="shared" si="7"/>
        <v>0.0319870264621558</v>
      </c>
      <c r="AD43" s="77">
        <f t="shared" si="8"/>
        <v>0</v>
      </c>
      <c r="AE43" s="77">
        <f t="shared" si="9"/>
        <v>0.697745057263429</v>
      </c>
      <c r="AF43" s="78">
        <v>1050</v>
      </c>
      <c r="AG43" s="83">
        <f t="shared" si="10"/>
        <v>0.867536875531915</v>
      </c>
      <c r="AH43" s="84">
        <f t="shared" si="11"/>
        <v>910.913719308511</v>
      </c>
      <c r="AI43" s="85">
        <f t="shared" si="12"/>
        <v>733.262906689679</v>
      </c>
      <c r="AJ43" s="85">
        <f t="shared" si="13"/>
        <v>1396.5</v>
      </c>
      <c r="AK43" s="1">
        <f t="shared" si="17"/>
        <v>4.11002170555631</v>
      </c>
      <c r="AL43" s="49">
        <f t="shared" si="18"/>
        <v>-0.34771663493841</v>
      </c>
    </row>
    <row r="44" spans="1:38">
      <c r="A44" s="17">
        <v>40</v>
      </c>
      <c r="B44" s="18" t="s">
        <v>131</v>
      </c>
      <c r="C44" s="23" t="s">
        <v>132</v>
      </c>
      <c r="D44" s="20" t="s">
        <v>86</v>
      </c>
      <c r="E44" s="55">
        <v>0</v>
      </c>
      <c r="F44" s="55">
        <v>0.0848</v>
      </c>
      <c r="G44" s="21">
        <v>13.7168</v>
      </c>
      <c r="H44" s="56">
        <v>0.95</v>
      </c>
      <c r="I44" s="21">
        <f t="shared" si="0"/>
        <v>1.22440488421053</v>
      </c>
      <c r="J44" s="20" t="s">
        <v>87</v>
      </c>
      <c r="K44" s="21">
        <v>34.2857142857143</v>
      </c>
      <c r="L44" s="61">
        <v>105</v>
      </c>
      <c r="M44" s="20">
        <v>2</v>
      </c>
      <c r="N44" s="20">
        <v>75.9</v>
      </c>
      <c r="O44" s="20">
        <v>0.76</v>
      </c>
      <c r="P44" s="20">
        <v>22.5</v>
      </c>
      <c r="Q44" s="21">
        <f t="shared" si="1"/>
        <v>0.328125</v>
      </c>
      <c r="R44" s="21">
        <v>0</v>
      </c>
      <c r="S44" s="31">
        <v>0.0560826666666667</v>
      </c>
      <c r="T44" s="31">
        <v>0.133333333333333</v>
      </c>
      <c r="U44" s="20">
        <v>0</v>
      </c>
      <c r="V44" s="21">
        <f t="shared" si="14"/>
        <v>2.49487710155125</v>
      </c>
      <c r="W44" s="20">
        <v>3.65</v>
      </c>
      <c r="X44" s="62">
        <f t="shared" si="2"/>
        <v>-1.15512289844875</v>
      </c>
      <c r="Y44" s="75">
        <f t="shared" si="3"/>
        <v>0.0534428462429792</v>
      </c>
      <c r="Z44" s="76">
        <f t="shared" si="4"/>
        <v>0.131519504426082</v>
      </c>
      <c r="AA44" s="22">
        <f t="shared" si="5"/>
        <v>0.4206125</v>
      </c>
      <c r="AB44" s="76">
        <f t="shared" si="6"/>
        <v>0.168590468740313</v>
      </c>
      <c r="AC44" s="77">
        <f t="shared" si="7"/>
        <v>0.022479129986722</v>
      </c>
      <c r="AD44" s="77">
        <f t="shared" si="8"/>
        <v>0</v>
      </c>
      <c r="AE44" s="77">
        <f t="shared" si="9"/>
        <v>0.509232385254878</v>
      </c>
      <c r="AF44" s="78">
        <v>8451</v>
      </c>
      <c r="AG44" s="83">
        <f t="shared" si="10"/>
        <v>3.14912957631579</v>
      </c>
      <c r="AH44" s="84">
        <f t="shared" si="11"/>
        <v>26613.2940494448</v>
      </c>
      <c r="AI44" s="85">
        <f t="shared" si="12"/>
        <v>21084.2063852096</v>
      </c>
      <c r="AJ44" s="85">
        <f t="shared" si="13"/>
        <v>30846.15</v>
      </c>
      <c r="AK44" s="1">
        <f t="shared" si="17"/>
        <v>2.57196750594987</v>
      </c>
      <c r="AL44" s="49">
        <f t="shared" si="18"/>
        <v>-0.137224773612111</v>
      </c>
    </row>
    <row r="45" spans="1:38">
      <c r="A45" s="17">
        <v>41</v>
      </c>
      <c r="B45" s="18" t="s">
        <v>133</v>
      </c>
      <c r="C45" s="23" t="s">
        <v>134</v>
      </c>
      <c r="D45" s="20" t="s">
        <v>86</v>
      </c>
      <c r="E45" s="55">
        <v>0</v>
      </c>
      <c r="F45" s="55">
        <v>0.23956</v>
      </c>
      <c r="G45" s="21">
        <v>13.7168</v>
      </c>
      <c r="H45" s="56">
        <v>0.95</v>
      </c>
      <c r="I45" s="21">
        <f t="shared" si="0"/>
        <v>3.45894379789474</v>
      </c>
      <c r="J45" s="20" t="s">
        <v>87</v>
      </c>
      <c r="K45" s="21">
        <v>34.2857142857143</v>
      </c>
      <c r="L45" s="61">
        <v>105</v>
      </c>
      <c r="M45" s="20">
        <v>2</v>
      </c>
      <c r="N45" s="20">
        <v>75.9</v>
      </c>
      <c r="O45" s="20">
        <v>0.76</v>
      </c>
      <c r="P45" s="20">
        <v>22.5</v>
      </c>
      <c r="Q45" s="21">
        <f t="shared" si="1"/>
        <v>0.328125</v>
      </c>
      <c r="R45" s="21">
        <v>0</v>
      </c>
      <c r="S45" s="31">
        <v>0.084124</v>
      </c>
      <c r="T45" s="31">
        <v>0.2</v>
      </c>
      <c r="U45" s="20">
        <v>0</v>
      </c>
      <c r="V45" s="21">
        <f t="shared" si="14"/>
        <v>5.20046741122438</v>
      </c>
      <c r="W45" s="20">
        <v>8.87</v>
      </c>
      <c r="X45" s="62">
        <f t="shared" si="2"/>
        <v>-3.66953258877562</v>
      </c>
      <c r="Y45" s="75">
        <f t="shared" si="3"/>
        <v>0.0384580815886533</v>
      </c>
      <c r="Z45" s="76">
        <f t="shared" si="4"/>
        <v>0.0630952901063843</v>
      </c>
      <c r="AA45" s="22">
        <f t="shared" si="5"/>
        <v>0.4206125</v>
      </c>
      <c r="AB45" s="76">
        <f t="shared" si="6"/>
        <v>0.0808797492110372</v>
      </c>
      <c r="AC45" s="77">
        <f t="shared" si="7"/>
        <v>0.0161762382778194</v>
      </c>
      <c r="AD45" s="77">
        <f t="shared" si="8"/>
        <v>0</v>
      </c>
      <c r="AE45" s="77">
        <f t="shared" si="9"/>
        <v>0.334878286049988</v>
      </c>
      <c r="AF45" s="78">
        <v>3710</v>
      </c>
      <c r="AG45" s="83">
        <f t="shared" si="10"/>
        <v>6.59564594684211</v>
      </c>
      <c r="AH45" s="84">
        <f t="shared" si="11"/>
        <v>24469.8464627842</v>
      </c>
      <c r="AI45" s="85">
        <f t="shared" si="12"/>
        <v>19293.7340956425</v>
      </c>
      <c r="AJ45" s="85">
        <f t="shared" si="13"/>
        <v>32907.7</v>
      </c>
      <c r="AK45" s="1">
        <f t="shared" si="17"/>
        <v>1.90683813679092</v>
      </c>
      <c r="AL45" s="49">
        <f t="shared" si="18"/>
        <v>-0.256409701596154</v>
      </c>
    </row>
    <row r="46" ht="28" spans="1:38">
      <c r="A46" s="17">
        <v>42</v>
      </c>
      <c r="B46" s="18" t="s">
        <v>135</v>
      </c>
      <c r="C46" s="19" t="s">
        <v>136</v>
      </c>
      <c r="D46" s="20" t="s">
        <v>86</v>
      </c>
      <c r="E46" s="55">
        <v>0.085</v>
      </c>
      <c r="F46" s="55">
        <v>0.08925</v>
      </c>
      <c r="G46" s="21">
        <v>13.7168</v>
      </c>
      <c r="H46" s="56">
        <v>0.95</v>
      </c>
      <c r="I46" s="21">
        <f t="shared" si="0"/>
        <v>1.28865726315789</v>
      </c>
      <c r="J46" s="20" t="s">
        <v>87</v>
      </c>
      <c r="K46" s="21">
        <v>48</v>
      </c>
      <c r="L46" s="61">
        <v>75</v>
      </c>
      <c r="M46" s="20">
        <v>2</v>
      </c>
      <c r="N46" s="20">
        <v>75.9</v>
      </c>
      <c r="O46" s="20">
        <v>0.76</v>
      </c>
      <c r="P46" s="20">
        <v>22.5</v>
      </c>
      <c r="Q46" s="21">
        <f t="shared" si="1"/>
        <v>0.234375</v>
      </c>
      <c r="R46" s="21">
        <v>0</v>
      </c>
      <c r="S46" s="31">
        <v>0.0947811111111111</v>
      </c>
      <c r="T46" s="31">
        <v>0.222222222222222</v>
      </c>
      <c r="U46" s="20">
        <v>0.3</v>
      </c>
      <c r="V46" s="21">
        <f t="shared" si="14"/>
        <v>2.74758379344413</v>
      </c>
      <c r="W46" s="20">
        <v>3.45</v>
      </c>
      <c r="X46" s="62">
        <f t="shared" si="2"/>
        <v>-0.702416206555869</v>
      </c>
      <c r="Y46" s="75">
        <f t="shared" si="3"/>
        <v>0.0808791428863626</v>
      </c>
      <c r="Z46" s="76">
        <f t="shared" si="4"/>
        <v>0.0853022210129606</v>
      </c>
      <c r="AA46" s="22">
        <f t="shared" si="5"/>
        <v>0.3004375</v>
      </c>
      <c r="AB46" s="76">
        <f t="shared" si="6"/>
        <v>0.109346073709147</v>
      </c>
      <c r="AC46" s="77">
        <f t="shared" si="7"/>
        <v>0.034496167628177</v>
      </c>
      <c r="AD46" s="77">
        <f t="shared" si="8"/>
        <v>0.10918684289659</v>
      </c>
      <c r="AE46" s="77">
        <f t="shared" si="9"/>
        <v>0.530985272866768</v>
      </c>
      <c r="AF46" s="78">
        <v>4296</v>
      </c>
      <c r="AG46" s="83">
        <f t="shared" si="10"/>
        <v>3.35220797807017</v>
      </c>
      <c r="AH46" s="84">
        <f t="shared" si="11"/>
        <v>14401.0854737894</v>
      </c>
      <c r="AI46" s="85">
        <f t="shared" si="12"/>
        <v>11803.619976636</v>
      </c>
      <c r="AJ46" s="85">
        <f t="shared" si="13"/>
        <v>14821.2</v>
      </c>
      <c r="AK46" s="1">
        <f t="shared" si="17"/>
        <v>2.60131849942435</v>
      </c>
      <c r="AL46" s="49">
        <f t="shared" si="18"/>
        <v>-0.0283455136028499</v>
      </c>
    </row>
    <row r="47" ht="28" spans="1:38">
      <c r="A47" s="17">
        <v>43</v>
      </c>
      <c r="B47" s="18" t="s">
        <v>137</v>
      </c>
      <c r="C47" s="19" t="s">
        <v>138</v>
      </c>
      <c r="D47" s="20" t="s">
        <v>86</v>
      </c>
      <c r="E47" s="55">
        <v>0.085</v>
      </c>
      <c r="F47" s="55">
        <v>0.08925</v>
      </c>
      <c r="G47" s="21">
        <v>13.7168</v>
      </c>
      <c r="H47" s="56">
        <v>0.95</v>
      </c>
      <c r="I47" s="21">
        <f t="shared" si="0"/>
        <v>1.28865726315789</v>
      </c>
      <c r="J47" s="20" t="s">
        <v>87</v>
      </c>
      <c r="K47" s="21">
        <v>48</v>
      </c>
      <c r="L47" s="61">
        <v>75</v>
      </c>
      <c r="M47" s="20">
        <v>2</v>
      </c>
      <c r="N47" s="20">
        <v>75.9</v>
      </c>
      <c r="O47" s="20">
        <v>0.76</v>
      </c>
      <c r="P47" s="20">
        <v>22.5</v>
      </c>
      <c r="Q47" s="21">
        <f t="shared" si="1"/>
        <v>0.234375</v>
      </c>
      <c r="R47" s="21">
        <v>0</v>
      </c>
      <c r="S47" s="31">
        <v>0.0947811111111111</v>
      </c>
      <c r="T47" s="31">
        <v>0.222222222222222</v>
      </c>
      <c r="U47" s="20">
        <v>0</v>
      </c>
      <c r="V47" s="21">
        <f t="shared" si="14"/>
        <v>2.44758379344413</v>
      </c>
      <c r="W47" s="20">
        <v>3.45</v>
      </c>
      <c r="X47" s="62">
        <f t="shared" si="2"/>
        <v>-1.00241620655587</v>
      </c>
      <c r="Y47" s="75">
        <f t="shared" si="3"/>
        <v>0.0907924880110114</v>
      </c>
      <c r="Z47" s="76">
        <f t="shared" si="4"/>
        <v>0.0957577021991136</v>
      </c>
      <c r="AA47" s="22">
        <f t="shared" si="5"/>
        <v>0.3004375</v>
      </c>
      <c r="AB47" s="76">
        <f t="shared" si="6"/>
        <v>0.122748606525637</v>
      </c>
      <c r="AC47" s="77">
        <f t="shared" si="7"/>
        <v>0.0387243580240165</v>
      </c>
      <c r="AD47" s="77">
        <f t="shared" si="8"/>
        <v>0</v>
      </c>
      <c r="AE47" s="77">
        <f t="shared" si="9"/>
        <v>0.473498203979955</v>
      </c>
      <c r="AF47" s="78">
        <v>6550</v>
      </c>
      <c r="AG47" s="83">
        <f t="shared" si="10"/>
        <v>3.05220797807017</v>
      </c>
      <c r="AH47" s="84">
        <f t="shared" si="11"/>
        <v>19991.9622563596</v>
      </c>
      <c r="AI47" s="85">
        <f t="shared" si="12"/>
        <v>16031.6738470591</v>
      </c>
      <c r="AJ47" s="85">
        <f t="shared" si="13"/>
        <v>22597.5</v>
      </c>
      <c r="AK47" s="1">
        <f t="shared" si="17"/>
        <v>2.36851804225326</v>
      </c>
      <c r="AL47" s="49">
        <f t="shared" si="18"/>
        <v>-0.11530203534198</v>
      </c>
    </row>
    <row r="48" ht="15" customHeight="1" spans="1:38">
      <c r="A48" s="17">
        <v>44</v>
      </c>
      <c r="B48" s="18" t="s">
        <v>139</v>
      </c>
      <c r="C48" s="19" t="s">
        <v>140</v>
      </c>
      <c r="D48" s="20" t="s">
        <v>86</v>
      </c>
      <c r="E48" s="55">
        <v>0.035</v>
      </c>
      <c r="F48" s="55">
        <v>0.03675</v>
      </c>
      <c r="G48" s="21">
        <v>13.7168</v>
      </c>
      <c r="H48" s="56">
        <v>0.93</v>
      </c>
      <c r="I48" s="21">
        <f t="shared" si="0"/>
        <v>0.542034838709677</v>
      </c>
      <c r="J48" s="20" t="s">
        <v>120</v>
      </c>
      <c r="K48" s="21">
        <v>51.4285714285715</v>
      </c>
      <c r="L48" s="61">
        <v>69.9999999999999</v>
      </c>
      <c r="M48" s="20">
        <v>2</v>
      </c>
      <c r="N48" s="20">
        <v>39.75</v>
      </c>
      <c r="O48" s="20">
        <v>0.76</v>
      </c>
      <c r="P48" s="20">
        <v>22.5</v>
      </c>
      <c r="Q48" s="21">
        <f t="shared" si="1"/>
        <v>0.21875</v>
      </c>
      <c r="R48" s="21">
        <v>0</v>
      </c>
      <c r="S48" s="31">
        <v>0.0140496666666667</v>
      </c>
      <c r="T48" s="31">
        <v>0.0333333333333333</v>
      </c>
      <c r="U48" s="20">
        <v>0</v>
      </c>
      <c r="V48" s="21">
        <f t="shared" si="14"/>
        <v>1.13069407093305</v>
      </c>
      <c r="W48" s="20">
        <v>1.56</v>
      </c>
      <c r="X48" s="62">
        <f t="shared" si="2"/>
        <v>-0.429305929066945</v>
      </c>
      <c r="Y48" s="75">
        <f t="shared" si="3"/>
        <v>0.0294804175508115</v>
      </c>
      <c r="Z48" s="76">
        <f t="shared" si="4"/>
        <v>0.1934652401772</v>
      </c>
      <c r="AA48" s="22">
        <f t="shared" si="5"/>
        <v>0.146854166666666</v>
      </c>
      <c r="AB48" s="76">
        <f t="shared" si="6"/>
        <v>0.129879664572294</v>
      </c>
      <c r="AC48" s="77">
        <f t="shared" si="7"/>
        <v>0.0124257011934916</v>
      </c>
      <c r="AD48" s="77">
        <f t="shared" si="8"/>
        <v>0</v>
      </c>
      <c r="AE48" s="77">
        <f t="shared" si="9"/>
        <v>0.520617598832559</v>
      </c>
      <c r="AF48" s="78">
        <v>7368</v>
      </c>
      <c r="AG48" s="83">
        <f t="shared" si="10"/>
        <v>1.40884150806451</v>
      </c>
      <c r="AH48" s="84">
        <f t="shared" si="11"/>
        <v>10380.3442314193</v>
      </c>
      <c r="AI48" s="85">
        <f t="shared" si="12"/>
        <v>8330.95391463475</v>
      </c>
      <c r="AJ48" s="85">
        <f t="shared" si="13"/>
        <v>11494.08</v>
      </c>
      <c r="AK48" s="1">
        <f t="shared" si="17"/>
        <v>2.59917150605722</v>
      </c>
      <c r="AL48" s="49">
        <f t="shared" si="18"/>
        <v>-0.0968964691894138</v>
      </c>
    </row>
    <row r="49" spans="1:38">
      <c r="A49" s="17">
        <v>45</v>
      </c>
      <c r="B49" s="18" t="s">
        <v>141</v>
      </c>
      <c r="C49" s="19" t="s">
        <v>142</v>
      </c>
      <c r="D49" s="20" t="s">
        <v>143</v>
      </c>
      <c r="E49" s="55">
        <v>0</v>
      </c>
      <c r="F49" s="55">
        <v>0.0176</v>
      </c>
      <c r="G49" s="21">
        <v>60.177</v>
      </c>
      <c r="H49" s="56">
        <v>0.65</v>
      </c>
      <c r="I49" s="21">
        <f t="shared" si="0"/>
        <v>1.629408</v>
      </c>
      <c r="J49" s="20" t="s">
        <v>65</v>
      </c>
      <c r="K49" s="21">
        <v>65</v>
      </c>
      <c r="L49" s="61">
        <v>55.3846153846154</v>
      </c>
      <c r="M49" s="20">
        <v>4</v>
      </c>
      <c r="N49" s="20">
        <v>48.5</v>
      </c>
      <c r="O49" s="20">
        <v>0.76</v>
      </c>
      <c r="P49" s="20">
        <v>22.5</v>
      </c>
      <c r="Q49" s="21">
        <f t="shared" si="1"/>
        <v>0.0865384615384615</v>
      </c>
      <c r="R49" s="21">
        <v>0</v>
      </c>
      <c r="S49" s="31">
        <v>0.022338</v>
      </c>
      <c r="T49" s="31">
        <v>0.05</v>
      </c>
      <c r="U49" s="20">
        <v>0</v>
      </c>
      <c r="V49" s="21">
        <f t="shared" si="14"/>
        <v>3.1236956852071</v>
      </c>
      <c r="W49" s="20">
        <v>2.87</v>
      </c>
      <c r="X49" s="62">
        <f t="shared" si="2"/>
        <v>0.2536956852071</v>
      </c>
      <c r="Y49" s="75">
        <f t="shared" si="3"/>
        <v>0.0160066808802103</v>
      </c>
      <c r="Z49" s="76">
        <f t="shared" si="4"/>
        <v>0.0277038707542102</v>
      </c>
      <c r="AA49" s="22">
        <f t="shared" si="5"/>
        <v>0.0708846153846154</v>
      </c>
      <c r="AB49" s="76">
        <f t="shared" si="6"/>
        <v>0.0226925483555597</v>
      </c>
      <c r="AC49" s="77">
        <f t="shared" si="7"/>
        <v>0.00715114475004277</v>
      </c>
      <c r="AD49" s="77">
        <f t="shared" si="8"/>
        <v>0</v>
      </c>
      <c r="AE49" s="77">
        <f t="shared" si="9"/>
        <v>0.478371722406765</v>
      </c>
      <c r="AF49" s="78">
        <v>68310</v>
      </c>
      <c r="AG49" s="83">
        <f t="shared" si="10"/>
        <v>2.75258461538461</v>
      </c>
      <c r="AH49" s="84">
        <f t="shared" si="11"/>
        <v>188029.055076923</v>
      </c>
      <c r="AI49" s="85">
        <f t="shared" si="12"/>
        <v>213379.652256497</v>
      </c>
      <c r="AJ49" s="85">
        <f t="shared" si="13"/>
        <v>196049.7</v>
      </c>
      <c r="AK49" s="1">
        <f t="shared" si="17"/>
        <v>1.6893157609295</v>
      </c>
      <c r="AL49" s="49">
        <f t="shared" si="18"/>
        <v>-0.0409112838381133</v>
      </c>
    </row>
    <row r="50" spans="1:38">
      <c r="A50" s="17">
        <v>46</v>
      </c>
      <c r="B50" s="18" t="s">
        <v>144</v>
      </c>
      <c r="C50" s="19" t="s">
        <v>145</v>
      </c>
      <c r="D50" s="20" t="s">
        <v>86</v>
      </c>
      <c r="E50" s="55">
        <v>0.015</v>
      </c>
      <c r="F50" s="55">
        <v>0.01575</v>
      </c>
      <c r="G50" s="21">
        <v>13.7168</v>
      </c>
      <c r="H50" s="56">
        <v>0.98</v>
      </c>
      <c r="I50" s="21">
        <f t="shared" si="0"/>
        <v>0.220448571428571</v>
      </c>
      <c r="J50" s="20" t="s">
        <v>65</v>
      </c>
      <c r="K50" s="21">
        <v>48</v>
      </c>
      <c r="L50" s="61">
        <v>75</v>
      </c>
      <c r="M50" s="20">
        <v>2</v>
      </c>
      <c r="N50" s="20">
        <v>48.5</v>
      </c>
      <c r="O50" s="20">
        <v>0.76</v>
      </c>
      <c r="P50" s="20">
        <v>22.5</v>
      </c>
      <c r="Q50" s="21">
        <f t="shared" si="1"/>
        <v>0.234375</v>
      </c>
      <c r="R50" s="21">
        <v>0</v>
      </c>
      <c r="S50" s="31">
        <v>0.0293483333333333</v>
      </c>
      <c r="T50" s="31">
        <v>0.0666666666666667</v>
      </c>
      <c r="U50" s="20">
        <v>0</v>
      </c>
      <c r="V50" s="21">
        <f t="shared" si="14"/>
        <v>0.828618101311953</v>
      </c>
      <c r="W50" s="20">
        <v>1.09</v>
      </c>
      <c r="X50" s="62">
        <f t="shared" si="2"/>
        <v>-0.261381898688047</v>
      </c>
      <c r="Y50" s="75">
        <f t="shared" si="3"/>
        <v>0.0804552381381884</v>
      </c>
      <c r="Z50" s="76">
        <f t="shared" si="4"/>
        <v>0.282850446579568</v>
      </c>
      <c r="AA50" s="22">
        <f t="shared" si="5"/>
        <v>0.191979166666667</v>
      </c>
      <c r="AB50" s="76">
        <f t="shared" si="6"/>
        <v>0.231685943576064</v>
      </c>
      <c r="AC50" s="77">
        <f t="shared" si="7"/>
        <v>0.0354184072093839</v>
      </c>
      <c r="AD50" s="77">
        <f t="shared" si="8"/>
        <v>0</v>
      </c>
      <c r="AE50" s="77">
        <f t="shared" si="9"/>
        <v>0.733956365327363</v>
      </c>
      <c r="AF50" s="78">
        <v>10533</v>
      </c>
      <c r="AG50" s="83">
        <f t="shared" si="10"/>
        <v>1.06621910714286</v>
      </c>
      <c r="AH50" s="84">
        <f t="shared" si="11"/>
        <v>11230.4858555357</v>
      </c>
      <c r="AI50" s="85">
        <f t="shared" si="12"/>
        <v>8727.8344611188</v>
      </c>
      <c r="AJ50" s="85">
        <f t="shared" si="13"/>
        <v>11480.97</v>
      </c>
      <c r="AK50" s="1">
        <f t="shared" si="17"/>
        <v>4.83658887074407</v>
      </c>
      <c r="AL50" s="49">
        <f t="shared" si="18"/>
        <v>-0.0218173328964619</v>
      </c>
    </row>
    <row r="51" spans="1:38">
      <c r="A51" s="17">
        <v>47</v>
      </c>
      <c r="B51" s="18" t="s">
        <v>146</v>
      </c>
      <c r="C51" s="19" t="s">
        <v>147</v>
      </c>
      <c r="D51" s="20" t="s">
        <v>43</v>
      </c>
      <c r="E51" s="55">
        <v>0</v>
      </c>
      <c r="F51" s="55">
        <v>0.01625</v>
      </c>
      <c r="G51" s="21">
        <v>15.3097</v>
      </c>
      <c r="H51" s="56">
        <v>0.95</v>
      </c>
      <c r="I51" s="21">
        <f t="shared" si="0"/>
        <v>0.261876447368421</v>
      </c>
      <c r="J51" s="20" t="s">
        <v>44</v>
      </c>
      <c r="K51" s="21">
        <v>65</v>
      </c>
      <c r="L51" s="61">
        <v>55.3846153846154</v>
      </c>
      <c r="M51" s="20">
        <v>2</v>
      </c>
      <c r="N51" s="20">
        <v>27.15</v>
      </c>
      <c r="O51" s="20">
        <v>0.76</v>
      </c>
      <c r="P51" s="20">
        <v>22.5</v>
      </c>
      <c r="Q51" s="21">
        <f t="shared" si="1"/>
        <v>0.173076923076923</v>
      </c>
      <c r="R51" s="21">
        <v>0</v>
      </c>
      <c r="S51" s="31">
        <v>0.022338</v>
      </c>
      <c r="T51" s="31">
        <v>0.05</v>
      </c>
      <c r="U51" s="20">
        <v>0</v>
      </c>
      <c r="V51" s="21">
        <f t="shared" si="14"/>
        <v>0.673274367249094</v>
      </c>
      <c r="W51" s="20">
        <v>0.76</v>
      </c>
      <c r="X51" s="62">
        <f t="shared" si="2"/>
        <v>-0.0867256327509057</v>
      </c>
      <c r="Y51" s="75">
        <f t="shared" si="3"/>
        <v>0.0742639292867974</v>
      </c>
      <c r="Z51" s="76">
        <f t="shared" si="4"/>
        <v>0.257067447531222</v>
      </c>
      <c r="AA51" s="22">
        <f t="shared" si="5"/>
        <v>0.0793615384615385</v>
      </c>
      <c r="AB51" s="76">
        <f t="shared" si="6"/>
        <v>0.117873993607983</v>
      </c>
      <c r="AC51" s="77">
        <f t="shared" si="7"/>
        <v>0.0331781530481696</v>
      </c>
      <c r="AD51" s="77">
        <f t="shared" si="8"/>
        <v>0</v>
      </c>
      <c r="AE51" s="77">
        <f t="shared" si="9"/>
        <v>0.611040520615077</v>
      </c>
      <c r="AF51" s="78">
        <v>10565</v>
      </c>
      <c r="AG51" s="83">
        <f t="shared" si="10"/>
        <v>0.843810363360324</v>
      </c>
      <c r="AH51" s="84">
        <f t="shared" si="11"/>
        <v>8914.85648890182</v>
      </c>
      <c r="AI51" s="85">
        <f t="shared" si="12"/>
        <v>7113.14368998668</v>
      </c>
      <c r="AJ51" s="85">
        <f t="shared" si="13"/>
        <v>8029.4</v>
      </c>
      <c r="AK51" s="1">
        <f t="shared" si="17"/>
        <v>3.22216973630014</v>
      </c>
      <c r="AL51" s="49">
        <f t="shared" si="18"/>
        <v>0.110276793895163</v>
      </c>
    </row>
    <row r="52" ht="28" spans="1:36">
      <c r="A52" s="17">
        <v>48</v>
      </c>
      <c r="B52" s="18" t="s">
        <v>148</v>
      </c>
      <c r="C52" s="19" t="s">
        <v>149</v>
      </c>
      <c r="D52" s="20" t="s">
        <v>43</v>
      </c>
      <c r="E52" s="55">
        <v>0.014</v>
      </c>
      <c r="F52" s="55">
        <v>0.0147</v>
      </c>
      <c r="G52" s="21">
        <v>15.3097</v>
      </c>
      <c r="H52" s="56">
        <v>0.95</v>
      </c>
      <c r="I52" s="21">
        <f t="shared" si="0"/>
        <v>0.236897463157895</v>
      </c>
      <c r="J52" s="20" t="s">
        <v>44</v>
      </c>
      <c r="K52" s="21">
        <v>55.3846153846154</v>
      </c>
      <c r="L52" s="61">
        <v>65</v>
      </c>
      <c r="M52" s="20">
        <v>2</v>
      </c>
      <c r="N52" s="20">
        <v>27.15</v>
      </c>
      <c r="O52" s="20">
        <v>0.76</v>
      </c>
      <c r="P52" s="20">
        <v>22.5</v>
      </c>
      <c r="Q52" s="21">
        <f t="shared" si="1"/>
        <v>0.203125</v>
      </c>
      <c r="R52" s="21">
        <v>0</v>
      </c>
      <c r="S52" s="31">
        <v>0.0375736</v>
      </c>
      <c r="T52" s="31">
        <v>0.08</v>
      </c>
      <c r="U52" s="20">
        <v>0</v>
      </c>
      <c r="V52" s="21">
        <f t="shared" si="14"/>
        <v>0.740531359584488</v>
      </c>
      <c r="W52" s="20">
        <v>0.76</v>
      </c>
      <c r="X52" s="62">
        <f t="shared" si="2"/>
        <v>-0.0194686404155122</v>
      </c>
      <c r="Y52" s="75">
        <f t="shared" si="3"/>
        <v>0.108030536404141</v>
      </c>
      <c r="Z52" s="76">
        <f t="shared" si="4"/>
        <v>0.274296283838639</v>
      </c>
      <c r="AA52" s="22">
        <f t="shared" si="5"/>
        <v>0.0931395833333333</v>
      </c>
      <c r="AB52" s="76">
        <f t="shared" si="6"/>
        <v>0.125773989349477</v>
      </c>
      <c r="AC52" s="77">
        <f t="shared" si="7"/>
        <v>0.0507387020329329</v>
      </c>
      <c r="AD52" s="77">
        <f t="shared" si="8"/>
        <v>0</v>
      </c>
      <c r="AE52" s="77">
        <f t="shared" si="9"/>
        <v>0.680097999778405</v>
      </c>
      <c r="AF52" s="78">
        <v>0</v>
      </c>
      <c r="AG52" s="83">
        <f t="shared" si="10"/>
        <v>0.917316669736842</v>
      </c>
      <c r="AH52" s="84">
        <f t="shared" si="11"/>
        <v>0</v>
      </c>
      <c r="AI52" s="85">
        <f t="shared" si="12"/>
        <v>0</v>
      </c>
      <c r="AJ52" s="85">
        <f t="shared" si="13"/>
        <v>0</v>
      </c>
    </row>
    <row r="53" spans="1:38">
      <c r="A53" s="17">
        <v>49</v>
      </c>
      <c r="B53" s="18" t="s">
        <v>150</v>
      </c>
      <c r="C53" s="19" t="s">
        <v>151</v>
      </c>
      <c r="D53" s="20" t="s">
        <v>86</v>
      </c>
      <c r="E53" s="55">
        <v>0.008</v>
      </c>
      <c r="F53" s="55">
        <v>0.00848</v>
      </c>
      <c r="G53" s="21">
        <v>13.7168</v>
      </c>
      <c r="H53" s="56">
        <v>0.99</v>
      </c>
      <c r="I53" s="21">
        <f t="shared" si="0"/>
        <v>0.117493397979798</v>
      </c>
      <c r="J53" s="20" t="s">
        <v>120</v>
      </c>
      <c r="K53" s="21">
        <v>55.3846153846154</v>
      </c>
      <c r="L53" s="61">
        <v>65</v>
      </c>
      <c r="M53" s="20">
        <v>2</v>
      </c>
      <c r="N53" s="20">
        <v>39.75</v>
      </c>
      <c r="O53" s="20">
        <v>0.76</v>
      </c>
      <c r="P53" s="20">
        <v>22.5</v>
      </c>
      <c r="Q53" s="21">
        <f t="shared" si="1"/>
        <v>0.203125</v>
      </c>
      <c r="R53" s="21">
        <v>0</v>
      </c>
      <c r="S53" s="31">
        <v>0.0286233333333333</v>
      </c>
      <c r="T53" s="31">
        <v>0.0666666666666667</v>
      </c>
      <c r="U53" s="20">
        <v>0</v>
      </c>
      <c r="V53" s="21">
        <f t="shared" si="14"/>
        <v>0.607664857835935</v>
      </c>
      <c r="W53" s="20">
        <v>0.72</v>
      </c>
      <c r="X53" s="62">
        <f t="shared" si="2"/>
        <v>-0.112335142164065</v>
      </c>
      <c r="Y53" s="75">
        <f t="shared" si="3"/>
        <v>0.109709597003989</v>
      </c>
      <c r="Z53" s="76">
        <f t="shared" si="4"/>
        <v>0.334271428371529</v>
      </c>
      <c r="AA53" s="22">
        <f t="shared" si="5"/>
        <v>0.136364583333333</v>
      </c>
      <c r="AB53" s="76">
        <f t="shared" si="6"/>
        <v>0.224407552246753</v>
      </c>
      <c r="AC53" s="77">
        <f t="shared" si="7"/>
        <v>0.0471038154736626</v>
      </c>
      <c r="AD53" s="77">
        <f t="shared" si="8"/>
        <v>0</v>
      </c>
      <c r="AE53" s="77">
        <f t="shared" si="9"/>
        <v>0.806647699855106</v>
      </c>
      <c r="AF53" s="78">
        <v>9608</v>
      </c>
      <c r="AG53" s="83">
        <f t="shared" si="10"/>
        <v>0.780764471969697</v>
      </c>
      <c r="AH53" s="84">
        <f t="shared" si="11"/>
        <v>7501.58504668485</v>
      </c>
      <c r="AI53" s="85">
        <f t="shared" si="12"/>
        <v>5838.44395408766</v>
      </c>
      <c r="AJ53" s="85">
        <f t="shared" si="13"/>
        <v>6917.76</v>
      </c>
      <c r="AK53" s="1">
        <f t="shared" si="17"/>
        <v>6.64517739204328</v>
      </c>
      <c r="AL53" s="49">
        <f t="shared" si="18"/>
        <v>0.0843950999579124</v>
      </c>
    </row>
    <row r="54" spans="1:38">
      <c r="A54" s="17">
        <v>50</v>
      </c>
      <c r="B54" s="18" t="s">
        <v>152</v>
      </c>
      <c r="C54" s="19" t="s">
        <v>153</v>
      </c>
      <c r="D54" s="20" t="s">
        <v>86</v>
      </c>
      <c r="E54" s="55">
        <v>0.052</v>
      </c>
      <c r="F54" s="55">
        <v>0.05616</v>
      </c>
      <c r="G54" s="21">
        <v>13.7168</v>
      </c>
      <c r="H54" s="56">
        <v>0.98</v>
      </c>
      <c r="I54" s="21">
        <f t="shared" si="0"/>
        <v>0.786056620408163</v>
      </c>
      <c r="J54" s="20" t="s">
        <v>87</v>
      </c>
      <c r="K54" s="21">
        <v>48</v>
      </c>
      <c r="L54" s="61">
        <v>75</v>
      </c>
      <c r="M54" s="20">
        <v>2</v>
      </c>
      <c r="N54" s="20">
        <v>75.9</v>
      </c>
      <c r="O54" s="20">
        <v>0.76</v>
      </c>
      <c r="P54" s="20">
        <v>22.5</v>
      </c>
      <c r="Q54" s="21">
        <f t="shared" si="1"/>
        <v>0.234375</v>
      </c>
      <c r="R54" s="21">
        <v>0</v>
      </c>
      <c r="S54" s="31">
        <v>0.097224</v>
      </c>
      <c r="T54" s="31">
        <v>0.2</v>
      </c>
      <c r="U54" s="20">
        <v>0.3</v>
      </c>
      <c r="V54" s="21">
        <f t="shared" si="14"/>
        <v>2.09331045270721</v>
      </c>
      <c r="W54" s="20">
        <v>3.15</v>
      </c>
      <c r="X54" s="62">
        <f t="shared" si="2"/>
        <v>-1.05668954729279</v>
      </c>
      <c r="Y54" s="75">
        <f t="shared" si="3"/>
        <v>0.0955424455753073</v>
      </c>
      <c r="Z54" s="76">
        <f t="shared" si="4"/>
        <v>0.111963803408563</v>
      </c>
      <c r="AA54" s="22">
        <f t="shared" si="5"/>
        <v>0.3004375</v>
      </c>
      <c r="AB54" s="76">
        <f t="shared" si="6"/>
        <v>0.143522667462657</v>
      </c>
      <c r="AC54" s="77">
        <f t="shared" si="7"/>
        <v>0.0464450936430684</v>
      </c>
      <c r="AD54" s="77">
        <f t="shared" si="8"/>
        <v>0.143313668362961</v>
      </c>
      <c r="AE54" s="77">
        <f t="shared" si="9"/>
        <v>0.624491140627716</v>
      </c>
      <c r="AF54" s="78">
        <v>19664</v>
      </c>
      <c r="AG54" s="83">
        <f t="shared" si="10"/>
        <v>2.57852768061224</v>
      </c>
      <c r="AH54" s="84">
        <f t="shared" si="11"/>
        <v>50704.1683115592</v>
      </c>
      <c r="AI54" s="85">
        <f t="shared" si="12"/>
        <v>41162.8567420345</v>
      </c>
      <c r="AJ54" s="85">
        <f t="shared" si="13"/>
        <v>61941.6</v>
      </c>
      <c r="AK54" s="1">
        <f t="shared" si="17"/>
        <v>3.28033326565373</v>
      </c>
      <c r="AL54" s="49">
        <f t="shared" si="18"/>
        <v>-0.181419783932621</v>
      </c>
    </row>
    <row r="55" spans="1:38">
      <c r="A55" s="17">
        <v>51</v>
      </c>
      <c r="B55" s="18" t="s">
        <v>154</v>
      </c>
      <c r="C55" s="19" t="s">
        <v>155</v>
      </c>
      <c r="D55" s="20" t="s">
        <v>86</v>
      </c>
      <c r="E55" s="55">
        <v>0.052</v>
      </c>
      <c r="F55" s="55">
        <v>0.05616</v>
      </c>
      <c r="G55" s="21">
        <v>13.7168</v>
      </c>
      <c r="H55" s="56">
        <v>0.98</v>
      </c>
      <c r="I55" s="21">
        <f t="shared" si="0"/>
        <v>0.786056620408163</v>
      </c>
      <c r="J55" s="20" t="s">
        <v>87</v>
      </c>
      <c r="K55" s="21">
        <v>48</v>
      </c>
      <c r="L55" s="61">
        <v>75</v>
      </c>
      <c r="M55" s="20">
        <v>2</v>
      </c>
      <c r="N55" s="20">
        <v>75.9</v>
      </c>
      <c r="O55" s="20">
        <v>0.76</v>
      </c>
      <c r="P55" s="20">
        <v>22.5</v>
      </c>
      <c r="Q55" s="21">
        <f t="shared" si="1"/>
        <v>0.234375</v>
      </c>
      <c r="R55" s="21">
        <v>0</v>
      </c>
      <c r="S55" s="31">
        <v>0.106571111111111</v>
      </c>
      <c r="T55" s="31">
        <v>0.222222222222222</v>
      </c>
      <c r="U55" s="20">
        <v>0.3</v>
      </c>
      <c r="V55" s="21">
        <f t="shared" si="14"/>
        <v>2.12487978604054</v>
      </c>
      <c r="W55" s="20">
        <v>3.15</v>
      </c>
      <c r="X55" s="62">
        <f t="shared" si="2"/>
        <v>-1.02512021395946</v>
      </c>
      <c r="Y55" s="75">
        <f t="shared" si="3"/>
        <v>0.104581079683716</v>
      </c>
      <c r="Z55" s="76">
        <f t="shared" si="4"/>
        <v>0.110300357478919</v>
      </c>
      <c r="AA55" s="22">
        <f t="shared" si="5"/>
        <v>0.3004375</v>
      </c>
      <c r="AB55" s="76">
        <f t="shared" si="6"/>
        <v>0.141390351573643</v>
      </c>
      <c r="AC55" s="77">
        <f t="shared" si="7"/>
        <v>0.0501539483839195</v>
      </c>
      <c r="AD55" s="77">
        <f t="shared" si="8"/>
        <v>0.141184457573016</v>
      </c>
      <c r="AE55" s="77">
        <f t="shared" si="9"/>
        <v>0.630070074753317</v>
      </c>
      <c r="AF55" s="78">
        <v>0</v>
      </c>
      <c r="AG55" s="83">
        <f t="shared" si="10"/>
        <v>2.61009701394558</v>
      </c>
      <c r="AH55" s="84">
        <f t="shared" si="11"/>
        <v>0</v>
      </c>
      <c r="AI55" s="85">
        <f t="shared" si="12"/>
        <v>0</v>
      </c>
      <c r="AJ55" s="85">
        <f t="shared" si="13"/>
        <v>0</v>
      </c>
      <c r="AK55" s="1">
        <f t="shared" si="17"/>
        <v>3.32049491878877</v>
      </c>
      <c r="AL55" s="49">
        <f t="shared" si="18"/>
        <v>-0.17139777335061</v>
      </c>
    </row>
    <row r="56" ht="28" spans="1:38">
      <c r="A56" s="17">
        <v>52</v>
      </c>
      <c r="B56" s="18" t="s">
        <v>156</v>
      </c>
      <c r="C56" s="19" t="s">
        <v>157</v>
      </c>
      <c r="D56" s="20" t="s">
        <v>86</v>
      </c>
      <c r="E56" s="55">
        <f>31.627/1000</f>
        <v>0.031627</v>
      </c>
      <c r="F56" s="55">
        <f>E56*1.03</f>
        <v>0.03257581</v>
      </c>
      <c r="G56" s="21">
        <v>13.7168</v>
      </c>
      <c r="H56" s="56">
        <v>0.96</v>
      </c>
      <c r="I56" s="21">
        <f t="shared" si="0"/>
        <v>0.465454031883333</v>
      </c>
      <c r="J56" s="20" t="s">
        <v>87</v>
      </c>
      <c r="K56" s="21">
        <v>45</v>
      </c>
      <c r="L56" s="61">
        <v>80</v>
      </c>
      <c r="M56" s="20">
        <v>1</v>
      </c>
      <c r="N56" s="20">
        <v>75.9</v>
      </c>
      <c r="O56" s="20">
        <v>0.76</v>
      </c>
      <c r="P56" s="20">
        <v>22.5</v>
      </c>
      <c r="Q56" s="21">
        <f t="shared" si="1"/>
        <v>0.5</v>
      </c>
      <c r="R56" s="21">
        <v>0</v>
      </c>
      <c r="S56" s="31">
        <v>0.084124</v>
      </c>
      <c r="T56" s="31">
        <v>0.2</v>
      </c>
      <c r="U56" s="20">
        <v>0</v>
      </c>
      <c r="V56" s="21">
        <f t="shared" si="14"/>
        <v>2.14150939103177</v>
      </c>
      <c r="W56" s="20">
        <v>3.31</v>
      </c>
      <c r="X56" s="62">
        <f t="shared" si="2"/>
        <v>-1.16849060896823</v>
      </c>
      <c r="Y56" s="75">
        <f t="shared" si="3"/>
        <v>0.0933920723567973</v>
      </c>
      <c r="Z56" s="76">
        <f t="shared" si="4"/>
        <v>0.233480180891993</v>
      </c>
      <c r="AA56" s="22">
        <f t="shared" si="5"/>
        <v>0.640933333333333</v>
      </c>
      <c r="AB56" s="76">
        <f t="shared" si="6"/>
        <v>0.29929046121275</v>
      </c>
      <c r="AC56" s="77">
        <f t="shared" si="7"/>
        <v>0.0392825734747161</v>
      </c>
      <c r="AD56" s="77">
        <f t="shared" si="8"/>
        <v>0</v>
      </c>
      <c r="AE56" s="77">
        <f t="shared" si="9"/>
        <v>0.782651416877944</v>
      </c>
      <c r="AF56" s="78">
        <v>58120</v>
      </c>
      <c r="AG56" s="83">
        <f t="shared" si="10"/>
        <v>2.693705047825</v>
      </c>
      <c r="AH56" s="84">
        <f t="shared" si="11"/>
        <v>156558.137379589</v>
      </c>
      <c r="AI56" s="85">
        <f t="shared" si="12"/>
        <v>124464.525806767</v>
      </c>
      <c r="AJ56" s="85">
        <f t="shared" si="13"/>
        <v>192377.2</v>
      </c>
      <c r="AK56" s="1">
        <f t="shared" si="17"/>
        <v>5.78726332421197</v>
      </c>
      <c r="AL56" s="49">
        <f t="shared" si="18"/>
        <v>-0.186191828451662</v>
      </c>
    </row>
    <row r="57" ht="28" spans="1:36">
      <c r="A57" s="17">
        <v>53</v>
      </c>
      <c r="B57" s="18" t="s">
        <v>158</v>
      </c>
      <c r="C57" s="19" t="s">
        <v>159</v>
      </c>
      <c r="D57" s="20" t="s">
        <v>86</v>
      </c>
      <c r="E57" s="55">
        <v>0.078</v>
      </c>
      <c r="F57" s="55">
        <v>0.0819</v>
      </c>
      <c r="G57" s="21">
        <v>13.7168</v>
      </c>
      <c r="H57" s="56">
        <v>0.96</v>
      </c>
      <c r="I57" s="21">
        <f t="shared" si="0"/>
        <v>1.1702145</v>
      </c>
      <c r="J57" s="20" t="s">
        <v>87</v>
      </c>
      <c r="K57" s="21">
        <v>45</v>
      </c>
      <c r="L57" s="61">
        <v>80</v>
      </c>
      <c r="M57" s="20">
        <v>2</v>
      </c>
      <c r="N57" s="20">
        <v>75.9</v>
      </c>
      <c r="O57" s="20">
        <v>0.76</v>
      </c>
      <c r="P57" s="20">
        <v>22.5</v>
      </c>
      <c r="Q57" s="21">
        <f t="shared" si="1"/>
        <v>0.25</v>
      </c>
      <c r="R57" s="21">
        <v>0</v>
      </c>
      <c r="S57" s="31">
        <v>0.084124</v>
      </c>
      <c r="T57" s="31">
        <v>0.2</v>
      </c>
      <c r="U57" s="20">
        <v>0</v>
      </c>
      <c r="V57" s="21">
        <f t="shared" si="14"/>
        <v>2.29678659895833</v>
      </c>
      <c r="W57" s="20">
        <v>3.31</v>
      </c>
      <c r="X57" s="62">
        <f t="shared" si="2"/>
        <v>-1.01321340104167</v>
      </c>
      <c r="Y57" s="75">
        <f t="shared" si="3"/>
        <v>0.0870781813559459</v>
      </c>
      <c r="Z57" s="76">
        <f t="shared" si="4"/>
        <v>0.108847726694932</v>
      </c>
      <c r="AA57" s="22">
        <f t="shared" si="5"/>
        <v>0.320466666666667</v>
      </c>
      <c r="AB57" s="76">
        <f t="shared" si="6"/>
        <v>0.139528272592677</v>
      </c>
      <c r="AC57" s="77">
        <f t="shared" si="7"/>
        <v>0.036626824641938</v>
      </c>
      <c r="AD57" s="77">
        <f t="shared" si="8"/>
        <v>0</v>
      </c>
      <c r="AE57" s="77">
        <f t="shared" si="9"/>
        <v>0.490499247718212</v>
      </c>
      <c r="AF57" s="78">
        <v>0</v>
      </c>
      <c r="AG57" s="83">
        <f t="shared" si="10"/>
        <v>2.89514575</v>
      </c>
      <c r="AH57" s="84">
        <f t="shared" si="11"/>
        <v>0</v>
      </c>
      <c r="AI57" s="85">
        <f t="shared" si="12"/>
        <v>0</v>
      </c>
      <c r="AJ57" s="85">
        <f t="shared" si="13"/>
        <v>0</v>
      </c>
    </row>
    <row r="58" ht="28" spans="1:36">
      <c r="A58" s="17">
        <v>54</v>
      </c>
      <c r="B58" s="18" t="s">
        <v>160</v>
      </c>
      <c r="C58" s="19" t="s">
        <v>161</v>
      </c>
      <c r="D58" s="20" t="s">
        <v>143</v>
      </c>
      <c r="E58" s="55">
        <v>0.015</v>
      </c>
      <c r="F58" s="55">
        <v>0.021</v>
      </c>
      <c r="G58" s="21">
        <v>60.177</v>
      </c>
      <c r="H58" s="56">
        <v>0.65</v>
      </c>
      <c r="I58" s="21">
        <f t="shared" si="0"/>
        <v>1.94418</v>
      </c>
      <c r="J58" s="20" t="s">
        <v>87</v>
      </c>
      <c r="K58" s="21">
        <v>36</v>
      </c>
      <c r="L58" s="61">
        <v>100</v>
      </c>
      <c r="M58" s="20">
        <v>2</v>
      </c>
      <c r="N58" s="20">
        <v>75.9</v>
      </c>
      <c r="O58" s="20">
        <v>0.76</v>
      </c>
      <c r="P58" s="20">
        <v>22.5</v>
      </c>
      <c r="Q58" s="21">
        <f t="shared" si="1"/>
        <v>0.3125</v>
      </c>
      <c r="R58" s="21">
        <v>0</v>
      </c>
      <c r="S58" s="31">
        <v>0.044676</v>
      </c>
      <c r="T58" s="31">
        <v>0.1</v>
      </c>
      <c r="U58" s="20">
        <v>0</v>
      </c>
      <c r="V58" s="21">
        <f t="shared" si="14"/>
        <v>4.68246415384615</v>
      </c>
      <c r="W58" s="20">
        <v>2.52</v>
      </c>
      <c r="X58" s="62">
        <f t="shared" si="2"/>
        <v>2.16246415384615</v>
      </c>
      <c r="Y58" s="75">
        <f t="shared" si="3"/>
        <v>0.0213562766770698</v>
      </c>
      <c r="Z58" s="76">
        <f t="shared" si="4"/>
        <v>0.0667383646158431</v>
      </c>
      <c r="AA58" s="22">
        <f t="shared" si="5"/>
        <v>0.400583333333333</v>
      </c>
      <c r="AB58" s="76">
        <f t="shared" si="6"/>
        <v>0.0855496849888954</v>
      </c>
      <c r="AC58" s="77">
        <f t="shared" si="7"/>
        <v>0.0095411301682477</v>
      </c>
      <c r="AD58" s="77">
        <f t="shared" si="8"/>
        <v>0</v>
      </c>
      <c r="AE58" s="77">
        <f t="shared" si="9"/>
        <v>0.584795540099744</v>
      </c>
      <c r="AF58" s="78"/>
      <c r="AG58" s="83">
        <f t="shared" si="10"/>
        <v>4.130571</v>
      </c>
      <c r="AH58" s="84">
        <f t="shared" si="11"/>
        <v>0</v>
      </c>
      <c r="AI58" s="85">
        <f t="shared" si="12"/>
        <v>0</v>
      </c>
      <c r="AJ58" s="85">
        <f t="shared" si="13"/>
        <v>0</v>
      </c>
    </row>
    <row r="59" ht="28" spans="1:36">
      <c r="A59" s="17">
        <v>55</v>
      </c>
      <c r="B59" s="18" t="s">
        <v>162</v>
      </c>
      <c r="C59" s="19" t="s">
        <v>163</v>
      </c>
      <c r="D59" s="20" t="s">
        <v>143</v>
      </c>
      <c r="E59" s="55">
        <v>0.015</v>
      </c>
      <c r="F59" s="55">
        <v>0.021</v>
      </c>
      <c r="G59" s="21">
        <v>60.177</v>
      </c>
      <c r="H59" s="56">
        <v>0.65</v>
      </c>
      <c r="I59" s="21">
        <f t="shared" si="0"/>
        <v>1.94418</v>
      </c>
      <c r="J59" s="20" t="s">
        <v>87</v>
      </c>
      <c r="K59" s="21">
        <v>36</v>
      </c>
      <c r="L59" s="61">
        <v>100</v>
      </c>
      <c r="M59" s="20">
        <v>2</v>
      </c>
      <c r="N59" s="20">
        <v>75.9</v>
      </c>
      <c r="O59" s="20">
        <v>0.76</v>
      </c>
      <c r="P59" s="20">
        <v>22.5</v>
      </c>
      <c r="Q59" s="21">
        <f t="shared" si="1"/>
        <v>0.3125</v>
      </c>
      <c r="R59" s="21">
        <v>0</v>
      </c>
      <c r="S59" s="31">
        <v>0.044676</v>
      </c>
      <c r="T59" s="31">
        <v>0.1</v>
      </c>
      <c r="U59" s="20">
        <v>0</v>
      </c>
      <c r="V59" s="21">
        <f t="shared" si="14"/>
        <v>4.68246415384615</v>
      </c>
      <c r="W59" s="20">
        <v>2.52</v>
      </c>
      <c r="X59" s="62">
        <f t="shared" si="2"/>
        <v>2.16246415384615</v>
      </c>
      <c r="Y59" s="75">
        <f t="shared" si="3"/>
        <v>0.0213562766770698</v>
      </c>
      <c r="Z59" s="76">
        <f t="shared" si="4"/>
        <v>0.0667383646158431</v>
      </c>
      <c r="AA59" s="22">
        <f t="shared" si="5"/>
        <v>0.400583333333333</v>
      </c>
      <c r="AB59" s="76">
        <f t="shared" si="6"/>
        <v>0.0855496849888954</v>
      </c>
      <c r="AC59" s="77">
        <f t="shared" si="7"/>
        <v>0.0095411301682477</v>
      </c>
      <c r="AD59" s="77">
        <f t="shared" si="8"/>
        <v>0</v>
      </c>
      <c r="AE59" s="77">
        <f t="shared" si="9"/>
        <v>0.584795540099744</v>
      </c>
      <c r="AF59" s="78"/>
      <c r="AG59" s="83">
        <f t="shared" si="10"/>
        <v>4.130571</v>
      </c>
      <c r="AH59" s="84">
        <f t="shared" si="11"/>
        <v>0</v>
      </c>
      <c r="AI59" s="85">
        <f t="shared" si="12"/>
        <v>0</v>
      </c>
      <c r="AJ59" s="85">
        <f t="shared" si="13"/>
        <v>0</v>
      </c>
    </row>
    <row r="60" spans="1:36">
      <c r="A60" s="17">
        <v>56</v>
      </c>
      <c r="B60" s="18" t="s">
        <v>164</v>
      </c>
      <c r="C60" s="19" t="s">
        <v>145</v>
      </c>
      <c r="D60" s="20" t="s">
        <v>59</v>
      </c>
      <c r="E60" s="55">
        <v>0.047</v>
      </c>
      <c r="F60" s="55">
        <v>0.04935</v>
      </c>
      <c r="G60" s="21">
        <v>18.5841</v>
      </c>
      <c r="H60" s="56">
        <v>0.96</v>
      </c>
      <c r="I60" s="21">
        <f t="shared" si="0"/>
        <v>0.955338890625</v>
      </c>
      <c r="J60" s="20" t="s">
        <v>165</v>
      </c>
      <c r="K60" s="21">
        <v>45</v>
      </c>
      <c r="L60" s="61">
        <v>80</v>
      </c>
      <c r="M60" s="20">
        <v>2</v>
      </c>
      <c r="N60" s="20">
        <v>67.9</v>
      </c>
      <c r="O60" s="20">
        <v>0.76</v>
      </c>
      <c r="P60" s="20">
        <v>22.5</v>
      </c>
      <c r="Q60" s="21">
        <f t="shared" si="1"/>
        <v>0.25</v>
      </c>
      <c r="R60" s="21">
        <v>0</v>
      </c>
      <c r="S60" s="31">
        <v>0.106571111111111</v>
      </c>
      <c r="T60" s="31">
        <v>0.222222222222222</v>
      </c>
      <c r="U60" s="20">
        <v>0.3</v>
      </c>
      <c r="V60" s="21">
        <f t="shared" si="14"/>
        <v>2.35395045339627</v>
      </c>
      <c r="W60" s="20">
        <v>2.88</v>
      </c>
      <c r="X60" s="62">
        <f t="shared" si="2"/>
        <v>-0.526049546603733</v>
      </c>
      <c r="Y60" s="75">
        <f t="shared" si="3"/>
        <v>0.0944039505596224</v>
      </c>
      <c r="Z60" s="76">
        <f t="shared" si="4"/>
        <v>0.106204444379575</v>
      </c>
      <c r="AA60" s="22">
        <f t="shared" si="5"/>
        <v>0.286688888888889</v>
      </c>
      <c r="AB60" s="76">
        <f t="shared" si="6"/>
        <v>0.121790536616969</v>
      </c>
      <c r="AC60" s="77">
        <f t="shared" si="7"/>
        <v>0.0452733025698781</v>
      </c>
      <c r="AD60" s="77">
        <f t="shared" si="8"/>
        <v>0.12744533325549</v>
      </c>
      <c r="AE60" s="77">
        <f t="shared" si="9"/>
        <v>0.594155055707888</v>
      </c>
      <c r="AF60" s="78"/>
      <c r="AG60" s="83">
        <f t="shared" si="10"/>
        <v>2.86683500260417</v>
      </c>
      <c r="AH60" s="84">
        <f t="shared" si="11"/>
        <v>0</v>
      </c>
      <c r="AI60" s="85">
        <f t="shared" si="12"/>
        <v>0</v>
      </c>
      <c r="AJ60" s="85">
        <f t="shared" si="13"/>
        <v>0</v>
      </c>
    </row>
    <row r="61" spans="1:36">
      <c r="A61" s="17">
        <v>57</v>
      </c>
      <c r="B61" s="18" t="s">
        <v>166</v>
      </c>
      <c r="C61" s="19" t="s">
        <v>167</v>
      </c>
      <c r="D61" s="20" t="s">
        <v>59</v>
      </c>
      <c r="E61" s="55">
        <v>0.047</v>
      </c>
      <c r="F61" s="55">
        <v>0.04935</v>
      </c>
      <c r="G61" s="21">
        <v>18.5841</v>
      </c>
      <c r="H61" s="56">
        <v>0.96</v>
      </c>
      <c r="I61" s="21">
        <f t="shared" si="0"/>
        <v>0.955338890625</v>
      </c>
      <c r="J61" s="20" t="s">
        <v>165</v>
      </c>
      <c r="K61" s="21">
        <v>45</v>
      </c>
      <c r="L61" s="61">
        <v>80</v>
      </c>
      <c r="M61" s="20">
        <v>2</v>
      </c>
      <c r="N61" s="20">
        <v>67.9</v>
      </c>
      <c r="O61" s="20">
        <v>0.76</v>
      </c>
      <c r="P61" s="20">
        <v>22.5</v>
      </c>
      <c r="Q61" s="21">
        <f t="shared" si="1"/>
        <v>0.25</v>
      </c>
      <c r="R61" s="21">
        <v>0</v>
      </c>
      <c r="S61" s="31">
        <v>0.106571111111111</v>
      </c>
      <c r="T61" s="31">
        <v>0.222222222222222</v>
      </c>
      <c r="U61" s="20">
        <v>0.3</v>
      </c>
      <c r="V61" s="21">
        <f t="shared" si="14"/>
        <v>2.35395045339627</v>
      </c>
      <c r="W61" s="20">
        <v>2.88</v>
      </c>
      <c r="X61" s="62">
        <f t="shared" si="2"/>
        <v>-0.526049546603733</v>
      </c>
      <c r="Y61" s="75">
        <f t="shared" si="3"/>
        <v>0.0944039505596224</v>
      </c>
      <c r="Z61" s="76">
        <f t="shared" si="4"/>
        <v>0.106204444379575</v>
      </c>
      <c r="AA61" s="22">
        <f t="shared" si="5"/>
        <v>0.286688888888889</v>
      </c>
      <c r="AB61" s="76">
        <f t="shared" si="6"/>
        <v>0.121790536616969</v>
      </c>
      <c r="AC61" s="77">
        <f t="shared" si="7"/>
        <v>0.0452733025698781</v>
      </c>
      <c r="AD61" s="77">
        <f t="shared" si="8"/>
        <v>0.12744533325549</v>
      </c>
      <c r="AE61" s="77">
        <f t="shared" si="9"/>
        <v>0.594155055707888</v>
      </c>
      <c r="AF61" s="78"/>
      <c r="AG61" s="83">
        <f t="shared" si="10"/>
        <v>2.86683500260417</v>
      </c>
      <c r="AH61" s="84">
        <f t="shared" si="11"/>
        <v>0</v>
      </c>
      <c r="AI61" s="85">
        <f t="shared" si="12"/>
        <v>0</v>
      </c>
      <c r="AJ61" s="85">
        <f t="shared" si="13"/>
        <v>0</v>
      </c>
    </row>
    <row r="62" spans="1:36">
      <c r="A62" s="17">
        <v>58</v>
      </c>
      <c r="B62" s="18" t="s">
        <v>168</v>
      </c>
      <c r="C62" s="19" t="s">
        <v>147</v>
      </c>
      <c r="D62" s="20" t="s">
        <v>86</v>
      </c>
      <c r="E62" s="55">
        <v>0.022</v>
      </c>
      <c r="F62" s="55">
        <v>0.0231</v>
      </c>
      <c r="G62" s="21">
        <v>13.7168</v>
      </c>
      <c r="H62" s="56">
        <v>0.96</v>
      </c>
      <c r="I62" s="21">
        <f t="shared" si="0"/>
        <v>0.3300605</v>
      </c>
      <c r="J62" s="20" t="s">
        <v>87</v>
      </c>
      <c r="K62" s="21">
        <v>48</v>
      </c>
      <c r="L62" s="61">
        <v>75</v>
      </c>
      <c r="M62" s="20">
        <v>2</v>
      </c>
      <c r="N62" s="20">
        <v>75.9</v>
      </c>
      <c r="O62" s="20">
        <v>0.76</v>
      </c>
      <c r="P62" s="20">
        <v>22.5</v>
      </c>
      <c r="Q62" s="21">
        <f t="shared" si="1"/>
        <v>0.234375</v>
      </c>
      <c r="R62" s="21">
        <v>0</v>
      </c>
      <c r="S62" s="31">
        <v>0.084124</v>
      </c>
      <c r="T62" s="31">
        <v>0.2</v>
      </c>
      <c r="U62" s="20">
        <v>0</v>
      </c>
      <c r="V62" s="21">
        <f t="shared" si="14"/>
        <v>1.28413340625</v>
      </c>
      <c r="W62" s="20">
        <v>1.31</v>
      </c>
      <c r="X62" s="62">
        <f t="shared" si="2"/>
        <v>-0.02586659375</v>
      </c>
      <c r="Y62" s="75">
        <f t="shared" si="3"/>
        <v>0.155747057919824</v>
      </c>
      <c r="Z62" s="76">
        <f t="shared" si="4"/>
        <v>0.182516083499794</v>
      </c>
      <c r="AA62" s="22">
        <f t="shared" si="5"/>
        <v>0.3004375</v>
      </c>
      <c r="AB62" s="76">
        <f t="shared" si="6"/>
        <v>0.233961283568936</v>
      </c>
      <c r="AC62" s="77">
        <f t="shared" si="7"/>
        <v>0.0655103275022365</v>
      </c>
      <c r="AD62" s="77">
        <f t="shared" si="8"/>
        <v>0</v>
      </c>
      <c r="AE62" s="77">
        <f t="shared" si="9"/>
        <v>0.742970240947269</v>
      </c>
      <c r="AF62" s="78"/>
      <c r="AG62" s="83">
        <f t="shared" si="10"/>
        <v>1.5814335</v>
      </c>
      <c r="AH62" s="84">
        <f t="shared" si="11"/>
        <v>0</v>
      </c>
      <c r="AI62" s="85">
        <f t="shared" si="12"/>
        <v>0</v>
      </c>
      <c r="AJ62" s="85">
        <f t="shared" si="13"/>
        <v>0</v>
      </c>
    </row>
    <row r="63" ht="28" spans="1:36">
      <c r="A63" s="17">
        <v>59</v>
      </c>
      <c r="B63" s="18" t="s">
        <v>169</v>
      </c>
      <c r="C63" s="19" t="s">
        <v>170</v>
      </c>
      <c r="D63" s="20" t="s">
        <v>143</v>
      </c>
      <c r="E63" s="55">
        <v>0.006</v>
      </c>
      <c r="F63" s="55">
        <v>0.0084</v>
      </c>
      <c r="G63" s="21">
        <v>60.177</v>
      </c>
      <c r="H63" s="56">
        <v>0.7</v>
      </c>
      <c r="I63" s="21">
        <f t="shared" si="0"/>
        <v>0.722124</v>
      </c>
      <c r="J63" s="20" t="s">
        <v>44</v>
      </c>
      <c r="K63" s="21">
        <v>37.8947368421053</v>
      </c>
      <c r="L63" s="61">
        <v>94.9999999999999</v>
      </c>
      <c r="M63" s="20">
        <v>2</v>
      </c>
      <c r="N63" s="20">
        <v>27.15</v>
      </c>
      <c r="O63" s="20">
        <v>0.76</v>
      </c>
      <c r="P63" s="20">
        <v>22.5</v>
      </c>
      <c r="Q63" s="21">
        <f t="shared" si="1"/>
        <v>0.296875</v>
      </c>
      <c r="R63" s="21">
        <v>0</v>
      </c>
      <c r="S63" s="31">
        <v>0.0146026666666667</v>
      </c>
      <c r="T63" s="31">
        <v>0.0333333333333333</v>
      </c>
      <c r="U63" s="20">
        <v>0</v>
      </c>
      <c r="V63" s="21">
        <f t="shared" si="14"/>
        <v>1.87963593214286</v>
      </c>
      <c r="W63" s="20">
        <v>1.16</v>
      </c>
      <c r="X63" s="62">
        <f t="shared" si="2"/>
        <v>0.719635932142857</v>
      </c>
      <c r="Y63" s="75">
        <f t="shared" si="3"/>
        <v>0.0177339306848279</v>
      </c>
      <c r="Z63" s="76">
        <f t="shared" si="4"/>
        <v>0.157942820161748</v>
      </c>
      <c r="AA63" s="22">
        <f t="shared" si="5"/>
        <v>0.136127083333333</v>
      </c>
      <c r="AB63" s="76">
        <f t="shared" si="6"/>
        <v>0.0724220478048337</v>
      </c>
      <c r="AC63" s="77">
        <f t="shared" si="7"/>
        <v>0.00776888035440943</v>
      </c>
      <c r="AD63" s="77">
        <f t="shared" si="8"/>
        <v>0</v>
      </c>
      <c r="AE63" s="77">
        <f t="shared" si="9"/>
        <v>0.61581709114448</v>
      </c>
      <c r="AF63" s="78"/>
      <c r="AG63" s="83">
        <f t="shared" si="10"/>
        <v>1.780625125</v>
      </c>
      <c r="AH63" s="84">
        <f t="shared" si="11"/>
        <v>0</v>
      </c>
      <c r="AI63" s="85">
        <f t="shared" si="12"/>
        <v>0</v>
      </c>
      <c r="AJ63" s="85">
        <f t="shared" si="13"/>
        <v>0</v>
      </c>
    </row>
    <row r="64" spans="1:36">
      <c r="A64" s="17">
        <v>60</v>
      </c>
      <c r="B64" s="18" t="s">
        <v>171</v>
      </c>
      <c r="C64" s="19" t="s">
        <v>172</v>
      </c>
      <c r="D64" s="20" t="s">
        <v>43</v>
      </c>
      <c r="E64" s="55">
        <v>0.002</v>
      </c>
      <c r="F64" s="55">
        <v>0.0026</v>
      </c>
      <c r="G64" s="21">
        <v>15.3097</v>
      </c>
      <c r="H64" s="56">
        <v>0.95</v>
      </c>
      <c r="I64" s="21">
        <f t="shared" si="0"/>
        <v>0.0419002315789474</v>
      </c>
      <c r="J64" s="20" t="s">
        <v>47</v>
      </c>
      <c r="K64" s="21">
        <v>72</v>
      </c>
      <c r="L64" s="61">
        <v>50</v>
      </c>
      <c r="M64" s="20">
        <v>3</v>
      </c>
      <c r="N64" s="20">
        <v>21.2</v>
      </c>
      <c r="O64" s="20">
        <v>0.76</v>
      </c>
      <c r="P64" s="20">
        <v>22.5</v>
      </c>
      <c r="Q64" s="21">
        <f t="shared" si="1"/>
        <v>0.104166666666667</v>
      </c>
      <c r="R64" s="21">
        <v>0</v>
      </c>
      <c r="S64" s="31">
        <v>0.00143116666666667</v>
      </c>
      <c r="T64" s="31">
        <v>0.00333333333333333</v>
      </c>
      <c r="U64" s="20">
        <v>0</v>
      </c>
      <c r="V64" s="21">
        <f t="shared" si="14"/>
        <v>0.219009916780548</v>
      </c>
      <c r="W64" s="20">
        <v>0.2</v>
      </c>
      <c r="X64" s="62">
        <f t="shared" si="2"/>
        <v>0.0190099167805479</v>
      </c>
      <c r="Y64" s="75">
        <f t="shared" si="3"/>
        <v>0.0152200109581038</v>
      </c>
      <c r="Z64" s="76">
        <f t="shared" si="4"/>
        <v>0.475625342440743</v>
      </c>
      <c r="AA64" s="22">
        <f t="shared" si="5"/>
        <v>0.0372962962962963</v>
      </c>
      <c r="AB64" s="76">
        <f t="shared" si="6"/>
        <v>0.170295011497894</v>
      </c>
      <c r="AC64" s="77">
        <f t="shared" si="7"/>
        <v>0.00653471170486187</v>
      </c>
      <c r="AD64" s="77">
        <f t="shared" si="8"/>
        <v>0</v>
      </c>
      <c r="AE64" s="77">
        <f t="shared" si="9"/>
        <v>0.808683404866401</v>
      </c>
      <c r="AF64" s="78"/>
      <c r="AG64" s="83">
        <f t="shared" si="10"/>
        <v>0.279809291812866</v>
      </c>
      <c r="AH64" s="84">
        <f t="shared" si="11"/>
        <v>0</v>
      </c>
      <c r="AI64" s="85">
        <f t="shared" si="12"/>
        <v>0</v>
      </c>
      <c r="AJ64" s="85">
        <f t="shared" si="13"/>
        <v>0</v>
      </c>
    </row>
    <row r="65" spans="1:36">
      <c r="A65" s="17">
        <v>61</v>
      </c>
      <c r="B65" s="18" t="s">
        <v>173</v>
      </c>
      <c r="C65" s="19" t="s">
        <v>174</v>
      </c>
      <c r="D65" s="20" t="s">
        <v>43</v>
      </c>
      <c r="E65" s="55">
        <v>0.001</v>
      </c>
      <c r="F65" s="55">
        <v>0.0013</v>
      </c>
      <c r="G65" s="21">
        <v>15.3097</v>
      </c>
      <c r="H65" s="56">
        <v>0.95</v>
      </c>
      <c r="I65" s="21">
        <f t="shared" si="0"/>
        <v>0.0209501157894737</v>
      </c>
      <c r="J65" s="20" t="s">
        <v>47</v>
      </c>
      <c r="K65" s="21">
        <v>72</v>
      </c>
      <c r="L65" s="61">
        <v>50</v>
      </c>
      <c r="M65" s="20">
        <v>3</v>
      </c>
      <c r="N65" s="20">
        <v>21.2</v>
      </c>
      <c r="O65" s="20">
        <v>0.76</v>
      </c>
      <c r="P65" s="20">
        <v>22.5</v>
      </c>
      <c r="Q65" s="21">
        <f t="shared" si="1"/>
        <v>0.104166666666667</v>
      </c>
      <c r="R65" s="21">
        <v>0</v>
      </c>
      <c r="S65" s="31">
        <v>0.00143116666666667</v>
      </c>
      <c r="T65" s="31">
        <v>0.00333333333333333</v>
      </c>
      <c r="U65" s="20">
        <v>0</v>
      </c>
      <c r="V65" s="21">
        <f t="shared" si="14"/>
        <v>0.194531360437058</v>
      </c>
      <c r="W65" s="20">
        <v>0.17</v>
      </c>
      <c r="X65" s="62">
        <f t="shared" si="2"/>
        <v>0.0245313604370576</v>
      </c>
      <c r="Y65" s="75">
        <f t="shared" si="3"/>
        <v>0.0171351977688547</v>
      </c>
      <c r="Z65" s="76">
        <f t="shared" si="4"/>
        <v>0.535474930276708</v>
      </c>
      <c r="AA65" s="22">
        <f t="shared" si="5"/>
        <v>0.0372962962962963</v>
      </c>
      <c r="AB65" s="76">
        <f t="shared" si="6"/>
        <v>0.191723823924852</v>
      </c>
      <c r="AC65" s="77">
        <f t="shared" si="7"/>
        <v>0.00735699716205777</v>
      </c>
      <c r="AD65" s="77">
        <f t="shared" si="8"/>
        <v>0</v>
      </c>
      <c r="AE65" s="77">
        <f t="shared" si="9"/>
        <v>0.892304686800089</v>
      </c>
      <c r="AF65" s="78"/>
      <c r="AG65" s="83">
        <f t="shared" si="10"/>
        <v>0.248384118128655</v>
      </c>
      <c r="AH65" s="84">
        <f t="shared" si="11"/>
        <v>0</v>
      </c>
      <c r="AI65" s="85">
        <f t="shared" si="12"/>
        <v>0</v>
      </c>
      <c r="AJ65" s="85">
        <f t="shared" si="13"/>
        <v>0</v>
      </c>
    </row>
    <row r="66" spans="1:36">
      <c r="A66" s="17">
        <v>62</v>
      </c>
      <c r="B66" s="18" t="s">
        <v>175</v>
      </c>
      <c r="C66" s="19" t="s">
        <v>176</v>
      </c>
      <c r="D66" s="20" t="s">
        <v>43</v>
      </c>
      <c r="E66" s="55">
        <v>0.002</v>
      </c>
      <c r="F66" s="55">
        <v>0.0026</v>
      </c>
      <c r="G66" s="21">
        <v>15.3097</v>
      </c>
      <c r="H66" s="56">
        <v>0.95</v>
      </c>
      <c r="I66" s="21">
        <f t="shared" si="0"/>
        <v>0.0419002315789474</v>
      </c>
      <c r="J66" s="20" t="s">
        <v>47</v>
      </c>
      <c r="K66" s="21">
        <v>72</v>
      </c>
      <c r="L66" s="61">
        <v>50</v>
      </c>
      <c r="M66" s="20">
        <v>3</v>
      </c>
      <c r="N66" s="20">
        <v>21.2</v>
      </c>
      <c r="O66" s="20">
        <v>0.76</v>
      </c>
      <c r="P66" s="20">
        <v>22.5</v>
      </c>
      <c r="Q66" s="21">
        <f t="shared" si="1"/>
        <v>0.104166666666667</v>
      </c>
      <c r="R66" s="21">
        <v>0</v>
      </c>
      <c r="S66" s="31">
        <v>0.00143116666666667</v>
      </c>
      <c r="T66" s="31">
        <v>0.00333333333333333</v>
      </c>
      <c r="U66" s="20">
        <v>0</v>
      </c>
      <c r="V66" s="21">
        <f t="shared" si="14"/>
        <v>0.219009916780548</v>
      </c>
      <c r="W66" s="20">
        <v>0.2</v>
      </c>
      <c r="X66" s="62">
        <f t="shared" si="2"/>
        <v>0.0190099167805479</v>
      </c>
      <c r="Y66" s="75">
        <f t="shared" si="3"/>
        <v>0.0152200109581038</v>
      </c>
      <c r="Z66" s="76">
        <f t="shared" si="4"/>
        <v>0.475625342440743</v>
      </c>
      <c r="AA66" s="22">
        <f t="shared" si="5"/>
        <v>0.0372962962962963</v>
      </c>
      <c r="AB66" s="76">
        <f t="shared" si="6"/>
        <v>0.170295011497894</v>
      </c>
      <c r="AC66" s="77">
        <f t="shared" si="7"/>
        <v>0.00653471170486187</v>
      </c>
      <c r="AD66" s="77">
        <f t="shared" si="8"/>
        <v>0</v>
      </c>
      <c r="AE66" s="77">
        <f t="shared" si="9"/>
        <v>0.808683404866401</v>
      </c>
      <c r="AF66" s="78"/>
      <c r="AG66" s="83">
        <f t="shared" si="10"/>
        <v>0.279809291812866</v>
      </c>
      <c r="AH66" s="84">
        <f t="shared" si="11"/>
        <v>0</v>
      </c>
      <c r="AI66" s="85">
        <f t="shared" si="12"/>
        <v>0</v>
      </c>
      <c r="AJ66" s="85">
        <f t="shared" si="13"/>
        <v>0</v>
      </c>
    </row>
    <row r="67" spans="1:38">
      <c r="A67" s="17">
        <v>63</v>
      </c>
      <c r="B67" s="18" t="s">
        <v>177</v>
      </c>
      <c r="C67" s="23" t="s">
        <v>178</v>
      </c>
      <c r="D67" s="20" t="s">
        <v>59</v>
      </c>
      <c r="E67" s="55">
        <v>0.052</v>
      </c>
      <c r="F67" s="55">
        <v>0.0546</v>
      </c>
      <c r="G67" s="21">
        <v>18.5841</v>
      </c>
      <c r="H67" s="56">
        <v>0.96</v>
      </c>
      <c r="I67" s="21">
        <f t="shared" si="0"/>
        <v>1.0569706875</v>
      </c>
      <c r="J67" s="20" t="s">
        <v>165</v>
      </c>
      <c r="K67" s="21">
        <v>48</v>
      </c>
      <c r="L67" s="61">
        <v>75</v>
      </c>
      <c r="M67" s="20">
        <v>2</v>
      </c>
      <c r="N67" s="20">
        <v>67.9</v>
      </c>
      <c r="O67" s="20">
        <v>0.76</v>
      </c>
      <c r="P67" s="20">
        <v>22.5</v>
      </c>
      <c r="Q67" s="21">
        <f t="shared" si="1"/>
        <v>0.234375</v>
      </c>
      <c r="R67" s="21">
        <v>0</v>
      </c>
      <c r="S67" s="31">
        <v>0.106571111111111</v>
      </c>
      <c r="T67" s="31">
        <v>0.222222222222222</v>
      </c>
      <c r="U67" s="20">
        <v>0.3</v>
      </c>
      <c r="V67" s="21">
        <f t="shared" si="14"/>
        <v>2.43267806054687</v>
      </c>
      <c r="W67" s="20">
        <v>3.44</v>
      </c>
      <c r="X67" s="62">
        <f t="shared" si="2"/>
        <v>-1.00732193945313</v>
      </c>
      <c r="Y67" s="75">
        <f t="shared" si="3"/>
        <v>0.0913488002486715</v>
      </c>
      <c r="Z67" s="76">
        <f t="shared" si="4"/>
        <v>0.0963444377622708</v>
      </c>
      <c r="AA67" s="22">
        <f t="shared" si="5"/>
        <v>0.268770833333333</v>
      </c>
      <c r="AB67" s="76">
        <f t="shared" si="6"/>
        <v>0.11048351925076</v>
      </c>
      <c r="AC67" s="77">
        <f t="shared" si="7"/>
        <v>0.0438081441352554</v>
      </c>
      <c r="AD67" s="77">
        <f t="shared" si="8"/>
        <v>0.123320880335707</v>
      </c>
      <c r="AE67" s="77">
        <f t="shared" si="9"/>
        <v>0.565511481094876</v>
      </c>
      <c r="AF67" s="78">
        <v>3730</v>
      </c>
      <c r="AG67" s="83">
        <f t="shared" si="10"/>
        <v>2.96896811458333</v>
      </c>
      <c r="AH67" s="84">
        <f t="shared" si="11"/>
        <v>11074.2510673958</v>
      </c>
      <c r="AI67" s="85">
        <f t="shared" si="12"/>
        <v>9073.88916583984</v>
      </c>
      <c r="AJ67" s="85">
        <f t="shared" si="13"/>
        <v>12831.2</v>
      </c>
      <c r="AK67" s="1">
        <f t="shared" si="17"/>
        <v>2.80894082465587</v>
      </c>
      <c r="AL67" s="49">
        <f t="shared" si="18"/>
        <v>-0.136927873667636</v>
      </c>
    </row>
    <row r="68" spans="1:38">
      <c r="A68" s="17">
        <v>64</v>
      </c>
      <c r="B68" s="18" t="s">
        <v>179</v>
      </c>
      <c r="C68" s="23" t="s">
        <v>180</v>
      </c>
      <c r="D68" s="20" t="s">
        <v>59</v>
      </c>
      <c r="E68" s="55">
        <v>0.047</v>
      </c>
      <c r="F68" s="55">
        <v>0.04935</v>
      </c>
      <c r="G68" s="21">
        <v>18.5841</v>
      </c>
      <c r="H68" s="56">
        <v>0.96</v>
      </c>
      <c r="I68" s="21">
        <f t="shared" si="0"/>
        <v>0.955338890625</v>
      </c>
      <c r="J68" s="20" t="s">
        <v>165</v>
      </c>
      <c r="K68" s="21">
        <v>48</v>
      </c>
      <c r="L68" s="61">
        <v>75</v>
      </c>
      <c r="M68" s="20">
        <v>2</v>
      </c>
      <c r="N68" s="20">
        <v>67.9</v>
      </c>
      <c r="O68" s="20">
        <v>0.76</v>
      </c>
      <c r="P68" s="20">
        <v>22.5</v>
      </c>
      <c r="Q68" s="21">
        <f t="shared" si="1"/>
        <v>0.234375</v>
      </c>
      <c r="R68" s="21">
        <v>0</v>
      </c>
      <c r="S68" s="31">
        <v>0.106571111111111</v>
      </c>
      <c r="T68" s="31">
        <v>0.222222222222222</v>
      </c>
      <c r="U68" s="20">
        <v>0.3</v>
      </c>
      <c r="V68" s="21">
        <f t="shared" si="14"/>
        <v>2.31516629541016</v>
      </c>
      <c r="W68" s="20">
        <v>2.97</v>
      </c>
      <c r="X68" s="62">
        <f t="shared" si="2"/>
        <v>-0.654833704589844</v>
      </c>
      <c r="Y68" s="75">
        <f t="shared" si="3"/>
        <v>0.0959854256097197</v>
      </c>
      <c r="Z68" s="76">
        <f t="shared" si="4"/>
        <v>0.101234628572751</v>
      </c>
      <c r="AA68" s="22">
        <f t="shared" si="5"/>
        <v>0.268770833333333</v>
      </c>
      <c r="AB68" s="76">
        <f t="shared" si="6"/>
        <v>0.116091372730406</v>
      </c>
      <c r="AC68" s="77">
        <f t="shared" si="7"/>
        <v>0.0460317305596533</v>
      </c>
      <c r="AD68" s="77">
        <f t="shared" si="8"/>
        <v>0.129580324573122</v>
      </c>
      <c r="AE68" s="77">
        <f t="shared" si="9"/>
        <v>0.587356254918288</v>
      </c>
      <c r="AF68" s="78">
        <v>21171</v>
      </c>
      <c r="AG68" s="83">
        <f t="shared" si="10"/>
        <v>2.81652041927083</v>
      </c>
      <c r="AH68" s="84">
        <f t="shared" si="11"/>
        <v>59628.5537963828</v>
      </c>
      <c r="AI68" s="85">
        <f t="shared" si="12"/>
        <v>49014.3856401284</v>
      </c>
      <c r="AJ68" s="85">
        <f t="shared" si="13"/>
        <v>62877.87</v>
      </c>
      <c r="AK68" s="1">
        <f t="shared" si="17"/>
        <v>2.94818984855543</v>
      </c>
      <c r="AL68" s="49">
        <f t="shared" si="18"/>
        <v>-0.0516766265081371</v>
      </c>
    </row>
    <row r="69" ht="28" spans="1:38">
      <c r="A69" s="17">
        <v>65</v>
      </c>
      <c r="B69" s="18" t="s">
        <v>181</v>
      </c>
      <c r="C69" s="19" t="s">
        <v>182</v>
      </c>
      <c r="D69" s="20" t="s">
        <v>86</v>
      </c>
      <c r="E69" s="55">
        <v>0.024</v>
      </c>
      <c r="F69" s="55">
        <v>0.0252</v>
      </c>
      <c r="G69" s="21">
        <v>13.7168</v>
      </c>
      <c r="H69" s="56">
        <v>0.98</v>
      </c>
      <c r="I69" s="21">
        <f t="shared" ref="I69:I132" si="19">F69*G69/H69</f>
        <v>0.352717714285714</v>
      </c>
      <c r="J69" s="20" t="s">
        <v>120</v>
      </c>
      <c r="K69" s="21">
        <v>48</v>
      </c>
      <c r="L69" s="61">
        <v>75</v>
      </c>
      <c r="M69" s="20">
        <v>1</v>
      </c>
      <c r="N69" s="20">
        <v>39.75</v>
      </c>
      <c r="O69" s="20">
        <v>0.76</v>
      </c>
      <c r="P69" s="20">
        <v>22.5</v>
      </c>
      <c r="Q69" s="21">
        <f t="shared" ref="Q69:Q132" si="20">P69/K69/M69</f>
        <v>0.46875</v>
      </c>
      <c r="R69" s="21">
        <v>0</v>
      </c>
      <c r="S69" s="31">
        <v>0.084124</v>
      </c>
      <c r="T69" s="31">
        <v>0.2</v>
      </c>
      <c r="U69" s="20">
        <v>0</v>
      </c>
      <c r="V69" s="21">
        <f t="shared" si="14"/>
        <v>1.57099368148688</v>
      </c>
      <c r="W69" s="20">
        <v>1.34</v>
      </c>
      <c r="X69" s="62">
        <f t="shared" ref="X69:X132" si="21">V69-W69</f>
        <v>0.23099368148688</v>
      </c>
      <c r="Y69" s="75">
        <f t="shared" ref="Y69:Y132" si="22">T69/V69</f>
        <v>0.12730795951433</v>
      </c>
      <c r="Z69" s="76">
        <f t="shared" ref="Z69:Z132" si="23">Q69/V69</f>
        <v>0.298378030111711</v>
      </c>
      <c r="AA69" s="22">
        <f t="shared" ref="AA69:AA132" si="24">(N69*O69/K69/M69)/2</f>
        <v>0.3146875</v>
      </c>
      <c r="AB69" s="76">
        <f t="shared" ref="AB69:AB132" si="25">AA69/V69</f>
        <v>0.200311117548329</v>
      </c>
      <c r="AC69" s="77">
        <f t="shared" ref="AC69:AC132" si="26">S69/V69</f>
        <v>0.0535482739309175</v>
      </c>
      <c r="AD69" s="77">
        <f t="shared" ref="AD69:AD132" si="27">U69/V69</f>
        <v>0</v>
      </c>
      <c r="AE69" s="77">
        <f t="shared" ref="AE69:AE132" si="28">1-I69/V69</f>
        <v>0.775481137548637</v>
      </c>
      <c r="AF69" s="78">
        <v>28781</v>
      </c>
      <c r="AG69" s="83">
        <f t="shared" ref="AG69:AG132" si="29">(I69+Q69+(N69*O69/K69/M69)/2)*1.5+R69*1.1+S69+T69+U69</f>
        <v>1.98835682142857</v>
      </c>
      <c r="AH69" s="84">
        <f t="shared" ref="AH69:AH132" si="30">AG69*AF69</f>
        <v>57226.8976775357</v>
      </c>
      <c r="AI69" s="85">
        <f t="shared" ref="AI69:AI132" si="31">V69*AF69</f>
        <v>45214.7691468739</v>
      </c>
      <c r="AJ69" s="85">
        <f t="shared" ref="AJ69:AJ132" si="32">W69*AF69</f>
        <v>38566.54</v>
      </c>
      <c r="AK69" s="1">
        <f t="shared" si="17"/>
        <v>5.63724684328706</v>
      </c>
      <c r="AL69" s="49">
        <f t="shared" si="18"/>
        <v>0.483848374200425</v>
      </c>
    </row>
    <row r="70" spans="1:38">
      <c r="A70" s="17">
        <v>66</v>
      </c>
      <c r="B70" s="18" t="s">
        <v>183</v>
      </c>
      <c r="C70" s="19" t="s">
        <v>151</v>
      </c>
      <c r="D70" s="20" t="s">
        <v>86</v>
      </c>
      <c r="E70" s="55">
        <v>0.018</v>
      </c>
      <c r="F70" s="55">
        <v>0.0189</v>
      </c>
      <c r="G70" s="21">
        <v>13.7168</v>
      </c>
      <c r="H70" s="56">
        <v>0.98</v>
      </c>
      <c r="I70" s="21">
        <f t="shared" si="19"/>
        <v>0.264538285714286</v>
      </c>
      <c r="J70" s="20" t="s">
        <v>120</v>
      </c>
      <c r="K70" s="21">
        <v>48</v>
      </c>
      <c r="L70" s="61">
        <v>75</v>
      </c>
      <c r="M70" s="20">
        <v>1</v>
      </c>
      <c r="N70" s="20">
        <v>39.75</v>
      </c>
      <c r="O70" s="20">
        <v>0.76</v>
      </c>
      <c r="P70" s="20">
        <v>22.5</v>
      </c>
      <c r="Q70" s="21">
        <f t="shared" si="20"/>
        <v>0.46875</v>
      </c>
      <c r="R70" s="21">
        <v>0</v>
      </c>
      <c r="S70" s="31">
        <v>0.0146026666666667</v>
      </c>
      <c r="T70" s="31">
        <v>0.0333333333333333</v>
      </c>
      <c r="U70" s="20">
        <v>0</v>
      </c>
      <c r="V70" s="21">
        <f t="shared" ref="V70:V133" si="33">(I70+Q70+(N70*O70/K70/M70)/2)/H70*1.11+R70*1.03+S70+T70+U70</f>
        <v>1.23492898177843</v>
      </c>
      <c r="W70" s="20">
        <v>1.19</v>
      </c>
      <c r="X70" s="62">
        <f t="shared" si="21"/>
        <v>0.0449289817784257</v>
      </c>
      <c r="Y70" s="75">
        <f t="shared" si="22"/>
        <v>0.0269921054774582</v>
      </c>
      <c r="Z70" s="76">
        <f t="shared" si="23"/>
        <v>0.379576483276756</v>
      </c>
      <c r="AA70" s="22">
        <f t="shared" si="24"/>
        <v>0.3146875</v>
      </c>
      <c r="AB70" s="76">
        <f t="shared" si="25"/>
        <v>0.254822345773129</v>
      </c>
      <c r="AC70" s="77">
        <f t="shared" si="26"/>
        <v>0.0118247015675649</v>
      </c>
      <c r="AD70" s="77">
        <f t="shared" si="27"/>
        <v>0</v>
      </c>
      <c r="AE70" s="77">
        <f t="shared" si="28"/>
        <v>0.785786640675221</v>
      </c>
      <c r="AF70" s="78">
        <v>16997</v>
      </c>
      <c r="AG70" s="83">
        <f t="shared" si="29"/>
        <v>1.61989967857143</v>
      </c>
      <c r="AH70" s="84">
        <f t="shared" si="30"/>
        <v>27533.4348366786</v>
      </c>
      <c r="AI70" s="85">
        <f t="shared" si="31"/>
        <v>20990.0879032879</v>
      </c>
      <c r="AJ70" s="85">
        <f t="shared" si="32"/>
        <v>20226.43</v>
      </c>
      <c r="AK70" s="1">
        <f t="shared" ref="AK70:AK101" si="34">AG70/I70</f>
        <v>6.12349805699202</v>
      </c>
      <c r="AL70" s="49">
        <f t="shared" ref="AL70:AL101" si="35">(AG70-W70)/W70</f>
        <v>0.361260234093639</v>
      </c>
    </row>
    <row r="71" ht="28" spans="1:38">
      <c r="A71" s="17">
        <v>67</v>
      </c>
      <c r="B71" s="18" t="s">
        <v>184</v>
      </c>
      <c r="C71" s="19" t="s">
        <v>185</v>
      </c>
      <c r="D71" s="20" t="s">
        <v>59</v>
      </c>
      <c r="E71" s="55">
        <v>0.035</v>
      </c>
      <c r="F71" s="55">
        <v>0.03675</v>
      </c>
      <c r="G71" s="21">
        <v>18.5841</v>
      </c>
      <c r="H71" s="56">
        <v>0.9</v>
      </c>
      <c r="I71" s="21">
        <f t="shared" si="19"/>
        <v>0.75885075</v>
      </c>
      <c r="J71" s="20" t="s">
        <v>120</v>
      </c>
      <c r="K71" s="21">
        <v>48</v>
      </c>
      <c r="L71" s="61">
        <v>75</v>
      </c>
      <c r="M71" s="20">
        <v>2</v>
      </c>
      <c r="N71" s="20">
        <v>39.75</v>
      </c>
      <c r="O71" s="20">
        <v>0.76</v>
      </c>
      <c r="P71" s="20">
        <v>22.5</v>
      </c>
      <c r="Q71" s="21">
        <f t="shared" si="20"/>
        <v>0.234375</v>
      </c>
      <c r="R71" s="21">
        <v>0</v>
      </c>
      <c r="S71" s="31">
        <v>0.106571111111111</v>
      </c>
      <c r="T71" s="31">
        <v>0.222222222222222</v>
      </c>
      <c r="U71" s="20">
        <v>0.3</v>
      </c>
      <c r="V71" s="21">
        <f t="shared" si="33"/>
        <v>2.04782905</v>
      </c>
      <c r="W71" s="20">
        <v>3.27</v>
      </c>
      <c r="X71" s="62">
        <f t="shared" si="21"/>
        <v>-1.22217095</v>
      </c>
      <c r="Y71" s="75">
        <f t="shared" si="22"/>
        <v>0.108516002457442</v>
      </c>
      <c r="Z71" s="76">
        <f t="shared" si="23"/>
        <v>0.114450471341834</v>
      </c>
      <c r="AA71" s="22">
        <f t="shared" si="24"/>
        <v>0.15734375</v>
      </c>
      <c r="AB71" s="76">
        <f t="shared" si="25"/>
        <v>0.0768344164274845</v>
      </c>
      <c r="AC71" s="77">
        <f t="shared" si="26"/>
        <v>0.0520410192985157</v>
      </c>
      <c r="AD71" s="77">
        <f t="shared" si="27"/>
        <v>0.146496603317547</v>
      </c>
      <c r="AE71" s="77">
        <f t="shared" si="28"/>
        <v>0.629436475666755</v>
      </c>
      <c r="AF71" s="78">
        <v>6419</v>
      </c>
      <c r="AG71" s="83">
        <f t="shared" si="29"/>
        <v>2.35464758333333</v>
      </c>
      <c r="AH71" s="84">
        <f t="shared" si="30"/>
        <v>15114.4828374166</v>
      </c>
      <c r="AI71" s="85">
        <f t="shared" si="31"/>
        <v>13145.01467195</v>
      </c>
      <c r="AJ71" s="85">
        <f t="shared" si="32"/>
        <v>20990.13</v>
      </c>
      <c r="AK71" s="1">
        <f t="shared" si="34"/>
        <v>3.10291263905759</v>
      </c>
      <c r="AL71" s="49">
        <f t="shared" si="35"/>
        <v>-0.279924286442407</v>
      </c>
    </row>
    <row r="72" spans="1:38">
      <c r="A72" s="17">
        <v>68</v>
      </c>
      <c r="B72" s="18" t="s">
        <v>186</v>
      </c>
      <c r="C72" s="23" t="s">
        <v>178</v>
      </c>
      <c r="D72" s="20" t="s">
        <v>59</v>
      </c>
      <c r="E72" s="55">
        <v>0</v>
      </c>
      <c r="F72" s="55">
        <v>0.03702</v>
      </c>
      <c r="G72" s="21">
        <v>18.5841</v>
      </c>
      <c r="H72" s="56">
        <v>0.9</v>
      </c>
      <c r="I72" s="21">
        <f t="shared" si="19"/>
        <v>0.76442598</v>
      </c>
      <c r="J72" s="20" t="s">
        <v>120</v>
      </c>
      <c r="K72" s="21">
        <v>55</v>
      </c>
      <c r="L72" s="61">
        <v>65.4545454545455</v>
      </c>
      <c r="M72" s="20">
        <v>2</v>
      </c>
      <c r="N72" s="20">
        <v>39.75</v>
      </c>
      <c r="O72" s="20">
        <v>0.76</v>
      </c>
      <c r="P72" s="20">
        <v>22.5</v>
      </c>
      <c r="Q72" s="21">
        <f t="shared" si="20"/>
        <v>0.204545454545455</v>
      </c>
      <c r="R72" s="21">
        <v>0</v>
      </c>
      <c r="S72" s="31">
        <v>0.106571111111111</v>
      </c>
      <c r="T72" s="31">
        <v>0.222222222222222</v>
      </c>
      <c r="U72" s="20">
        <v>0.3</v>
      </c>
      <c r="V72" s="21">
        <f t="shared" si="33"/>
        <v>1.99321719351515</v>
      </c>
      <c r="W72" s="20">
        <v>2.79</v>
      </c>
      <c r="X72" s="62">
        <f t="shared" si="21"/>
        <v>-0.796782806484848</v>
      </c>
      <c r="Y72" s="75">
        <f t="shared" si="22"/>
        <v>0.111489215999748</v>
      </c>
      <c r="Z72" s="76">
        <f t="shared" si="23"/>
        <v>0.102620755636132</v>
      </c>
      <c r="AA72" s="22">
        <f t="shared" si="24"/>
        <v>0.137318181818182</v>
      </c>
      <c r="AB72" s="76">
        <f t="shared" si="25"/>
        <v>0.0688927339503898</v>
      </c>
      <c r="AC72" s="77">
        <f t="shared" si="26"/>
        <v>0.0534668833169991</v>
      </c>
      <c r="AD72" s="77">
        <f t="shared" si="27"/>
        <v>0.15051044159966</v>
      </c>
      <c r="AE72" s="77">
        <f t="shared" si="28"/>
        <v>0.616486360599824</v>
      </c>
      <c r="AF72" s="78">
        <v>2500</v>
      </c>
      <c r="AG72" s="83">
        <f t="shared" si="29"/>
        <v>2.28822775787879</v>
      </c>
      <c r="AH72" s="84">
        <f t="shared" si="30"/>
        <v>5720.56939469697</v>
      </c>
      <c r="AI72" s="85">
        <f t="shared" si="31"/>
        <v>4983.04298378788</v>
      </c>
      <c r="AJ72" s="85">
        <f t="shared" si="32"/>
        <v>6975</v>
      </c>
      <c r="AK72" s="1">
        <f t="shared" si="34"/>
        <v>2.99339349753496</v>
      </c>
      <c r="AL72" s="49">
        <f t="shared" si="35"/>
        <v>-0.179846681763875</v>
      </c>
    </row>
    <row r="73" spans="1:38">
      <c r="A73" s="17">
        <v>69</v>
      </c>
      <c r="B73" s="18" t="s">
        <v>187</v>
      </c>
      <c r="C73" s="23" t="s">
        <v>188</v>
      </c>
      <c r="D73" s="20" t="s">
        <v>86</v>
      </c>
      <c r="E73" s="55">
        <v>0.048</v>
      </c>
      <c r="F73" s="55">
        <v>0.0504</v>
      </c>
      <c r="G73" s="21">
        <v>13.7168</v>
      </c>
      <c r="H73" s="56">
        <v>0.95</v>
      </c>
      <c r="I73" s="21">
        <f t="shared" si="19"/>
        <v>0.727712336842105</v>
      </c>
      <c r="J73" s="20" t="s">
        <v>120</v>
      </c>
      <c r="K73" s="21">
        <v>42.3529411764705</v>
      </c>
      <c r="L73" s="61">
        <v>85.0000000000002</v>
      </c>
      <c r="M73" s="20">
        <v>2</v>
      </c>
      <c r="N73" s="20">
        <v>39.75</v>
      </c>
      <c r="O73" s="20">
        <v>0.76</v>
      </c>
      <c r="P73" s="20">
        <v>22.5</v>
      </c>
      <c r="Q73" s="21">
        <f t="shared" si="20"/>
        <v>0.265625000000001</v>
      </c>
      <c r="R73" s="21">
        <v>0</v>
      </c>
      <c r="S73" s="31">
        <v>0.042062</v>
      </c>
      <c r="T73" s="31">
        <v>0.1</v>
      </c>
      <c r="U73" s="20">
        <v>0</v>
      </c>
      <c r="V73" s="21">
        <f t="shared" si="33"/>
        <v>1.5110545067313</v>
      </c>
      <c r="W73" s="20">
        <v>2.48</v>
      </c>
      <c r="X73" s="62">
        <f t="shared" si="21"/>
        <v>-0.968945493268696</v>
      </c>
      <c r="Y73" s="75">
        <f t="shared" si="22"/>
        <v>0.0661789495709979</v>
      </c>
      <c r="Z73" s="76">
        <f t="shared" si="23"/>
        <v>0.175787834797964</v>
      </c>
      <c r="AA73" s="22">
        <f t="shared" si="24"/>
        <v>0.178322916666667</v>
      </c>
      <c r="AB73" s="76">
        <f t="shared" si="25"/>
        <v>0.118012233094366</v>
      </c>
      <c r="AC73" s="77">
        <f t="shared" si="26"/>
        <v>0.0278361897685531</v>
      </c>
      <c r="AD73" s="77">
        <f t="shared" si="27"/>
        <v>0</v>
      </c>
      <c r="AE73" s="77">
        <f t="shared" si="28"/>
        <v>0.518407619579333</v>
      </c>
      <c r="AF73" s="78">
        <v>10500</v>
      </c>
      <c r="AG73" s="83">
        <f t="shared" si="29"/>
        <v>1.89955238026316</v>
      </c>
      <c r="AH73" s="84">
        <f t="shared" si="30"/>
        <v>19945.2999927632</v>
      </c>
      <c r="AI73" s="85">
        <f t="shared" si="31"/>
        <v>15866.0723206787</v>
      </c>
      <c r="AJ73" s="85">
        <f t="shared" si="32"/>
        <v>26040</v>
      </c>
      <c r="AK73" s="1">
        <f t="shared" si="34"/>
        <v>2.61030668863776</v>
      </c>
      <c r="AL73" s="49">
        <f t="shared" si="35"/>
        <v>-0.234051459571306</v>
      </c>
    </row>
    <row r="74" spans="1:38">
      <c r="A74" s="17">
        <v>70</v>
      </c>
      <c r="B74" s="18" t="s">
        <v>189</v>
      </c>
      <c r="C74" s="23" t="s">
        <v>190</v>
      </c>
      <c r="D74" s="20" t="s">
        <v>43</v>
      </c>
      <c r="E74" s="55">
        <v>0.012</v>
      </c>
      <c r="F74" s="55">
        <v>0.0126</v>
      </c>
      <c r="G74" s="21">
        <v>15.3097</v>
      </c>
      <c r="H74" s="56">
        <v>0.95</v>
      </c>
      <c r="I74" s="21">
        <f t="shared" si="19"/>
        <v>0.203054968421053</v>
      </c>
      <c r="J74" s="20" t="s">
        <v>65</v>
      </c>
      <c r="K74" s="21">
        <v>55.3846153846154</v>
      </c>
      <c r="L74" s="61">
        <v>65</v>
      </c>
      <c r="M74" s="20">
        <v>2</v>
      </c>
      <c r="N74" s="20">
        <v>48.5</v>
      </c>
      <c r="O74" s="20">
        <v>0.76</v>
      </c>
      <c r="P74" s="20">
        <v>22.5</v>
      </c>
      <c r="Q74" s="21">
        <f t="shared" si="20"/>
        <v>0.203125</v>
      </c>
      <c r="R74" s="21">
        <v>0</v>
      </c>
      <c r="S74" s="31">
        <v>0.084124</v>
      </c>
      <c r="T74" s="31">
        <v>0.2</v>
      </c>
      <c r="U74" s="20">
        <v>0</v>
      </c>
      <c r="V74" s="21">
        <f t="shared" si="33"/>
        <v>0.953117392927055</v>
      </c>
      <c r="W74" s="20">
        <v>0.72</v>
      </c>
      <c r="X74" s="62">
        <f t="shared" si="21"/>
        <v>0.233117392927055</v>
      </c>
      <c r="Y74" s="75">
        <f t="shared" si="22"/>
        <v>0.209837740328915</v>
      </c>
      <c r="Z74" s="76">
        <f t="shared" si="23"/>
        <v>0.213116455021555</v>
      </c>
      <c r="AA74" s="22">
        <f t="shared" si="24"/>
        <v>0.166381944444444</v>
      </c>
      <c r="AB74" s="76">
        <f t="shared" si="25"/>
        <v>0.174566056268766</v>
      </c>
      <c r="AC74" s="77">
        <f t="shared" si="26"/>
        <v>0.0882619503371483</v>
      </c>
      <c r="AD74" s="77">
        <f t="shared" si="27"/>
        <v>0</v>
      </c>
      <c r="AE74" s="77">
        <f t="shared" si="28"/>
        <v>0.786957021319835</v>
      </c>
      <c r="AF74" s="78">
        <v>10625</v>
      </c>
      <c r="AG74" s="83">
        <f t="shared" si="29"/>
        <v>1.14296686929825</v>
      </c>
      <c r="AH74" s="84">
        <f t="shared" si="30"/>
        <v>12144.0229862939</v>
      </c>
      <c r="AI74" s="85">
        <f t="shared" si="31"/>
        <v>10126.87229985</v>
      </c>
      <c r="AJ74" s="85">
        <f t="shared" si="32"/>
        <v>7650</v>
      </c>
      <c r="AK74" s="1">
        <f t="shared" si="34"/>
        <v>5.62885448302946</v>
      </c>
      <c r="AL74" s="49">
        <f t="shared" si="35"/>
        <v>0.587453985136458</v>
      </c>
    </row>
    <row r="75" spans="1:38">
      <c r="A75" s="17">
        <v>71</v>
      </c>
      <c r="B75" s="18" t="s">
        <v>191</v>
      </c>
      <c r="C75" s="23" t="s">
        <v>192</v>
      </c>
      <c r="D75" s="20" t="s">
        <v>43</v>
      </c>
      <c r="E75" s="55">
        <v>0.006</v>
      </c>
      <c r="F75" s="55">
        <v>0.0063</v>
      </c>
      <c r="G75" s="21">
        <v>15.3097</v>
      </c>
      <c r="H75" s="56">
        <v>0.95</v>
      </c>
      <c r="I75" s="21">
        <f t="shared" si="19"/>
        <v>0.101527484210526</v>
      </c>
      <c r="J75" s="20" t="s">
        <v>65</v>
      </c>
      <c r="K75" s="21">
        <v>65.4545454545455</v>
      </c>
      <c r="L75" s="61">
        <v>55</v>
      </c>
      <c r="M75" s="20">
        <v>6</v>
      </c>
      <c r="N75" s="20">
        <v>48.5</v>
      </c>
      <c r="O75" s="20">
        <v>0.76</v>
      </c>
      <c r="P75" s="20">
        <v>22.5</v>
      </c>
      <c r="Q75" s="21">
        <f t="shared" si="20"/>
        <v>0.0572916666666666</v>
      </c>
      <c r="R75" s="21">
        <v>0</v>
      </c>
      <c r="S75" s="31">
        <v>0.00477055555555556</v>
      </c>
      <c r="T75" s="31">
        <v>0.0111111111111111</v>
      </c>
      <c r="U75" s="20">
        <v>0</v>
      </c>
      <c r="V75" s="21">
        <f t="shared" si="33"/>
        <v>0.256281250557094</v>
      </c>
      <c r="W75" s="20">
        <v>0.46</v>
      </c>
      <c r="X75" s="62">
        <f t="shared" si="21"/>
        <v>-0.203718749442906</v>
      </c>
      <c r="Y75" s="75">
        <f t="shared" si="22"/>
        <v>0.0433551462971177</v>
      </c>
      <c r="Z75" s="76">
        <f t="shared" si="23"/>
        <v>0.223549973094513</v>
      </c>
      <c r="AA75" s="22">
        <f t="shared" si="24"/>
        <v>0.0469282407407407</v>
      </c>
      <c r="AB75" s="76">
        <f t="shared" si="25"/>
        <v>0.183112266850306</v>
      </c>
      <c r="AC75" s="77">
        <f t="shared" si="26"/>
        <v>0.0186145320626675</v>
      </c>
      <c r="AD75" s="77">
        <f t="shared" si="27"/>
        <v>0</v>
      </c>
      <c r="AE75" s="77">
        <f t="shared" si="28"/>
        <v>0.603843496198689</v>
      </c>
      <c r="AF75" s="78">
        <v>74291</v>
      </c>
      <c r="AG75" s="83">
        <f t="shared" si="29"/>
        <v>0.324502754093567</v>
      </c>
      <c r="AH75" s="84">
        <f t="shared" si="30"/>
        <v>24107.6341043652</v>
      </c>
      <c r="AI75" s="85">
        <f t="shared" si="31"/>
        <v>19039.3903851371</v>
      </c>
      <c r="AJ75" s="85">
        <f t="shared" si="32"/>
        <v>34173.86</v>
      </c>
      <c r="AK75" s="1">
        <f t="shared" si="34"/>
        <v>3.19620599896559</v>
      </c>
      <c r="AL75" s="49">
        <f t="shared" si="35"/>
        <v>-0.294559230231376</v>
      </c>
    </row>
    <row r="76" spans="1:38">
      <c r="A76" s="17">
        <v>72</v>
      </c>
      <c r="B76" s="18" t="s">
        <v>193</v>
      </c>
      <c r="C76" s="23" t="s">
        <v>194</v>
      </c>
      <c r="D76" s="20" t="s">
        <v>43</v>
      </c>
      <c r="E76" s="55">
        <v>0.004</v>
      </c>
      <c r="F76" s="55">
        <v>0.0042</v>
      </c>
      <c r="G76" s="21">
        <v>15.3097</v>
      </c>
      <c r="H76" s="56">
        <v>0.95</v>
      </c>
      <c r="I76" s="21">
        <f t="shared" si="19"/>
        <v>0.0676849894736842</v>
      </c>
      <c r="J76" s="20" t="s">
        <v>65</v>
      </c>
      <c r="K76" s="21">
        <v>65.4545454545455</v>
      </c>
      <c r="L76" s="61">
        <v>55</v>
      </c>
      <c r="M76" s="20">
        <v>6</v>
      </c>
      <c r="N76" s="20">
        <v>48.5</v>
      </c>
      <c r="O76" s="20">
        <v>0.76</v>
      </c>
      <c r="P76" s="20">
        <v>22.5</v>
      </c>
      <c r="Q76" s="21">
        <f t="shared" si="20"/>
        <v>0.0572916666666666</v>
      </c>
      <c r="R76" s="21">
        <v>0</v>
      </c>
      <c r="S76" s="31">
        <v>0.00477055555555556</v>
      </c>
      <c r="T76" s="31">
        <v>0.0111111111111111</v>
      </c>
      <c r="U76" s="20">
        <v>0</v>
      </c>
      <c r="V76" s="21">
        <f t="shared" si="33"/>
        <v>0.216738967232995</v>
      </c>
      <c r="W76" s="20">
        <v>0.32</v>
      </c>
      <c r="X76" s="62">
        <f t="shared" si="21"/>
        <v>-0.103261032767005</v>
      </c>
      <c r="Y76" s="75">
        <f t="shared" si="22"/>
        <v>0.0512649444304431</v>
      </c>
      <c r="Z76" s="76">
        <f t="shared" si="23"/>
        <v>0.264334869719472</v>
      </c>
      <c r="AA76" s="22">
        <f t="shared" si="24"/>
        <v>0.0469282407407407</v>
      </c>
      <c r="AB76" s="76">
        <f t="shared" si="25"/>
        <v>0.216519628841328</v>
      </c>
      <c r="AC76" s="77">
        <f t="shared" si="26"/>
        <v>0.0220106038912108</v>
      </c>
      <c r="AD76" s="77">
        <f t="shared" si="27"/>
        <v>0</v>
      </c>
      <c r="AE76" s="77">
        <f t="shared" si="28"/>
        <v>0.687711949827081</v>
      </c>
      <c r="AF76" s="78">
        <v>74969</v>
      </c>
      <c r="AG76" s="83">
        <f t="shared" si="29"/>
        <v>0.273739011988304</v>
      </c>
      <c r="AH76" s="84">
        <f t="shared" si="30"/>
        <v>20521.9399897512</v>
      </c>
      <c r="AI76" s="85">
        <f t="shared" si="31"/>
        <v>16248.7036344904</v>
      </c>
      <c r="AJ76" s="85">
        <f t="shared" si="32"/>
        <v>23990.08</v>
      </c>
      <c r="AK76" s="1">
        <f t="shared" si="34"/>
        <v>4.04430899844837</v>
      </c>
      <c r="AL76" s="49">
        <f t="shared" si="35"/>
        <v>-0.14456558753655</v>
      </c>
    </row>
    <row r="77" spans="1:38">
      <c r="A77" s="17">
        <v>73</v>
      </c>
      <c r="B77" s="18" t="s">
        <v>195</v>
      </c>
      <c r="C77" s="23" t="s">
        <v>196</v>
      </c>
      <c r="D77" s="20" t="s">
        <v>43</v>
      </c>
      <c r="E77" s="55">
        <v>0.001</v>
      </c>
      <c r="F77" s="55">
        <v>0.00105</v>
      </c>
      <c r="G77" s="21">
        <v>15.3097</v>
      </c>
      <c r="H77" s="56">
        <v>0.95</v>
      </c>
      <c r="I77" s="21">
        <f t="shared" si="19"/>
        <v>0.0169212473684211</v>
      </c>
      <c r="J77" s="20" t="s">
        <v>65</v>
      </c>
      <c r="K77" s="21">
        <v>65.4545454545455</v>
      </c>
      <c r="L77" s="61">
        <v>55</v>
      </c>
      <c r="M77" s="20">
        <v>6</v>
      </c>
      <c r="N77" s="20">
        <v>48.5</v>
      </c>
      <c r="O77" s="20">
        <v>0.76</v>
      </c>
      <c r="P77" s="20">
        <v>22.5</v>
      </c>
      <c r="Q77" s="21">
        <f t="shared" si="20"/>
        <v>0.0572916666666666</v>
      </c>
      <c r="R77" s="21">
        <v>0</v>
      </c>
      <c r="S77" s="31">
        <v>0.00143116666666667</v>
      </c>
      <c r="T77" s="31">
        <v>0.00333333333333333</v>
      </c>
      <c r="U77" s="20">
        <v>0</v>
      </c>
      <c r="V77" s="21">
        <f t="shared" si="33"/>
        <v>0.146308375580178</v>
      </c>
      <c r="W77" s="20">
        <v>0.18</v>
      </c>
      <c r="X77" s="62">
        <f t="shared" si="21"/>
        <v>-0.0336916244198216</v>
      </c>
      <c r="Y77" s="75">
        <f t="shared" si="22"/>
        <v>0.02278292900263</v>
      </c>
      <c r="Z77" s="76">
        <f t="shared" si="23"/>
        <v>0.391581592232703</v>
      </c>
      <c r="AA77" s="22">
        <f t="shared" si="24"/>
        <v>0.0469282407407407</v>
      </c>
      <c r="AB77" s="76">
        <f t="shared" si="25"/>
        <v>0.320748833104388</v>
      </c>
      <c r="AC77" s="77">
        <f t="shared" si="26"/>
        <v>0.00978185056727923</v>
      </c>
      <c r="AD77" s="77">
        <f t="shared" si="27"/>
        <v>0</v>
      </c>
      <c r="AE77" s="77">
        <f t="shared" si="28"/>
        <v>0.884345326770797</v>
      </c>
      <c r="AF77" s="78">
        <v>141071</v>
      </c>
      <c r="AG77" s="83">
        <f t="shared" si="29"/>
        <v>0.186476232163743</v>
      </c>
      <c r="AH77" s="84">
        <f t="shared" si="30"/>
        <v>26306.3885475714</v>
      </c>
      <c r="AI77" s="85">
        <f t="shared" si="31"/>
        <v>20639.8688514713</v>
      </c>
      <c r="AJ77" s="85">
        <f t="shared" si="32"/>
        <v>25392.78</v>
      </c>
      <c r="AK77" s="1">
        <f t="shared" si="34"/>
        <v>11.0202414812368</v>
      </c>
      <c r="AL77" s="49">
        <f t="shared" si="35"/>
        <v>0.0359790675763501</v>
      </c>
    </row>
    <row r="78" spans="1:38">
      <c r="A78" s="17">
        <v>74</v>
      </c>
      <c r="B78" s="18" t="s">
        <v>197</v>
      </c>
      <c r="C78" s="19" t="s">
        <v>198</v>
      </c>
      <c r="D78" s="20" t="s">
        <v>59</v>
      </c>
      <c r="E78" s="55">
        <v>0.014</v>
      </c>
      <c r="F78" s="55">
        <v>0.0147</v>
      </c>
      <c r="G78" s="21">
        <v>18.5841</v>
      </c>
      <c r="H78" s="56">
        <v>0.96</v>
      </c>
      <c r="I78" s="21">
        <f t="shared" si="19"/>
        <v>0.28456903125</v>
      </c>
      <c r="J78" s="20" t="s">
        <v>65</v>
      </c>
      <c r="K78" s="21">
        <v>48</v>
      </c>
      <c r="L78" s="61">
        <v>75</v>
      </c>
      <c r="M78" s="20">
        <v>2</v>
      </c>
      <c r="N78" s="20">
        <v>48.5</v>
      </c>
      <c r="O78" s="20">
        <v>0.76</v>
      </c>
      <c r="P78" s="20">
        <v>22.5</v>
      </c>
      <c r="Q78" s="21">
        <f t="shared" si="20"/>
        <v>0.234375</v>
      </c>
      <c r="R78" s="21">
        <v>0</v>
      </c>
      <c r="S78" s="31">
        <v>0.035438</v>
      </c>
      <c r="T78" s="31">
        <v>0.05</v>
      </c>
      <c r="U78" s="20">
        <v>0</v>
      </c>
      <c r="V78" s="21">
        <f t="shared" si="33"/>
        <v>0.907442947591146</v>
      </c>
      <c r="W78" s="20">
        <v>1.04</v>
      </c>
      <c r="X78" s="62">
        <f t="shared" si="21"/>
        <v>-0.132557052408854</v>
      </c>
      <c r="Y78" s="75">
        <f t="shared" si="22"/>
        <v>0.0550998827339257</v>
      </c>
      <c r="Z78" s="76">
        <f t="shared" si="23"/>
        <v>0.258280700315277</v>
      </c>
      <c r="AA78" s="22">
        <f t="shared" si="24"/>
        <v>0.191979166666667</v>
      </c>
      <c r="AB78" s="76">
        <f t="shared" si="25"/>
        <v>0.211560591413802</v>
      </c>
      <c r="AC78" s="77">
        <f t="shared" si="26"/>
        <v>0.0390525928864972</v>
      </c>
      <c r="AD78" s="77">
        <f t="shared" si="27"/>
        <v>0</v>
      </c>
      <c r="AE78" s="77">
        <f t="shared" si="28"/>
        <v>0.686405594968363</v>
      </c>
      <c r="AF78" s="78">
        <v>27360</v>
      </c>
      <c r="AG78" s="83">
        <f t="shared" si="29"/>
        <v>1.151822796875</v>
      </c>
      <c r="AH78" s="84">
        <f t="shared" si="30"/>
        <v>31513.8717225</v>
      </c>
      <c r="AI78" s="85">
        <f t="shared" si="31"/>
        <v>24827.6390460938</v>
      </c>
      <c r="AJ78" s="85">
        <f t="shared" si="32"/>
        <v>28454.4</v>
      </c>
      <c r="AK78" s="1">
        <f t="shared" si="34"/>
        <v>4.04760416766187</v>
      </c>
      <c r="AL78" s="49">
        <f t="shared" si="35"/>
        <v>0.107521920072115</v>
      </c>
    </row>
    <row r="79" spans="1:36">
      <c r="A79" s="17">
        <v>75</v>
      </c>
      <c r="B79" s="18" t="s">
        <v>199</v>
      </c>
      <c r="C79" s="19" t="s">
        <v>200</v>
      </c>
      <c r="D79" s="20" t="s">
        <v>59</v>
      </c>
      <c r="E79" s="55">
        <v>0.015</v>
      </c>
      <c r="F79" s="55">
        <v>0.01575</v>
      </c>
      <c r="G79" s="21">
        <v>18.5841</v>
      </c>
      <c r="H79" s="56">
        <v>0.96</v>
      </c>
      <c r="I79" s="21">
        <f t="shared" si="19"/>
        <v>0.304895390625</v>
      </c>
      <c r="J79" s="20" t="s">
        <v>65</v>
      </c>
      <c r="K79" s="21">
        <v>48</v>
      </c>
      <c r="L79" s="61">
        <v>75</v>
      </c>
      <c r="M79" s="20">
        <v>2</v>
      </c>
      <c r="N79" s="20">
        <v>48.5</v>
      </c>
      <c r="O79" s="20">
        <v>0.76</v>
      </c>
      <c r="P79" s="20">
        <v>22.5</v>
      </c>
      <c r="Q79" s="21">
        <f t="shared" si="20"/>
        <v>0.234375</v>
      </c>
      <c r="R79" s="21">
        <v>0</v>
      </c>
      <c r="S79" s="31">
        <v>0.0437553333333333</v>
      </c>
      <c r="T79" s="31">
        <v>0.0666666666666667</v>
      </c>
      <c r="U79" s="20">
        <v>0</v>
      </c>
      <c r="V79" s="21">
        <f t="shared" si="33"/>
        <v>0.95592930061849</v>
      </c>
      <c r="W79" s="20">
        <v>1.04</v>
      </c>
      <c r="X79" s="62">
        <f t="shared" si="21"/>
        <v>-0.0840706993815103</v>
      </c>
      <c r="Y79" s="75">
        <f t="shared" si="22"/>
        <v>0.0697401644907559</v>
      </c>
      <c r="Z79" s="76">
        <f t="shared" si="23"/>
        <v>0.245180265787814</v>
      </c>
      <c r="AA79" s="22">
        <f t="shared" si="24"/>
        <v>0.191979166666667</v>
      </c>
      <c r="AB79" s="76">
        <f t="shared" si="25"/>
        <v>0.200829879931974</v>
      </c>
      <c r="AC79" s="77">
        <f t="shared" si="26"/>
        <v>0.0457725621602178</v>
      </c>
      <c r="AD79" s="77">
        <f t="shared" si="27"/>
        <v>0</v>
      </c>
      <c r="AE79" s="77">
        <f t="shared" si="28"/>
        <v>0.681048179580089</v>
      </c>
      <c r="AF79" s="78">
        <v>0</v>
      </c>
      <c r="AG79" s="83">
        <f t="shared" si="29"/>
        <v>1.2072963359375</v>
      </c>
      <c r="AH79" s="84">
        <f t="shared" si="30"/>
        <v>0</v>
      </c>
      <c r="AI79" s="85">
        <f t="shared" si="31"/>
        <v>0</v>
      </c>
      <c r="AJ79" s="85">
        <f t="shared" si="32"/>
        <v>0</v>
      </c>
    </row>
    <row r="80" spans="1:38">
      <c r="A80" s="17">
        <v>76</v>
      </c>
      <c r="B80" s="18" t="s">
        <v>201</v>
      </c>
      <c r="C80" s="19" t="s">
        <v>202</v>
      </c>
      <c r="D80" s="20" t="s">
        <v>59</v>
      </c>
      <c r="E80" s="55">
        <v>0.015</v>
      </c>
      <c r="F80" s="55">
        <v>0.01575</v>
      </c>
      <c r="G80" s="21">
        <v>18.5841</v>
      </c>
      <c r="H80" s="56">
        <v>0.96</v>
      </c>
      <c r="I80" s="21">
        <f t="shared" si="19"/>
        <v>0.304895390625</v>
      </c>
      <c r="J80" s="20" t="s">
        <v>65</v>
      </c>
      <c r="K80" s="21">
        <v>48</v>
      </c>
      <c r="L80" s="61">
        <v>75</v>
      </c>
      <c r="M80" s="20">
        <v>2</v>
      </c>
      <c r="N80" s="20">
        <v>48.5</v>
      </c>
      <c r="O80" s="20">
        <v>0.76</v>
      </c>
      <c r="P80" s="20">
        <v>22.5</v>
      </c>
      <c r="Q80" s="21">
        <f t="shared" si="20"/>
        <v>0.234375</v>
      </c>
      <c r="R80" s="21">
        <v>0</v>
      </c>
      <c r="S80" s="31">
        <v>0.0437553333333333</v>
      </c>
      <c r="T80" s="31">
        <v>0.0666666666666667</v>
      </c>
      <c r="U80" s="20">
        <v>0.3</v>
      </c>
      <c r="V80" s="21">
        <f t="shared" si="33"/>
        <v>1.25592930061849</v>
      </c>
      <c r="W80" s="20">
        <v>1.22</v>
      </c>
      <c r="X80" s="62">
        <f t="shared" si="21"/>
        <v>0.0359293006184898</v>
      </c>
      <c r="Y80" s="75">
        <f t="shared" si="22"/>
        <v>0.0530815441871101</v>
      </c>
      <c r="Z80" s="76">
        <f t="shared" si="23"/>
        <v>0.186614803782809</v>
      </c>
      <c r="AA80" s="22">
        <f t="shared" si="24"/>
        <v>0.191979166666667</v>
      </c>
      <c r="AB80" s="76">
        <f t="shared" si="25"/>
        <v>0.152858259276319</v>
      </c>
      <c r="AC80" s="77">
        <f t="shared" si="26"/>
        <v>0.034839009896326</v>
      </c>
      <c r="AD80" s="77">
        <f t="shared" si="27"/>
        <v>0.238866948841996</v>
      </c>
      <c r="AE80" s="77">
        <f t="shared" si="28"/>
        <v>0.757235227751393</v>
      </c>
      <c r="AF80" s="78">
        <v>20551</v>
      </c>
      <c r="AG80" s="83">
        <f t="shared" si="29"/>
        <v>1.5072963359375</v>
      </c>
      <c r="AH80" s="84">
        <f t="shared" si="30"/>
        <v>30976.4469998516</v>
      </c>
      <c r="AI80" s="85">
        <f t="shared" si="31"/>
        <v>25810.6030570106</v>
      </c>
      <c r="AJ80" s="85">
        <f t="shared" si="32"/>
        <v>25072.22</v>
      </c>
      <c r="AK80" s="1">
        <f t="shared" si="34"/>
        <v>4.94365078083902</v>
      </c>
      <c r="AL80" s="49">
        <f t="shared" si="35"/>
        <v>0.235488799948771</v>
      </c>
    </row>
    <row r="81" spans="1:38">
      <c r="A81" s="17">
        <v>77</v>
      </c>
      <c r="B81" s="18" t="s">
        <v>203</v>
      </c>
      <c r="C81" s="23" t="s">
        <v>204</v>
      </c>
      <c r="D81" s="20" t="s">
        <v>86</v>
      </c>
      <c r="E81" s="55">
        <v>0</v>
      </c>
      <c r="F81" s="55">
        <v>0.124</v>
      </c>
      <c r="G81" s="21">
        <v>13.7168</v>
      </c>
      <c r="H81" s="56">
        <v>0.95</v>
      </c>
      <c r="I81" s="21">
        <f t="shared" si="19"/>
        <v>1.79040336842105</v>
      </c>
      <c r="J81" s="20" t="s">
        <v>87</v>
      </c>
      <c r="K81" s="21">
        <v>45</v>
      </c>
      <c r="L81" s="61">
        <v>80</v>
      </c>
      <c r="M81" s="20">
        <v>2</v>
      </c>
      <c r="N81" s="20">
        <v>75.9</v>
      </c>
      <c r="O81" s="20">
        <v>0.76</v>
      </c>
      <c r="P81" s="20">
        <v>22.5</v>
      </c>
      <c r="Q81" s="21">
        <f t="shared" si="20"/>
        <v>0.25</v>
      </c>
      <c r="R81" s="21">
        <v>0</v>
      </c>
      <c r="S81" s="31">
        <v>0.0560826666666667</v>
      </c>
      <c r="T81" s="31">
        <v>0.133333333333333</v>
      </c>
      <c r="U81" s="20">
        <v>0</v>
      </c>
      <c r="V81" s="21">
        <f t="shared" si="33"/>
        <v>2.94790625152355</v>
      </c>
      <c r="W81" s="20">
        <v>5</v>
      </c>
      <c r="X81" s="62">
        <f t="shared" si="21"/>
        <v>-2.05209374847645</v>
      </c>
      <c r="Y81" s="75">
        <f t="shared" si="22"/>
        <v>0.0452298417781852</v>
      </c>
      <c r="Z81" s="76">
        <f t="shared" si="23"/>
        <v>0.0848059533340975</v>
      </c>
      <c r="AA81" s="22">
        <f t="shared" si="24"/>
        <v>0.320466666666667</v>
      </c>
      <c r="AB81" s="76">
        <f t="shared" si="25"/>
        <v>0.108709924713869</v>
      </c>
      <c r="AC81" s="77">
        <f t="shared" si="26"/>
        <v>0.0190245760487403</v>
      </c>
      <c r="AD81" s="77">
        <f t="shared" si="27"/>
        <v>0</v>
      </c>
      <c r="AE81" s="77">
        <f t="shared" si="28"/>
        <v>0.392652541953893</v>
      </c>
      <c r="AF81" s="78">
        <v>48643</v>
      </c>
      <c r="AG81" s="83">
        <f t="shared" si="29"/>
        <v>3.73072105263158</v>
      </c>
      <c r="AH81" s="84">
        <f t="shared" si="30"/>
        <v>181473.464163158</v>
      </c>
      <c r="AI81" s="85">
        <f t="shared" si="31"/>
        <v>143395.00379286</v>
      </c>
      <c r="AJ81" s="85">
        <f t="shared" si="32"/>
        <v>243215</v>
      </c>
      <c r="AK81" s="1">
        <f t="shared" si="34"/>
        <v>2.0837321457464</v>
      </c>
      <c r="AL81" s="49">
        <f t="shared" si="35"/>
        <v>-0.253855789473684</v>
      </c>
    </row>
    <row r="82" spans="1:38">
      <c r="A82" s="17">
        <v>78</v>
      </c>
      <c r="B82" s="18" t="s">
        <v>205</v>
      </c>
      <c r="C82" s="23" t="s">
        <v>206</v>
      </c>
      <c r="D82" s="20" t="s">
        <v>86</v>
      </c>
      <c r="E82" s="55">
        <v>0</v>
      </c>
      <c r="F82" s="55">
        <v>0.09475</v>
      </c>
      <c r="G82" s="21">
        <v>13.7168</v>
      </c>
      <c r="H82" s="56">
        <v>0.95</v>
      </c>
      <c r="I82" s="21">
        <f t="shared" si="19"/>
        <v>1.36807031578947</v>
      </c>
      <c r="J82" s="20" t="s">
        <v>87</v>
      </c>
      <c r="K82" s="21">
        <v>45</v>
      </c>
      <c r="L82" s="61">
        <v>80</v>
      </c>
      <c r="M82" s="20">
        <v>2</v>
      </c>
      <c r="N82" s="20">
        <v>75.9</v>
      </c>
      <c r="O82" s="20">
        <v>0.76</v>
      </c>
      <c r="P82" s="20">
        <v>22.5</v>
      </c>
      <c r="Q82" s="21">
        <f t="shared" si="20"/>
        <v>0.25</v>
      </c>
      <c r="R82" s="21">
        <v>0</v>
      </c>
      <c r="S82" s="31">
        <v>0.0560826666666667</v>
      </c>
      <c r="T82" s="31">
        <v>0.133333333333333</v>
      </c>
      <c r="U82" s="20">
        <v>0</v>
      </c>
      <c r="V82" s="21">
        <f t="shared" si="33"/>
        <v>2.45444342160665</v>
      </c>
      <c r="W82" s="20">
        <v>4.46</v>
      </c>
      <c r="X82" s="62">
        <f t="shared" si="21"/>
        <v>-2.00555657839335</v>
      </c>
      <c r="Y82" s="75">
        <f t="shared" si="22"/>
        <v>0.0543232458159719</v>
      </c>
      <c r="Z82" s="76">
        <f t="shared" si="23"/>
        <v>0.101856085904947</v>
      </c>
      <c r="AA82" s="22">
        <f t="shared" si="24"/>
        <v>0.320466666666667</v>
      </c>
      <c r="AB82" s="76">
        <f t="shared" si="25"/>
        <v>0.130565921318689</v>
      </c>
      <c r="AC82" s="77">
        <f t="shared" si="26"/>
        <v>0.0228494436551142</v>
      </c>
      <c r="AD82" s="77">
        <f t="shared" si="27"/>
        <v>0</v>
      </c>
      <c r="AE82" s="77">
        <f t="shared" si="28"/>
        <v>0.442614849563755</v>
      </c>
      <c r="AF82" s="78">
        <v>49383</v>
      </c>
      <c r="AG82" s="83">
        <f t="shared" si="29"/>
        <v>3.09722147368421</v>
      </c>
      <c r="AH82" s="84">
        <f t="shared" si="30"/>
        <v>152950.088034947</v>
      </c>
      <c r="AI82" s="85">
        <f t="shared" si="31"/>
        <v>121207.779489201</v>
      </c>
      <c r="AJ82" s="85">
        <f t="shared" si="32"/>
        <v>220248.18</v>
      </c>
      <c r="AK82" s="1">
        <f t="shared" si="34"/>
        <v>2.26393441765228</v>
      </c>
      <c r="AL82" s="49">
        <f t="shared" si="35"/>
        <v>-0.305555723389191</v>
      </c>
    </row>
    <row r="83" spans="1:38">
      <c r="A83" s="17">
        <v>79</v>
      </c>
      <c r="B83" s="18" t="s">
        <v>207</v>
      </c>
      <c r="C83" s="23" t="s">
        <v>134</v>
      </c>
      <c r="D83" s="20" t="s">
        <v>86</v>
      </c>
      <c r="E83" s="55">
        <v>0.24</v>
      </c>
      <c r="F83" s="55">
        <v>0.2544</v>
      </c>
      <c r="G83" s="21">
        <v>13.7168</v>
      </c>
      <c r="H83" s="56">
        <v>0.95</v>
      </c>
      <c r="I83" s="21">
        <f t="shared" si="19"/>
        <v>3.67321465263158</v>
      </c>
      <c r="J83" s="20" t="s">
        <v>208</v>
      </c>
      <c r="K83" s="21">
        <v>32.7272727272727</v>
      </c>
      <c r="L83" s="61">
        <v>110</v>
      </c>
      <c r="M83" s="20">
        <v>2</v>
      </c>
      <c r="N83" s="20">
        <v>84.3</v>
      </c>
      <c r="O83" s="20">
        <v>0.76</v>
      </c>
      <c r="P83" s="20">
        <v>22.5</v>
      </c>
      <c r="Q83" s="21">
        <f t="shared" si="20"/>
        <v>0.34375</v>
      </c>
      <c r="R83" s="21">
        <v>0</v>
      </c>
      <c r="S83" s="31">
        <v>0.0560826666666667</v>
      </c>
      <c r="T83" s="31">
        <v>0.133333333333333</v>
      </c>
      <c r="U83" s="20">
        <v>0</v>
      </c>
      <c r="V83" s="21">
        <f t="shared" si="33"/>
        <v>5.45475706781163</v>
      </c>
      <c r="W83" s="20">
        <v>8.91</v>
      </c>
      <c r="X83" s="62">
        <f t="shared" si="21"/>
        <v>-3.45524293218837</v>
      </c>
      <c r="Y83" s="75">
        <f t="shared" si="22"/>
        <v>0.0244434961403009</v>
      </c>
      <c r="Z83" s="76">
        <f t="shared" si="23"/>
        <v>0.0630183884867135</v>
      </c>
      <c r="AA83" s="22">
        <f t="shared" si="24"/>
        <v>0.489408333333334</v>
      </c>
      <c r="AB83" s="76">
        <f t="shared" si="25"/>
        <v>0.0897213803014837</v>
      </c>
      <c r="AC83" s="77">
        <f t="shared" si="26"/>
        <v>0.0102814233465334</v>
      </c>
      <c r="AD83" s="77">
        <f t="shared" si="27"/>
        <v>0</v>
      </c>
      <c r="AE83" s="77">
        <f t="shared" si="28"/>
        <v>0.326603438619272</v>
      </c>
      <c r="AF83" s="78">
        <v>3841</v>
      </c>
      <c r="AG83" s="83">
        <f t="shared" si="29"/>
        <v>6.94897547894737</v>
      </c>
      <c r="AH83" s="84">
        <f t="shared" si="30"/>
        <v>26691.0148146368</v>
      </c>
      <c r="AI83" s="85">
        <f t="shared" si="31"/>
        <v>20951.7218974645</v>
      </c>
      <c r="AJ83" s="85">
        <f t="shared" si="32"/>
        <v>34223.31</v>
      </c>
      <c r="AK83" s="1">
        <f t="shared" si="34"/>
        <v>1.89179673286149</v>
      </c>
      <c r="AL83" s="49">
        <f t="shared" si="35"/>
        <v>-0.220092538838679</v>
      </c>
    </row>
    <row r="84" spans="1:38">
      <c r="A84" s="17">
        <v>80</v>
      </c>
      <c r="B84" s="18" t="s">
        <v>209</v>
      </c>
      <c r="C84" s="23" t="s">
        <v>210</v>
      </c>
      <c r="D84" s="20" t="s">
        <v>86</v>
      </c>
      <c r="E84" s="55">
        <v>0.098</v>
      </c>
      <c r="F84" s="55">
        <v>0.1029</v>
      </c>
      <c r="G84" s="21">
        <v>13.7168</v>
      </c>
      <c r="H84" s="56">
        <v>0.95</v>
      </c>
      <c r="I84" s="21">
        <f t="shared" si="19"/>
        <v>1.48574602105263</v>
      </c>
      <c r="J84" s="20" t="s">
        <v>87</v>
      </c>
      <c r="K84" s="21">
        <v>30</v>
      </c>
      <c r="L84" s="61">
        <v>120</v>
      </c>
      <c r="M84" s="20">
        <v>1</v>
      </c>
      <c r="N84" s="20">
        <v>75.9</v>
      </c>
      <c r="O84" s="20">
        <v>0.76</v>
      </c>
      <c r="P84" s="20">
        <v>22.5</v>
      </c>
      <c r="Q84" s="21">
        <f t="shared" si="20"/>
        <v>0.75</v>
      </c>
      <c r="R84" s="21">
        <v>1.25</v>
      </c>
      <c r="S84" s="31">
        <v>0.0560826666666667</v>
      </c>
      <c r="T84" s="31">
        <v>0.133333333333333</v>
      </c>
      <c r="U84" s="20">
        <v>0</v>
      </c>
      <c r="V84" s="21">
        <f t="shared" si="33"/>
        <v>5.21252871933518</v>
      </c>
      <c r="W84" s="20">
        <v>5.22</v>
      </c>
      <c r="X84" s="62">
        <f t="shared" si="21"/>
        <v>-0.00747128066481917</v>
      </c>
      <c r="Y84" s="75">
        <f t="shared" si="22"/>
        <v>0.0255793954359907</v>
      </c>
      <c r="Z84" s="76">
        <f t="shared" si="23"/>
        <v>0.143884099327448</v>
      </c>
      <c r="AA84" s="22">
        <f t="shared" si="24"/>
        <v>0.9614</v>
      </c>
      <c r="AB84" s="76">
        <f t="shared" si="25"/>
        <v>0.184440230791212</v>
      </c>
      <c r="AC84" s="77">
        <f t="shared" si="26"/>
        <v>0.0107592053082865</v>
      </c>
      <c r="AD84" s="77">
        <f t="shared" si="27"/>
        <v>0</v>
      </c>
      <c r="AE84" s="77">
        <f t="shared" si="28"/>
        <v>0.714966362575336</v>
      </c>
      <c r="AF84" s="78">
        <v>3630</v>
      </c>
      <c r="AG84" s="83">
        <f t="shared" si="29"/>
        <v>6.36013503157894</v>
      </c>
      <c r="AH84" s="84">
        <f t="shared" si="30"/>
        <v>23087.2901646316</v>
      </c>
      <c r="AI84" s="85">
        <f t="shared" si="31"/>
        <v>18921.4792511867</v>
      </c>
      <c r="AJ84" s="85">
        <f t="shared" si="32"/>
        <v>18948.6</v>
      </c>
      <c r="AK84" s="1">
        <f t="shared" si="34"/>
        <v>4.28076867880345</v>
      </c>
      <c r="AL84" s="49">
        <f t="shared" si="35"/>
        <v>0.218416672716273</v>
      </c>
    </row>
    <row r="85" spans="1:38">
      <c r="A85" s="17">
        <v>81</v>
      </c>
      <c r="B85" s="18" t="s">
        <v>211</v>
      </c>
      <c r="C85" s="23" t="s">
        <v>212</v>
      </c>
      <c r="D85" s="20" t="s">
        <v>86</v>
      </c>
      <c r="E85" s="55">
        <v>0</v>
      </c>
      <c r="F85" s="55">
        <v>0.1372</v>
      </c>
      <c r="G85" s="21">
        <v>13.7168</v>
      </c>
      <c r="H85" s="56">
        <v>0.95</v>
      </c>
      <c r="I85" s="21">
        <f t="shared" si="19"/>
        <v>1.98099469473684</v>
      </c>
      <c r="J85" s="20" t="s">
        <v>213</v>
      </c>
      <c r="K85" s="21">
        <v>45</v>
      </c>
      <c r="L85" s="61">
        <v>80</v>
      </c>
      <c r="M85" s="20">
        <v>2</v>
      </c>
      <c r="N85" s="20">
        <v>52.05</v>
      </c>
      <c r="O85" s="20">
        <v>0.76</v>
      </c>
      <c r="P85" s="20">
        <v>22.5</v>
      </c>
      <c r="Q85" s="21">
        <f t="shared" si="20"/>
        <v>0.25</v>
      </c>
      <c r="R85" s="21">
        <v>1.05</v>
      </c>
      <c r="S85" s="31">
        <v>0.0560826666666667</v>
      </c>
      <c r="T85" s="31">
        <v>0.133333333333333</v>
      </c>
      <c r="U85" s="20">
        <v>0</v>
      </c>
      <c r="V85" s="21">
        <f t="shared" si="33"/>
        <v>4.13443716963989</v>
      </c>
      <c r="W85" s="20">
        <v>5.45</v>
      </c>
      <c r="X85" s="62">
        <f t="shared" si="21"/>
        <v>-1.31556283036011</v>
      </c>
      <c r="Y85" s="75">
        <f t="shared" si="22"/>
        <v>0.0322494520686951</v>
      </c>
      <c r="Z85" s="76">
        <f t="shared" si="23"/>
        <v>0.0604677226288034</v>
      </c>
      <c r="AA85" s="22">
        <f t="shared" si="24"/>
        <v>0.219766666666667</v>
      </c>
      <c r="AB85" s="76">
        <f t="shared" si="25"/>
        <v>0.0531551593722269</v>
      </c>
      <c r="AC85" s="77">
        <f t="shared" si="26"/>
        <v>0.0135647645291346</v>
      </c>
      <c r="AD85" s="77">
        <f t="shared" si="27"/>
        <v>0</v>
      </c>
      <c r="AE85" s="77">
        <f t="shared" si="28"/>
        <v>0.520855049078086</v>
      </c>
      <c r="AF85" s="78">
        <v>124551</v>
      </c>
      <c r="AG85" s="83">
        <f t="shared" si="29"/>
        <v>5.02055804210526</v>
      </c>
      <c r="AH85" s="84">
        <f t="shared" si="30"/>
        <v>625315.524702252</v>
      </c>
      <c r="AI85" s="85">
        <f t="shared" si="31"/>
        <v>514948.283915818</v>
      </c>
      <c r="AJ85" s="85">
        <f t="shared" si="32"/>
        <v>678802.95</v>
      </c>
      <c r="AK85" s="1">
        <f t="shared" si="34"/>
        <v>2.53436218453488</v>
      </c>
      <c r="AL85" s="49">
        <f t="shared" si="35"/>
        <v>-0.0787966895219707</v>
      </c>
    </row>
    <row r="86" spans="1:38">
      <c r="A86" s="17">
        <v>82</v>
      </c>
      <c r="B86" s="18" t="s">
        <v>214</v>
      </c>
      <c r="C86" s="23" t="s">
        <v>215</v>
      </c>
      <c r="D86" s="20" t="s">
        <v>86</v>
      </c>
      <c r="E86" s="55">
        <v>0</v>
      </c>
      <c r="F86" s="55">
        <v>0.0774</v>
      </c>
      <c r="G86" s="21">
        <v>13.7168</v>
      </c>
      <c r="H86" s="56">
        <v>0.95</v>
      </c>
      <c r="I86" s="21">
        <f t="shared" si="19"/>
        <v>1.11755823157895</v>
      </c>
      <c r="J86" s="20" t="s">
        <v>213</v>
      </c>
      <c r="K86" s="21">
        <v>45</v>
      </c>
      <c r="L86" s="61">
        <v>80</v>
      </c>
      <c r="M86" s="20">
        <v>2</v>
      </c>
      <c r="N86" s="20">
        <v>52.05</v>
      </c>
      <c r="O86" s="20">
        <v>0.76</v>
      </c>
      <c r="P86" s="20">
        <v>22.5</v>
      </c>
      <c r="Q86" s="21">
        <f t="shared" si="20"/>
        <v>0.25</v>
      </c>
      <c r="R86" s="21">
        <v>1.25</v>
      </c>
      <c r="S86" s="31">
        <v>0.042062</v>
      </c>
      <c r="T86" s="31">
        <v>0.1</v>
      </c>
      <c r="U86" s="20">
        <v>0</v>
      </c>
      <c r="V86" s="21">
        <f t="shared" si="33"/>
        <v>3.28422582847645</v>
      </c>
      <c r="W86" s="20">
        <v>3.14</v>
      </c>
      <c r="X86" s="62">
        <f t="shared" si="21"/>
        <v>0.144225828476455</v>
      </c>
      <c r="Y86" s="75">
        <f t="shared" si="22"/>
        <v>0.0304485760793099</v>
      </c>
      <c r="Z86" s="76">
        <f t="shared" si="23"/>
        <v>0.0761214401982748</v>
      </c>
      <c r="AA86" s="22">
        <f t="shared" si="24"/>
        <v>0.219766666666667</v>
      </c>
      <c r="AB86" s="76">
        <f t="shared" si="25"/>
        <v>0.0669158206969635</v>
      </c>
      <c r="AC86" s="77">
        <f t="shared" si="26"/>
        <v>0.0128072800704793</v>
      </c>
      <c r="AD86" s="77">
        <f t="shared" si="27"/>
        <v>0</v>
      </c>
      <c r="AE86" s="77">
        <f t="shared" si="28"/>
        <v>0.659719431627094</v>
      </c>
      <c r="AF86" s="78">
        <v>126167</v>
      </c>
      <c r="AG86" s="83">
        <f t="shared" si="29"/>
        <v>3.89804934736842</v>
      </c>
      <c r="AH86" s="84">
        <f t="shared" si="30"/>
        <v>491805.192009431</v>
      </c>
      <c r="AI86" s="85">
        <f t="shared" si="31"/>
        <v>414360.920101389</v>
      </c>
      <c r="AJ86" s="85">
        <f t="shared" si="32"/>
        <v>396164.38</v>
      </c>
      <c r="AK86" s="1">
        <f t="shared" si="34"/>
        <v>3.48800557968334</v>
      </c>
      <c r="AL86" s="49">
        <f t="shared" si="35"/>
        <v>0.241416989607777</v>
      </c>
    </row>
    <row r="87" spans="1:38">
      <c r="A87" s="17">
        <v>83</v>
      </c>
      <c r="B87" s="18" t="s">
        <v>216</v>
      </c>
      <c r="C87" s="23" t="s">
        <v>217</v>
      </c>
      <c r="D87" s="20" t="s">
        <v>43</v>
      </c>
      <c r="E87" s="55">
        <v>0</v>
      </c>
      <c r="F87" s="55">
        <v>0.01155</v>
      </c>
      <c r="G87" s="21">
        <v>15.3097</v>
      </c>
      <c r="H87" s="56">
        <v>0.9</v>
      </c>
      <c r="I87" s="21">
        <f t="shared" si="19"/>
        <v>0.196474483333333</v>
      </c>
      <c r="J87" s="20" t="s">
        <v>47</v>
      </c>
      <c r="K87" s="21">
        <v>65</v>
      </c>
      <c r="L87" s="61">
        <v>55.3846153846154</v>
      </c>
      <c r="M87" s="20">
        <v>1</v>
      </c>
      <c r="N87" s="20">
        <v>21.2</v>
      </c>
      <c r="O87" s="20">
        <v>0.76</v>
      </c>
      <c r="P87" s="20">
        <v>22.5</v>
      </c>
      <c r="Q87" s="21">
        <f t="shared" si="20"/>
        <v>0.346153846153846</v>
      </c>
      <c r="R87" s="21">
        <v>0</v>
      </c>
      <c r="S87" s="31">
        <v>0.0168248</v>
      </c>
      <c r="T87" s="31">
        <v>0.04</v>
      </c>
      <c r="U87" s="20">
        <v>0</v>
      </c>
      <c r="V87" s="21">
        <f t="shared" si="33"/>
        <v>0.878923842264957</v>
      </c>
      <c r="W87" s="20">
        <v>2.06</v>
      </c>
      <c r="X87" s="62">
        <f t="shared" si="21"/>
        <v>-1.18107615773504</v>
      </c>
      <c r="Y87" s="75">
        <f t="shared" si="22"/>
        <v>0.0455102001749336</v>
      </c>
      <c r="Z87" s="76">
        <f t="shared" si="23"/>
        <v>0.393838270744618</v>
      </c>
      <c r="AA87" s="22">
        <f t="shared" si="24"/>
        <v>0.123938461538462</v>
      </c>
      <c r="AB87" s="76">
        <f t="shared" si="25"/>
        <v>0.141011604849718</v>
      </c>
      <c r="AC87" s="77">
        <f t="shared" si="26"/>
        <v>0.0191425003975806</v>
      </c>
      <c r="AD87" s="77">
        <f t="shared" si="27"/>
        <v>0</v>
      </c>
      <c r="AE87" s="77">
        <f t="shared" si="28"/>
        <v>0.776460173355834</v>
      </c>
      <c r="AF87" s="78">
        <v>67497</v>
      </c>
      <c r="AG87" s="83">
        <f t="shared" si="29"/>
        <v>1.05667498653846</v>
      </c>
      <c r="AH87" s="84">
        <f t="shared" si="30"/>
        <v>71322.3915663864</v>
      </c>
      <c r="AI87" s="85">
        <f t="shared" si="31"/>
        <v>59324.7225813578</v>
      </c>
      <c r="AJ87" s="85">
        <f t="shared" si="32"/>
        <v>139043.82</v>
      </c>
      <c r="AK87" s="1">
        <f t="shared" si="34"/>
        <v>5.37817923534495</v>
      </c>
      <c r="AL87" s="49">
        <f t="shared" si="35"/>
        <v>-0.487050977408515</v>
      </c>
    </row>
    <row r="88" spans="1:38">
      <c r="A88" s="17">
        <v>84</v>
      </c>
      <c r="B88" s="18" t="s">
        <v>218</v>
      </c>
      <c r="C88" s="23" t="s">
        <v>219</v>
      </c>
      <c r="D88" s="20" t="s">
        <v>43</v>
      </c>
      <c r="E88" s="55">
        <v>0</v>
      </c>
      <c r="F88" s="55">
        <v>0.00363</v>
      </c>
      <c r="G88" s="21">
        <v>15.3097</v>
      </c>
      <c r="H88" s="56">
        <v>0.88</v>
      </c>
      <c r="I88" s="21">
        <f t="shared" si="19"/>
        <v>0.0631525125</v>
      </c>
      <c r="J88" s="20" t="s">
        <v>54</v>
      </c>
      <c r="K88" s="21">
        <v>72</v>
      </c>
      <c r="L88" s="61">
        <v>50</v>
      </c>
      <c r="M88" s="20">
        <v>2</v>
      </c>
      <c r="N88" s="20">
        <v>17.41</v>
      </c>
      <c r="O88" s="20">
        <v>0.76</v>
      </c>
      <c r="P88" s="20">
        <v>22.5</v>
      </c>
      <c r="Q88" s="21">
        <f t="shared" si="20"/>
        <v>0.15625</v>
      </c>
      <c r="R88" s="21">
        <v>0</v>
      </c>
      <c r="S88" s="31">
        <v>0.00141516666666667</v>
      </c>
      <c r="T88" s="31">
        <v>0.00333333333333333</v>
      </c>
      <c r="U88" s="20">
        <v>0</v>
      </c>
      <c r="V88" s="21">
        <f t="shared" si="33"/>
        <v>0.33944575061553</v>
      </c>
      <c r="W88" s="20">
        <v>0.32</v>
      </c>
      <c r="X88" s="62">
        <f t="shared" si="21"/>
        <v>0.0194457506155303</v>
      </c>
      <c r="Y88" s="75">
        <f t="shared" si="22"/>
        <v>0.0098199294800093</v>
      </c>
      <c r="Z88" s="76">
        <f t="shared" si="23"/>
        <v>0.460309194375436</v>
      </c>
      <c r="AA88" s="22">
        <f t="shared" si="24"/>
        <v>0.0459430555555556</v>
      </c>
      <c r="AB88" s="76">
        <f t="shared" si="25"/>
        <v>0.135347269695512</v>
      </c>
      <c r="AC88" s="77">
        <f t="shared" si="26"/>
        <v>0.00416905106073796</v>
      </c>
      <c r="AD88" s="77">
        <f t="shared" si="27"/>
        <v>0</v>
      </c>
      <c r="AE88" s="77">
        <f t="shared" si="28"/>
        <v>0.813954034229378</v>
      </c>
      <c r="AF88" s="78">
        <v>128942</v>
      </c>
      <c r="AG88" s="83">
        <f t="shared" si="29"/>
        <v>0.402766852083333</v>
      </c>
      <c r="AH88" s="84">
        <f t="shared" si="30"/>
        <v>51933.5634413291</v>
      </c>
      <c r="AI88" s="85">
        <f t="shared" si="31"/>
        <v>43768.8139758677</v>
      </c>
      <c r="AJ88" s="85">
        <f t="shared" si="32"/>
        <v>41261.44</v>
      </c>
      <c r="AK88" s="1">
        <f t="shared" si="34"/>
        <v>6.3776853230239</v>
      </c>
      <c r="AL88" s="49">
        <f t="shared" si="35"/>
        <v>0.258646412760416</v>
      </c>
    </row>
    <row r="89" spans="1:38">
      <c r="A89" s="17">
        <v>85</v>
      </c>
      <c r="B89" s="18" t="s">
        <v>220</v>
      </c>
      <c r="C89" s="23" t="s">
        <v>221</v>
      </c>
      <c r="D89" s="20" t="s">
        <v>43</v>
      </c>
      <c r="E89" s="55">
        <v>0</v>
      </c>
      <c r="F89" s="55">
        <v>0.00046</v>
      </c>
      <c r="G89" s="21">
        <v>15.3097</v>
      </c>
      <c r="H89" s="56">
        <v>0.9</v>
      </c>
      <c r="I89" s="21">
        <f t="shared" si="19"/>
        <v>0.00782495777777778</v>
      </c>
      <c r="J89" s="20" t="s">
        <v>54</v>
      </c>
      <c r="K89" s="21">
        <v>65</v>
      </c>
      <c r="L89" s="61">
        <v>55.3846153846154</v>
      </c>
      <c r="M89" s="20">
        <v>2</v>
      </c>
      <c r="N89" s="20">
        <v>17.41</v>
      </c>
      <c r="O89" s="20">
        <v>0.76</v>
      </c>
      <c r="P89" s="20">
        <v>22.5</v>
      </c>
      <c r="Q89" s="21">
        <f t="shared" si="20"/>
        <v>0.173076923076923</v>
      </c>
      <c r="R89" s="21">
        <v>0</v>
      </c>
      <c r="S89" s="31">
        <v>0.000715583333333333</v>
      </c>
      <c r="T89" s="31">
        <v>0.00166666666666667</v>
      </c>
      <c r="U89" s="20">
        <v>0</v>
      </c>
      <c r="V89" s="21">
        <f t="shared" si="33"/>
        <v>0.28825985177208</v>
      </c>
      <c r="W89" s="20">
        <v>0.23</v>
      </c>
      <c r="X89" s="62">
        <f t="shared" si="21"/>
        <v>0.0582598517720796</v>
      </c>
      <c r="Y89" s="75">
        <f t="shared" si="22"/>
        <v>0.00578182031393142</v>
      </c>
      <c r="Z89" s="76">
        <f t="shared" si="23"/>
        <v>0.600419801831338</v>
      </c>
      <c r="AA89" s="22">
        <f t="shared" si="24"/>
        <v>0.0508907692307692</v>
      </c>
      <c r="AB89" s="76">
        <f t="shared" si="25"/>
        <v>0.176544769998034</v>
      </c>
      <c r="AC89" s="77">
        <f t="shared" si="26"/>
        <v>0.00248242455178645</v>
      </c>
      <c r="AD89" s="77">
        <f t="shared" si="27"/>
        <v>0</v>
      </c>
      <c r="AE89" s="77">
        <f t="shared" si="28"/>
        <v>0.972854500098873</v>
      </c>
      <c r="AF89" s="78">
        <v>25150</v>
      </c>
      <c r="AG89" s="83">
        <f t="shared" si="29"/>
        <v>0.350071225128205</v>
      </c>
      <c r="AH89" s="84">
        <f t="shared" si="30"/>
        <v>8804.29131197436</v>
      </c>
      <c r="AI89" s="85">
        <f t="shared" si="31"/>
        <v>7249.7352720678</v>
      </c>
      <c r="AJ89" s="85">
        <f t="shared" si="32"/>
        <v>5784.5</v>
      </c>
      <c r="AK89" s="1">
        <f t="shared" si="34"/>
        <v>44.7377781542001</v>
      </c>
      <c r="AL89" s="49">
        <f t="shared" si="35"/>
        <v>0.522048804905239</v>
      </c>
    </row>
    <row r="90" spans="1:38">
      <c r="A90" s="17">
        <v>86</v>
      </c>
      <c r="B90" s="18" t="s">
        <v>222</v>
      </c>
      <c r="C90" s="23" t="s">
        <v>223</v>
      </c>
      <c r="D90" s="20" t="s">
        <v>43</v>
      </c>
      <c r="E90" s="55">
        <v>0</v>
      </c>
      <c r="F90" s="55">
        <v>0.0022</v>
      </c>
      <c r="G90" s="21">
        <v>15.3097</v>
      </c>
      <c r="H90" s="56">
        <v>0.98</v>
      </c>
      <c r="I90" s="21">
        <f t="shared" si="19"/>
        <v>0.0343687142857143</v>
      </c>
      <c r="J90" s="20" t="s">
        <v>54</v>
      </c>
      <c r="K90" s="21">
        <v>65</v>
      </c>
      <c r="L90" s="61">
        <v>55.3846153846154</v>
      </c>
      <c r="M90" s="20">
        <v>4</v>
      </c>
      <c r="N90" s="20">
        <v>17.41</v>
      </c>
      <c r="O90" s="20">
        <v>0.76</v>
      </c>
      <c r="P90" s="20">
        <v>22.5</v>
      </c>
      <c r="Q90" s="21">
        <f t="shared" si="20"/>
        <v>0.0865384615384615</v>
      </c>
      <c r="R90" s="21">
        <v>0</v>
      </c>
      <c r="S90" s="31">
        <v>0.000715583333333333</v>
      </c>
      <c r="T90" s="31">
        <v>0.00166666666666667</v>
      </c>
      <c r="U90" s="20">
        <v>0</v>
      </c>
      <c r="V90" s="21">
        <f t="shared" si="33"/>
        <v>0.16814892559991</v>
      </c>
      <c r="W90" s="20">
        <v>0.14</v>
      </c>
      <c r="X90" s="62">
        <f t="shared" si="21"/>
        <v>0.0281489255999103</v>
      </c>
      <c r="Y90" s="75">
        <f t="shared" si="22"/>
        <v>0.00991184844458833</v>
      </c>
      <c r="Z90" s="76">
        <f t="shared" si="23"/>
        <v>0.514653669238239</v>
      </c>
      <c r="AA90" s="22">
        <f t="shared" si="24"/>
        <v>0.0254453846153846</v>
      </c>
      <c r="AB90" s="76">
        <f t="shared" si="25"/>
        <v>0.151326477553171</v>
      </c>
      <c r="AC90" s="77">
        <f t="shared" si="26"/>
        <v>0.00425565212968399</v>
      </c>
      <c r="AD90" s="77">
        <f t="shared" si="27"/>
        <v>0</v>
      </c>
      <c r="AE90" s="77">
        <f t="shared" si="28"/>
        <v>0.795605507658786</v>
      </c>
      <c r="AF90" s="78">
        <v>170420</v>
      </c>
      <c r="AG90" s="83">
        <f t="shared" si="29"/>
        <v>0.221911090659341</v>
      </c>
      <c r="AH90" s="84">
        <f t="shared" si="30"/>
        <v>37818.0880701649</v>
      </c>
      <c r="AI90" s="85">
        <f t="shared" si="31"/>
        <v>28655.9399007367</v>
      </c>
      <c r="AJ90" s="85">
        <f t="shared" si="32"/>
        <v>23858.8</v>
      </c>
      <c r="AK90" s="1">
        <f t="shared" si="34"/>
        <v>6.4567760322527</v>
      </c>
      <c r="AL90" s="49">
        <f t="shared" si="35"/>
        <v>0.585079218995293</v>
      </c>
    </row>
    <row r="91" spans="1:38">
      <c r="A91" s="17">
        <v>87</v>
      </c>
      <c r="B91" s="18" t="s">
        <v>224</v>
      </c>
      <c r="C91" s="23" t="s">
        <v>225</v>
      </c>
      <c r="D91" s="20" t="s">
        <v>43</v>
      </c>
      <c r="E91" s="55">
        <f>0.171/1000</f>
        <v>0.000171</v>
      </c>
      <c r="F91" s="55">
        <f>E91*1.03</f>
        <v>0.00017613</v>
      </c>
      <c r="G91" s="21">
        <v>15.3097</v>
      </c>
      <c r="H91" s="56">
        <v>0.98</v>
      </c>
      <c r="I91" s="21">
        <f t="shared" si="19"/>
        <v>0.00275152802142857</v>
      </c>
      <c r="J91" s="20" t="s">
        <v>54</v>
      </c>
      <c r="K91" s="21">
        <v>103</v>
      </c>
      <c r="L91" s="61">
        <v>34.9514563106796</v>
      </c>
      <c r="M91" s="20">
        <v>4</v>
      </c>
      <c r="N91" s="20">
        <v>17.41</v>
      </c>
      <c r="O91" s="20">
        <v>0.76</v>
      </c>
      <c r="P91" s="20">
        <v>22.5</v>
      </c>
      <c r="Q91" s="21">
        <f t="shared" si="20"/>
        <v>0.0546116504854369</v>
      </c>
      <c r="R91" s="21">
        <v>0</v>
      </c>
      <c r="S91" s="31">
        <v>0.00283033333333333</v>
      </c>
      <c r="T91" s="31">
        <v>0.00666666666666667</v>
      </c>
      <c r="U91" s="20">
        <v>0</v>
      </c>
      <c r="V91" s="21">
        <f t="shared" si="33"/>
        <v>0.092657458675351</v>
      </c>
      <c r="W91" s="20">
        <v>0.08</v>
      </c>
      <c r="X91" s="62">
        <f t="shared" si="21"/>
        <v>0.012657458675351</v>
      </c>
      <c r="Y91" s="75">
        <f t="shared" si="22"/>
        <v>0.0719495954451442</v>
      </c>
      <c r="Z91" s="76">
        <f t="shared" si="23"/>
        <v>0.589392923852819</v>
      </c>
      <c r="AA91" s="22">
        <f t="shared" si="24"/>
        <v>0.0160577669902913</v>
      </c>
      <c r="AB91" s="76">
        <f t="shared" si="25"/>
        <v>0.173302475805577</v>
      </c>
      <c r="AC91" s="77">
        <f t="shared" si="26"/>
        <v>0.0305462007462359</v>
      </c>
      <c r="AD91" s="77">
        <f t="shared" si="27"/>
        <v>0</v>
      </c>
      <c r="AE91" s="77">
        <f t="shared" si="28"/>
        <v>0.970304300800335</v>
      </c>
      <c r="AF91" s="78">
        <v>754050</v>
      </c>
      <c r="AG91" s="83">
        <f t="shared" si="29"/>
        <v>0.119628418245735</v>
      </c>
      <c r="AH91" s="84">
        <f t="shared" si="30"/>
        <v>90205.8087781965</v>
      </c>
      <c r="AI91" s="85">
        <f t="shared" si="31"/>
        <v>69868.3567141484</v>
      </c>
      <c r="AJ91" s="85">
        <f t="shared" si="32"/>
        <v>60324</v>
      </c>
      <c r="AK91" s="1">
        <f t="shared" si="34"/>
        <v>43.477085210139</v>
      </c>
      <c r="AL91" s="49">
        <f t="shared" si="35"/>
        <v>0.495355228071687</v>
      </c>
    </row>
    <row r="92" spans="1:36">
      <c r="A92" s="17">
        <v>88</v>
      </c>
      <c r="B92" s="18" t="s">
        <v>226</v>
      </c>
      <c r="C92" s="19" t="s">
        <v>227</v>
      </c>
      <c r="D92" s="20" t="s">
        <v>86</v>
      </c>
      <c r="E92" s="55">
        <v>0.0392</v>
      </c>
      <c r="F92" s="55">
        <v>0.042336</v>
      </c>
      <c r="G92" s="21">
        <v>13.7168</v>
      </c>
      <c r="H92" s="56">
        <v>0.85</v>
      </c>
      <c r="I92" s="21">
        <f t="shared" si="19"/>
        <v>0.683193464470588</v>
      </c>
      <c r="J92" s="20" t="s">
        <v>87</v>
      </c>
      <c r="K92" s="21">
        <v>45</v>
      </c>
      <c r="L92" s="61">
        <v>80</v>
      </c>
      <c r="M92" s="20">
        <v>2</v>
      </c>
      <c r="N92" s="20">
        <v>75.9</v>
      </c>
      <c r="O92" s="20">
        <v>0.76</v>
      </c>
      <c r="P92" s="20">
        <v>22.5</v>
      </c>
      <c r="Q92" s="21">
        <f t="shared" si="20"/>
        <v>0.25</v>
      </c>
      <c r="R92" s="21">
        <v>0</v>
      </c>
      <c r="S92" s="31">
        <v>0.044676</v>
      </c>
      <c r="T92" s="31">
        <v>0.1</v>
      </c>
      <c r="U92" s="20">
        <v>0</v>
      </c>
      <c r="V92" s="21">
        <f t="shared" si="33"/>
        <v>1.78180864183806</v>
      </c>
      <c r="W92" s="20">
        <v>2.03</v>
      </c>
      <c r="X92" s="62">
        <f t="shared" si="21"/>
        <v>-0.248191358161937</v>
      </c>
      <c r="Y92" s="75">
        <f t="shared" si="22"/>
        <v>0.0561227494647477</v>
      </c>
      <c r="Z92" s="76">
        <f t="shared" si="23"/>
        <v>0.140306873661869</v>
      </c>
      <c r="AA92" s="22">
        <f t="shared" si="24"/>
        <v>0.320466666666667</v>
      </c>
      <c r="AB92" s="76">
        <f t="shared" si="25"/>
        <v>0.179854704451362</v>
      </c>
      <c r="AC92" s="77">
        <f t="shared" si="26"/>
        <v>0.0250733995508707</v>
      </c>
      <c r="AD92" s="77">
        <f t="shared" si="27"/>
        <v>0</v>
      </c>
      <c r="AE92" s="77">
        <f t="shared" si="28"/>
        <v>0.616573043575641</v>
      </c>
      <c r="AF92" s="78">
        <v>0</v>
      </c>
      <c r="AG92" s="83">
        <f t="shared" si="29"/>
        <v>2.02516619670588</v>
      </c>
      <c r="AH92" s="84">
        <f t="shared" si="30"/>
        <v>0</v>
      </c>
      <c r="AI92" s="85">
        <f t="shared" si="31"/>
        <v>0</v>
      </c>
      <c r="AJ92" s="85">
        <f t="shared" si="32"/>
        <v>0</v>
      </c>
    </row>
    <row r="93" ht="28" spans="1:36">
      <c r="A93" s="17">
        <v>89</v>
      </c>
      <c r="B93" s="18" t="s">
        <v>228</v>
      </c>
      <c r="C93" s="19" t="s">
        <v>229</v>
      </c>
      <c r="D93" s="20" t="s">
        <v>86</v>
      </c>
      <c r="E93" s="55">
        <v>0.044</v>
      </c>
      <c r="F93" s="55">
        <v>0.0462</v>
      </c>
      <c r="G93" s="21">
        <v>13.7168</v>
      </c>
      <c r="H93" s="56">
        <v>0.98</v>
      </c>
      <c r="I93" s="21">
        <f t="shared" si="19"/>
        <v>0.646649142857143</v>
      </c>
      <c r="J93" s="20" t="s">
        <v>87</v>
      </c>
      <c r="K93" s="21">
        <v>42.3529411764705</v>
      </c>
      <c r="L93" s="61">
        <v>85.0000000000002</v>
      </c>
      <c r="M93" s="20">
        <v>2</v>
      </c>
      <c r="N93" s="20">
        <v>75.9</v>
      </c>
      <c r="O93" s="20">
        <v>0.76</v>
      </c>
      <c r="P93" s="20">
        <v>22.5</v>
      </c>
      <c r="Q93" s="21">
        <f t="shared" si="20"/>
        <v>0.265625000000001</v>
      </c>
      <c r="R93" s="21">
        <v>0</v>
      </c>
      <c r="S93" s="31">
        <v>0.044676</v>
      </c>
      <c r="T93" s="31">
        <v>0.1</v>
      </c>
      <c r="U93" s="20">
        <v>0</v>
      </c>
      <c r="V93" s="21">
        <f t="shared" si="33"/>
        <v>1.56362974854228</v>
      </c>
      <c r="W93" s="20">
        <v>1.74</v>
      </c>
      <c r="X93" s="62">
        <f t="shared" si="21"/>
        <v>-0.176370251457724</v>
      </c>
      <c r="Y93" s="75">
        <f t="shared" si="22"/>
        <v>0.0639537589338057</v>
      </c>
      <c r="Z93" s="76">
        <f t="shared" si="23"/>
        <v>0.169877172167922</v>
      </c>
      <c r="AA93" s="22">
        <f t="shared" si="24"/>
        <v>0.340495833333334</v>
      </c>
      <c r="AB93" s="76">
        <f t="shared" si="25"/>
        <v>0.217759884429653</v>
      </c>
      <c r="AC93" s="77">
        <f t="shared" si="26"/>
        <v>0.028571981341267</v>
      </c>
      <c r="AD93" s="77">
        <f t="shared" si="27"/>
        <v>0</v>
      </c>
      <c r="AE93" s="77">
        <f t="shared" si="28"/>
        <v>0.586443566029622</v>
      </c>
      <c r="AF93" s="78"/>
      <c r="AG93" s="83">
        <f t="shared" si="29"/>
        <v>2.02383096428572</v>
      </c>
      <c r="AH93" s="84">
        <f t="shared" si="30"/>
        <v>0</v>
      </c>
      <c r="AI93" s="85">
        <f t="shared" si="31"/>
        <v>0</v>
      </c>
      <c r="AJ93" s="85">
        <f t="shared" si="32"/>
        <v>0</v>
      </c>
    </row>
    <row r="94" spans="1:36">
      <c r="A94" s="17">
        <v>90</v>
      </c>
      <c r="B94" s="18" t="s">
        <v>230</v>
      </c>
      <c r="C94" s="19" t="s">
        <v>231</v>
      </c>
      <c r="D94" s="20" t="s">
        <v>43</v>
      </c>
      <c r="E94" s="55">
        <v>0.012</v>
      </c>
      <c r="F94" s="55">
        <v>0.0126</v>
      </c>
      <c r="G94" s="21">
        <v>15.3097</v>
      </c>
      <c r="H94" s="56">
        <v>0.99</v>
      </c>
      <c r="I94" s="21">
        <f t="shared" si="19"/>
        <v>0.194850727272727</v>
      </c>
      <c r="J94" s="20" t="s">
        <v>120</v>
      </c>
      <c r="K94" s="21">
        <v>36</v>
      </c>
      <c r="L94" s="61">
        <v>100</v>
      </c>
      <c r="M94" s="20">
        <v>4</v>
      </c>
      <c r="N94" s="20">
        <v>39.75</v>
      </c>
      <c r="O94" s="20">
        <v>0.76</v>
      </c>
      <c r="P94" s="20">
        <v>22.5</v>
      </c>
      <c r="Q94" s="21">
        <f t="shared" si="20"/>
        <v>0.15625</v>
      </c>
      <c r="R94" s="21">
        <v>0</v>
      </c>
      <c r="S94" s="31">
        <v>0.0286233333333333</v>
      </c>
      <c r="T94" s="31">
        <v>0.0666666666666667</v>
      </c>
      <c r="U94" s="20">
        <v>0</v>
      </c>
      <c r="V94" s="21">
        <f t="shared" si="33"/>
        <v>0.606558870982553</v>
      </c>
      <c r="W94" s="20">
        <v>0.68</v>
      </c>
      <c r="X94" s="62">
        <f t="shared" si="21"/>
        <v>-0.0734411290174473</v>
      </c>
      <c r="Y94" s="75">
        <f t="shared" si="22"/>
        <v>0.10990963920563</v>
      </c>
      <c r="Z94" s="76">
        <f t="shared" si="23"/>
        <v>0.257600716888195</v>
      </c>
      <c r="AA94" s="22">
        <f t="shared" si="24"/>
        <v>0.104895833333333</v>
      </c>
      <c r="AB94" s="76">
        <f t="shared" si="25"/>
        <v>0.172935947937608</v>
      </c>
      <c r="AC94" s="77">
        <f t="shared" si="26"/>
        <v>0.0471897035929372</v>
      </c>
      <c r="AD94" s="77">
        <f t="shared" si="27"/>
        <v>0</v>
      </c>
      <c r="AE94" s="77">
        <f t="shared" si="28"/>
        <v>0.678760402997499</v>
      </c>
      <c r="AF94" s="78"/>
      <c r="AG94" s="83">
        <f t="shared" si="29"/>
        <v>0.779284840909091</v>
      </c>
      <c r="AH94" s="84">
        <f t="shared" si="30"/>
        <v>0</v>
      </c>
      <c r="AI94" s="85">
        <f t="shared" si="31"/>
        <v>0</v>
      </c>
      <c r="AJ94" s="85">
        <f t="shared" si="32"/>
        <v>0</v>
      </c>
    </row>
    <row r="95" spans="1:36">
      <c r="A95" s="17">
        <v>91</v>
      </c>
      <c r="B95" s="18" t="s">
        <v>232</v>
      </c>
      <c r="C95" s="19" t="s">
        <v>233</v>
      </c>
      <c r="D95" s="20" t="s">
        <v>43</v>
      </c>
      <c r="E95" s="55">
        <v>0.027</v>
      </c>
      <c r="F95" s="55">
        <v>0.02835</v>
      </c>
      <c r="G95" s="21">
        <v>15.3097</v>
      </c>
      <c r="H95" s="56">
        <v>0.98</v>
      </c>
      <c r="I95" s="21">
        <f t="shared" si="19"/>
        <v>0.44288775</v>
      </c>
      <c r="J95" s="20" t="s">
        <v>120</v>
      </c>
      <c r="K95" s="21">
        <v>36</v>
      </c>
      <c r="L95" s="61">
        <v>100</v>
      </c>
      <c r="M95" s="20">
        <v>4</v>
      </c>
      <c r="N95" s="20">
        <v>39.75</v>
      </c>
      <c r="O95" s="20">
        <v>0.76</v>
      </c>
      <c r="P95" s="20">
        <v>22.5</v>
      </c>
      <c r="Q95" s="21">
        <f t="shared" si="20"/>
        <v>0.15625</v>
      </c>
      <c r="R95" s="21">
        <v>0.45</v>
      </c>
      <c r="S95" s="31">
        <v>0.0286233333333333</v>
      </c>
      <c r="T95" s="31">
        <v>0.0666666666666667</v>
      </c>
      <c r="U95" s="20">
        <v>0</v>
      </c>
      <c r="V95" s="21">
        <f t="shared" si="33"/>
        <v>1.35621579336735</v>
      </c>
      <c r="W95" s="20">
        <v>2.47</v>
      </c>
      <c r="X95" s="62">
        <f t="shared" si="21"/>
        <v>-1.11378420663265</v>
      </c>
      <c r="Y95" s="75">
        <f t="shared" si="22"/>
        <v>0.0491563857261536</v>
      </c>
      <c r="Z95" s="76">
        <f t="shared" si="23"/>
        <v>0.115210279045672</v>
      </c>
      <c r="AA95" s="22">
        <f t="shared" si="24"/>
        <v>0.104895833333333</v>
      </c>
      <c r="AB95" s="76">
        <f t="shared" si="25"/>
        <v>0.0773445006659945</v>
      </c>
      <c r="AC95" s="77">
        <f t="shared" si="26"/>
        <v>0.021105294211524</v>
      </c>
      <c r="AD95" s="77">
        <f t="shared" si="27"/>
        <v>0</v>
      </c>
      <c r="AE95" s="77">
        <f t="shared" si="28"/>
        <v>0.673438583914176</v>
      </c>
      <c r="AF95" s="78"/>
      <c r="AG95" s="83">
        <f t="shared" si="29"/>
        <v>1.646340375</v>
      </c>
      <c r="AH95" s="84">
        <f t="shared" si="30"/>
        <v>0</v>
      </c>
      <c r="AI95" s="85">
        <f t="shared" si="31"/>
        <v>0</v>
      </c>
      <c r="AJ95" s="85">
        <f t="shared" si="32"/>
        <v>0</v>
      </c>
    </row>
    <row r="96" spans="1:38">
      <c r="A96" s="17">
        <v>92</v>
      </c>
      <c r="B96" s="18" t="s">
        <v>234</v>
      </c>
      <c r="C96" s="23" t="s">
        <v>235</v>
      </c>
      <c r="D96" s="20" t="s">
        <v>86</v>
      </c>
      <c r="E96" s="55">
        <v>0</v>
      </c>
      <c r="F96" s="55">
        <v>0.04303</v>
      </c>
      <c r="G96" s="21">
        <v>13.7168</v>
      </c>
      <c r="H96" s="56">
        <v>0.85</v>
      </c>
      <c r="I96" s="21">
        <f t="shared" si="19"/>
        <v>0.694392828235294</v>
      </c>
      <c r="J96" s="20" t="s">
        <v>87</v>
      </c>
      <c r="K96" s="21">
        <v>72</v>
      </c>
      <c r="L96" s="61">
        <v>50</v>
      </c>
      <c r="M96" s="20">
        <v>2</v>
      </c>
      <c r="N96" s="20">
        <v>75.9</v>
      </c>
      <c r="O96" s="20">
        <v>0.76</v>
      </c>
      <c r="P96" s="20">
        <v>22.5</v>
      </c>
      <c r="Q96" s="21">
        <f t="shared" si="20"/>
        <v>0.15625</v>
      </c>
      <c r="R96" s="21">
        <v>0</v>
      </c>
      <c r="S96" s="31">
        <v>0.000871333333333333</v>
      </c>
      <c r="T96" s="31">
        <v>0.133333333333333</v>
      </c>
      <c r="U96" s="20">
        <v>0</v>
      </c>
      <c r="V96" s="21">
        <f t="shared" si="33"/>
        <v>1.50660147765629</v>
      </c>
      <c r="W96" s="20">
        <v>2.02</v>
      </c>
      <c r="X96" s="62">
        <f t="shared" si="21"/>
        <v>-0.513398522343714</v>
      </c>
      <c r="Y96" s="75">
        <f t="shared" si="22"/>
        <v>0.0884994043287083</v>
      </c>
      <c r="Z96" s="76">
        <f t="shared" si="23"/>
        <v>0.103710239447705</v>
      </c>
      <c r="AA96" s="22">
        <f t="shared" si="24"/>
        <v>0.200291666666667</v>
      </c>
      <c r="AB96" s="76">
        <f t="shared" si="25"/>
        <v>0.132942698940032</v>
      </c>
      <c r="AC96" s="77">
        <f t="shared" si="26"/>
        <v>0.00057834360728811</v>
      </c>
      <c r="AD96" s="77">
        <f t="shared" si="27"/>
        <v>0</v>
      </c>
      <c r="AE96" s="77">
        <f t="shared" si="28"/>
        <v>0.539099862482869</v>
      </c>
      <c r="AF96" s="78">
        <v>42378</v>
      </c>
      <c r="AG96" s="83">
        <f t="shared" si="29"/>
        <v>1.71060640901961</v>
      </c>
      <c r="AH96" s="84">
        <f t="shared" si="30"/>
        <v>72492.078401433</v>
      </c>
      <c r="AI96" s="85">
        <f t="shared" si="31"/>
        <v>63846.7574201181</v>
      </c>
      <c r="AJ96" s="85">
        <f t="shared" si="32"/>
        <v>85603.56</v>
      </c>
      <c r="AK96" s="1">
        <f t="shared" si="34"/>
        <v>2.46345633114744</v>
      </c>
      <c r="AL96" s="49">
        <f t="shared" si="35"/>
        <v>-0.153165144049698</v>
      </c>
    </row>
    <row r="97" spans="1:38">
      <c r="A97" s="17">
        <v>93</v>
      </c>
      <c r="B97" s="18" t="s">
        <v>236</v>
      </c>
      <c r="C97" s="23" t="s">
        <v>237</v>
      </c>
      <c r="D97" s="20" t="s">
        <v>86</v>
      </c>
      <c r="E97" s="55">
        <v>0</v>
      </c>
      <c r="F97" s="55">
        <v>0.00985</v>
      </c>
      <c r="G97" s="21">
        <v>13.7168</v>
      </c>
      <c r="H97" s="56">
        <v>0.95</v>
      </c>
      <c r="I97" s="21">
        <f t="shared" si="19"/>
        <v>0.142221557894737</v>
      </c>
      <c r="J97" s="20" t="s">
        <v>65</v>
      </c>
      <c r="K97" s="21">
        <v>65</v>
      </c>
      <c r="L97" s="61">
        <v>55.3846153846154</v>
      </c>
      <c r="M97" s="20">
        <v>2</v>
      </c>
      <c r="N97" s="20">
        <v>48.5</v>
      </c>
      <c r="O97" s="20">
        <v>0.76</v>
      </c>
      <c r="P97" s="20">
        <v>22.5</v>
      </c>
      <c r="Q97" s="21">
        <f t="shared" si="20"/>
        <v>0.173076923076923</v>
      </c>
      <c r="R97" s="21">
        <v>0</v>
      </c>
      <c r="S97" s="31">
        <v>0.0216845</v>
      </c>
      <c r="T97" s="31">
        <v>0.05</v>
      </c>
      <c r="U97" s="20">
        <v>0</v>
      </c>
      <c r="V97" s="21">
        <f t="shared" si="33"/>
        <v>0.605732036876199</v>
      </c>
      <c r="W97" s="20">
        <v>1.09</v>
      </c>
      <c r="X97" s="62">
        <f t="shared" si="21"/>
        <v>-0.484267963123801</v>
      </c>
      <c r="Y97" s="75">
        <f t="shared" si="22"/>
        <v>0.0825447507413565</v>
      </c>
      <c r="Z97" s="76">
        <f t="shared" si="23"/>
        <v>0.285731829489311</v>
      </c>
      <c r="AA97" s="22">
        <f t="shared" si="24"/>
        <v>0.141769230769231</v>
      </c>
      <c r="AB97" s="76">
        <f t="shared" si="25"/>
        <v>0.234046116332801</v>
      </c>
      <c r="AC97" s="77">
        <f t="shared" si="26"/>
        <v>0.0357988329490189</v>
      </c>
      <c r="AD97" s="77">
        <f t="shared" si="27"/>
        <v>0</v>
      </c>
      <c r="AE97" s="77">
        <f t="shared" si="28"/>
        <v>0.765207139070631</v>
      </c>
      <c r="AF97" s="78">
        <v>48938</v>
      </c>
      <c r="AG97" s="83">
        <f t="shared" si="29"/>
        <v>0.757286067611336</v>
      </c>
      <c r="AH97" s="84">
        <f t="shared" si="30"/>
        <v>37060.0655767636</v>
      </c>
      <c r="AI97" s="85">
        <f t="shared" si="31"/>
        <v>29643.3144206474</v>
      </c>
      <c r="AJ97" s="85">
        <f t="shared" si="32"/>
        <v>53342.42</v>
      </c>
      <c r="AK97" s="1">
        <f t="shared" si="34"/>
        <v>5.32469253481128</v>
      </c>
      <c r="AL97" s="49">
        <f t="shared" si="35"/>
        <v>-0.305242139806114</v>
      </c>
    </row>
    <row r="98" spans="1:38">
      <c r="A98" s="17">
        <v>94</v>
      </c>
      <c r="B98" s="18" t="s">
        <v>238</v>
      </c>
      <c r="C98" s="23" t="s">
        <v>239</v>
      </c>
      <c r="D98" s="20" t="s">
        <v>86</v>
      </c>
      <c r="E98" s="55">
        <v>0</v>
      </c>
      <c r="F98" s="55">
        <v>0.03305</v>
      </c>
      <c r="G98" s="21">
        <v>13.7168</v>
      </c>
      <c r="H98" s="56">
        <v>0.95</v>
      </c>
      <c r="I98" s="21">
        <f t="shared" si="19"/>
        <v>0.477200252631579</v>
      </c>
      <c r="J98" s="20" t="s">
        <v>65</v>
      </c>
      <c r="K98" s="21">
        <v>42.3529411764705</v>
      </c>
      <c r="L98" s="61">
        <v>85.0000000000002</v>
      </c>
      <c r="M98" s="20">
        <v>2</v>
      </c>
      <c r="N98" s="20">
        <v>48.5</v>
      </c>
      <c r="O98" s="20">
        <v>0.76</v>
      </c>
      <c r="P98" s="20">
        <v>22.5</v>
      </c>
      <c r="Q98" s="21">
        <f t="shared" si="20"/>
        <v>0.265625000000001</v>
      </c>
      <c r="R98" s="21">
        <v>0</v>
      </c>
      <c r="S98" s="31">
        <v>0.022338</v>
      </c>
      <c r="T98" s="31">
        <v>0.05</v>
      </c>
      <c r="U98" s="20">
        <v>0</v>
      </c>
      <c r="V98" s="21">
        <f t="shared" si="33"/>
        <v>1.19449149693444</v>
      </c>
      <c r="W98" s="20">
        <v>1.74</v>
      </c>
      <c r="X98" s="62">
        <f t="shared" si="21"/>
        <v>-0.545508503065557</v>
      </c>
      <c r="Y98" s="75">
        <f t="shared" si="22"/>
        <v>0.0418588161810449</v>
      </c>
      <c r="Z98" s="76">
        <f t="shared" si="23"/>
        <v>0.222374960961802</v>
      </c>
      <c r="AA98" s="22">
        <f t="shared" si="24"/>
        <v>0.217576388888889</v>
      </c>
      <c r="AB98" s="76">
        <f t="shared" si="25"/>
        <v>0.182149801356711</v>
      </c>
      <c r="AC98" s="77">
        <f t="shared" si="26"/>
        <v>0.0187008447170436</v>
      </c>
      <c r="AD98" s="77">
        <f t="shared" si="27"/>
        <v>0</v>
      </c>
      <c r="AE98" s="77">
        <f t="shared" si="28"/>
        <v>0.600499246870931</v>
      </c>
      <c r="AF98" s="78">
        <v>58483</v>
      </c>
      <c r="AG98" s="83">
        <f t="shared" si="29"/>
        <v>1.5129404622807</v>
      </c>
      <c r="AH98" s="84">
        <f t="shared" si="30"/>
        <v>88481.2970555622</v>
      </c>
      <c r="AI98" s="85">
        <f t="shared" si="31"/>
        <v>69857.446215217</v>
      </c>
      <c r="AJ98" s="85">
        <f t="shared" si="32"/>
        <v>101760.42</v>
      </c>
      <c r="AK98" s="1">
        <f t="shared" si="34"/>
        <v>3.17045193068823</v>
      </c>
      <c r="AL98" s="49">
        <f t="shared" si="35"/>
        <v>-0.130493987195</v>
      </c>
    </row>
    <row r="99" spans="1:38">
      <c r="A99" s="17">
        <v>95</v>
      </c>
      <c r="B99" s="18" t="s">
        <v>240</v>
      </c>
      <c r="C99" s="23" t="s">
        <v>241</v>
      </c>
      <c r="D99" s="20" t="s">
        <v>43</v>
      </c>
      <c r="E99" s="55">
        <v>0</v>
      </c>
      <c r="F99" s="55">
        <v>0.00763</v>
      </c>
      <c r="G99" s="21">
        <v>15.3097</v>
      </c>
      <c r="H99" s="56">
        <v>0.85</v>
      </c>
      <c r="I99" s="21">
        <f t="shared" si="19"/>
        <v>0.137427071764706</v>
      </c>
      <c r="J99" s="20" t="s">
        <v>44</v>
      </c>
      <c r="K99" s="21">
        <v>60</v>
      </c>
      <c r="L99" s="61">
        <v>60</v>
      </c>
      <c r="M99" s="20">
        <v>4</v>
      </c>
      <c r="N99" s="20">
        <v>27.15</v>
      </c>
      <c r="O99" s="20">
        <v>0.76</v>
      </c>
      <c r="P99" s="20">
        <v>22.5</v>
      </c>
      <c r="Q99" s="21">
        <f t="shared" si="20"/>
        <v>0.09375</v>
      </c>
      <c r="R99" s="21">
        <v>0</v>
      </c>
      <c r="S99" s="31">
        <v>0.0143116666666667</v>
      </c>
      <c r="T99" s="31">
        <v>0.0333333333333333</v>
      </c>
      <c r="U99" s="20">
        <v>0</v>
      </c>
      <c r="V99" s="21">
        <f t="shared" si="33"/>
        <v>0.405671676069204</v>
      </c>
      <c r="W99" s="20">
        <v>0.81</v>
      </c>
      <c r="X99" s="62">
        <f t="shared" si="21"/>
        <v>-0.404328323930796</v>
      </c>
      <c r="Y99" s="75">
        <f t="shared" si="22"/>
        <v>0.0821682540332121</v>
      </c>
      <c r="Z99" s="76">
        <f t="shared" si="23"/>
        <v>0.231098214468409</v>
      </c>
      <c r="AA99" s="22">
        <f t="shared" si="24"/>
        <v>0.0429875</v>
      </c>
      <c r="AB99" s="76">
        <f t="shared" si="25"/>
        <v>0.105966234607581</v>
      </c>
      <c r="AC99" s="77">
        <f t="shared" si="26"/>
        <v>0.0352789398691597</v>
      </c>
      <c r="AD99" s="77">
        <f t="shared" si="27"/>
        <v>0</v>
      </c>
      <c r="AE99" s="77">
        <f t="shared" si="28"/>
        <v>0.661235723685915</v>
      </c>
      <c r="AF99" s="78">
        <v>56835</v>
      </c>
      <c r="AG99" s="83">
        <f t="shared" si="29"/>
        <v>0.458891857647059</v>
      </c>
      <c r="AH99" s="84">
        <f t="shared" si="30"/>
        <v>26081.1187293706</v>
      </c>
      <c r="AI99" s="85">
        <f t="shared" si="31"/>
        <v>23056.3497093932</v>
      </c>
      <c r="AJ99" s="85">
        <f t="shared" si="32"/>
        <v>46036.35</v>
      </c>
      <c r="AK99" s="1">
        <f t="shared" si="34"/>
        <v>3.33916637933423</v>
      </c>
      <c r="AL99" s="49">
        <f t="shared" si="35"/>
        <v>-0.433466842411038</v>
      </c>
    </row>
    <row r="100" spans="1:38">
      <c r="A100" s="17">
        <v>96</v>
      </c>
      <c r="B100" s="18" t="s">
        <v>242</v>
      </c>
      <c r="C100" s="23" t="s">
        <v>243</v>
      </c>
      <c r="D100" s="20" t="s">
        <v>43</v>
      </c>
      <c r="E100" s="55">
        <v>0</v>
      </c>
      <c r="F100" s="55">
        <v>0.00348</v>
      </c>
      <c r="G100" s="21">
        <v>15.3097</v>
      </c>
      <c r="H100" s="56">
        <v>0.95</v>
      </c>
      <c r="I100" s="21">
        <f t="shared" si="19"/>
        <v>0.0560818484210526</v>
      </c>
      <c r="J100" s="20" t="s">
        <v>44</v>
      </c>
      <c r="K100" s="21">
        <v>60</v>
      </c>
      <c r="L100" s="61">
        <v>60</v>
      </c>
      <c r="M100" s="20">
        <v>4</v>
      </c>
      <c r="N100" s="20">
        <v>27.15</v>
      </c>
      <c r="O100" s="20">
        <v>0.76</v>
      </c>
      <c r="P100" s="20">
        <v>22.5</v>
      </c>
      <c r="Q100" s="21">
        <f t="shared" si="20"/>
        <v>0.09375</v>
      </c>
      <c r="R100" s="21">
        <v>0</v>
      </c>
      <c r="S100" s="31">
        <v>0.00477055555555556</v>
      </c>
      <c r="T100" s="31">
        <v>0.0111111111111111</v>
      </c>
      <c r="U100" s="20">
        <v>0</v>
      </c>
      <c r="V100" s="21">
        <f t="shared" si="33"/>
        <v>0.241175852716528</v>
      </c>
      <c r="W100" s="20">
        <v>0.68</v>
      </c>
      <c r="X100" s="62">
        <f t="shared" si="21"/>
        <v>-0.438824147283472</v>
      </c>
      <c r="Y100" s="75">
        <f t="shared" si="22"/>
        <v>0.0460705787331488</v>
      </c>
      <c r="Z100" s="76">
        <f t="shared" si="23"/>
        <v>0.388720508060943</v>
      </c>
      <c r="AA100" s="22">
        <f t="shared" si="24"/>
        <v>0.0429875</v>
      </c>
      <c r="AB100" s="76">
        <f t="shared" si="25"/>
        <v>0.178241310296211</v>
      </c>
      <c r="AC100" s="77">
        <f t="shared" si="26"/>
        <v>0.0197804029790775</v>
      </c>
      <c r="AD100" s="77">
        <f t="shared" si="27"/>
        <v>0</v>
      </c>
      <c r="AE100" s="77">
        <f t="shared" si="28"/>
        <v>0.767464910813564</v>
      </c>
      <c r="AF100" s="78">
        <v>48784</v>
      </c>
      <c r="AG100" s="83">
        <f t="shared" si="29"/>
        <v>0.305110689298246</v>
      </c>
      <c r="AH100" s="84">
        <f t="shared" si="30"/>
        <v>14884.5198667256</v>
      </c>
      <c r="AI100" s="85">
        <f t="shared" si="31"/>
        <v>11765.5227989231</v>
      </c>
      <c r="AJ100" s="85">
        <f t="shared" si="32"/>
        <v>33173.12</v>
      </c>
      <c r="AK100" s="1">
        <f t="shared" si="34"/>
        <v>5.44045351372032</v>
      </c>
      <c r="AL100" s="49">
        <f t="shared" si="35"/>
        <v>-0.551307809855521</v>
      </c>
    </row>
    <row r="101" spans="1:38">
      <c r="A101" s="17">
        <v>97</v>
      </c>
      <c r="B101" s="18" t="s">
        <v>244</v>
      </c>
      <c r="C101" s="23" t="s">
        <v>245</v>
      </c>
      <c r="D101" s="20" t="s">
        <v>43</v>
      </c>
      <c r="E101" s="55">
        <v>0</v>
      </c>
      <c r="F101" s="55">
        <v>0.01383</v>
      </c>
      <c r="G101" s="21">
        <v>15.3097</v>
      </c>
      <c r="H101" s="56">
        <v>0.95</v>
      </c>
      <c r="I101" s="21">
        <f t="shared" si="19"/>
        <v>0.222877001052632</v>
      </c>
      <c r="J101" s="20" t="s">
        <v>44</v>
      </c>
      <c r="K101" s="21">
        <v>60</v>
      </c>
      <c r="L101" s="61">
        <v>60</v>
      </c>
      <c r="M101" s="20">
        <v>4</v>
      </c>
      <c r="N101" s="20">
        <v>27.15</v>
      </c>
      <c r="O101" s="20">
        <v>0.76</v>
      </c>
      <c r="P101" s="20">
        <v>22.5</v>
      </c>
      <c r="Q101" s="21">
        <f t="shared" si="20"/>
        <v>0.09375</v>
      </c>
      <c r="R101" s="21">
        <v>0.45</v>
      </c>
      <c r="S101" s="31">
        <v>0.0143116666666667</v>
      </c>
      <c r="T101" s="31">
        <v>0.0333333333333333</v>
      </c>
      <c r="U101" s="20">
        <v>0</v>
      </c>
      <c r="V101" s="21">
        <f t="shared" si="33"/>
        <v>0.931326153861496</v>
      </c>
      <c r="W101" s="20">
        <v>1.81</v>
      </c>
      <c r="X101" s="62">
        <f t="shared" si="21"/>
        <v>-0.878673846138504</v>
      </c>
      <c r="Y101" s="75">
        <f t="shared" si="22"/>
        <v>0.0357912565808718</v>
      </c>
      <c r="Z101" s="76">
        <f t="shared" si="23"/>
        <v>0.100662909133702</v>
      </c>
      <c r="AA101" s="22">
        <f t="shared" si="24"/>
        <v>0.0429875</v>
      </c>
      <c r="AB101" s="76">
        <f t="shared" si="25"/>
        <v>0.0461572992681069</v>
      </c>
      <c r="AC101" s="77">
        <f t="shared" si="26"/>
        <v>0.0153669760129974</v>
      </c>
      <c r="AD101" s="77">
        <f t="shared" si="27"/>
        <v>0</v>
      </c>
      <c r="AE101" s="77">
        <f t="shared" si="28"/>
        <v>0.760688562080501</v>
      </c>
      <c r="AF101" s="78">
        <v>47668</v>
      </c>
      <c r="AG101" s="83">
        <f t="shared" si="29"/>
        <v>1.08206675157895</v>
      </c>
      <c r="AH101" s="84">
        <f t="shared" si="30"/>
        <v>51579.9579142654</v>
      </c>
      <c r="AI101" s="85">
        <f t="shared" si="31"/>
        <v>44394.4551022698</v>
      </c>
      <c r="AJ101" s="85">
        <f t="shared" si="32"/>
        <v>86279.08</v>
      </c>
      <c r="AK101" s="1">
        <f t="shared" si="34"/>
        <v>4.85499511599863</v>
      </c>
      <c r="AL101" s="49">
        <f t="shared" si="35"/>
        <v>-0.402173065425995</v>
      </c>
    </row>
    <row r="102" spans="1:38">
      <c r="A102" s="17">
        <v>98</v>
      </c>
      <c r="B102" s="18" t="s">
        <v>246</v>
      </c>
      <c r="C102" s="23" t="s">
        <v>247</v>
      </c>
      <c r="D102" s="20" t="s">
        <v>43</v>
      </c>
      <c r="E102" s="55">
        <v>0</v>
      </c>
      <c r="F102" s="55">
        <v>0.00208</v>
      </c>
      <c r="G102" s="21">
        <v>15.3097</v>
      </c>
      <c r="H102" s="56">
        <v>0.95</v>
      </c>
      <c r="I102" s="21">
        <f t="shared" si="19"/>
        <v>0.0335201852631579</v>
      </c>
      <c r="J102" s="20" t="s">
        <v>44</v>
      </c>
      <c r="K102" s="21">
        <v>60</v>
      </c>
      <c r="L102" s="61">
        <v>60</v>
      </c>
      <c r="M102" s="20">
        <v>4</v>
      </c>
      <c r="N102" s="20">
        <v>27.15</v>
      </c>
      <c r="O102" s="20">
        <v>0.76</v>
      </c>
      <c r="P102" s="20">
        <v>22.5</v>
      </c>
      <c r="Q102" s="21">
        <f t="shared" si="20"/>
        <v>0.09375</v>
      </c>
      <c r="R102" s="21">
        <v>0</v>
      </c>
      <c r="S102" s="31">
        <v>0.00477055555555556</v>
      </c>
      <c r="T102" s="31">
        <v>0.0111111111111111</v>
      </c>
      <c r="U102" s="20">
        <v>0</v>
      </c>
      <c r="V102" s="21">
        <f t="shared" si="33"/>
        <v>0.214814330500462</v>
      </c>
      <c r="W102" s="20">
        <v>0.2</v>
      </c>
      <c r="X102" s="62">
        <f t="shared" si="21"/>
        <v>0.0148143305004617</v>
      </c>
      <c r="Y102" s="75">
        <f t="shared" si="22"/>
        <v>0.0517242545468223</v>
      </c>
      <c r="Z102" s="76">
        <f t="shared" si="23"/>
        <v>0.436423397738814</v>
      </c>
      <c r="AA102" s="22">
        <f t="shared" si="24"/>
        <v>0.0429875</v>
      </c>
      <c r="AB102" s="76">
        <f t="shared" si="25"/>
        <v>0.200114675309837</v>
      </c>
      <c r="AC102" s="77">
        <f t="shared" si="26"/>
        <v>0.0222078086896782</v>
      </c>
      <c r="AD102" s="77">
        <f t="shared" si="27"/>
        <v>0</v>
      </c>
      <c r="AE102" s="77">
        <f t="shared" si="28"/>
        <v>0.84395740644926</v>
      </c>
      <c r="AF102" s="78">
        <v>57194</v>
      </c>
      <c r="AG102" s="83">
        <f t="shared" si="29"/>
        <v>0.271268194561403</v>
      </c>
      <c r="AH102" s="84">
        <f t="shared" si="30"/>
        <v>15514.9131197449</v>
      </c>
      <c r="AI102" s="85">
        <f t="shared" si="31"/>
        <v>12286.0908186434</v>
      </c>
      <c r="AJ102" s="85">
        <f t="shared" si="32"/>
        <v>11438.8</v>
      </c>
      <c r="AK102" s="1">
        <f t="shared" ref="AK102:AK133" si="36">AG102/I102</f>
        <v>8.09268184026281</v>
      </c>
      <c r="AL102" s="49">
        <f t="shared" ref="AL102:AL133" si="37">(AG102-W102)/W102</f>
        <v>0.356340972807015</v>
      </c>
    </row>
    <row r="103" ht="28" spans="1:38">
      <c r="A103" s="17">
        <v>99</v>
      </c>
      <c r="B103" s="18" t="s">
        <v>248</v>
      </c>
      <c r="C103" s="19" t="s">
        <v>249</v>
      </c>
      <c r="D103" s="20" t="s">
        <v>43</v>
      </c>
      <c r="E103" s="55">
        <v>0.0022</v>
      </c>
      <c r="F103" s="55">
        <v>0.00231</v>
      </c>
      <c r="G103" s="21">
        <v>15.3097</v>
      </c>
      <c r="H103" s="56">
        <v>0.95</v>
      </c>
      <c r="I103" s="21">
        <f t="shared" si="19"/>
        <v>0.0372267442105263</v>
      </c>
      <c r="J103" s="20" t="s">
        <v>44</v>
      </c>
      <c r="K103" s="21">
        <v>55.3846153846154</v>
      </c>
      <c r="L103" s="61">
        <v>65</v>
      </c>
      <c r="M103" s="20">
        <v>4</v>
      </c>
      <c r="N103" s="20">
        <v>27.15</v>
      </c>
      <c r="O103" s="20">
        <v>0.76</v>
      </c>
      <c r="P103" s="20">
        <v>22.5</v>
      </c>
      <c r="Q103" s="21">
        <f t="shared" si="20"/>
        <v>0.1015625</v>
      </c>
      <c r="R103" s="21">
        <v>0</v>
      </c>
      <c r="S103" s="31">
        <v>0.00477055555555556</v>
      </c>
      <c r="T103" s="31">
        <v>0.0111111111111111</v>
      </c>
      <c r="U103" s="20">
        <v>0</v>
      </c>
      <c r="V103" s="21">
        <f t="shared" si="33"/>
        <v>0.232459066481071</v>
      </c>
      <c r="W103" s="20">
        <v>0.21</v>
      </c>
      <c r="X103" s="62">
        <f t="shared" si="21"/>
        <v>0.0224590664810711</v>
      </c>
      <c r="Y103" s="75">
        <f t="shared" si="22"/>
        <v>0.0477981404610685</v>
      </c>
      <c r="Z103" s="76">
        <f t="shared" si="23"/>
        <v>0.436904877651955</v>
      </c>
      <c r="AA103" s="22">
        <f t="shared" si="24"/>
        <v>0.0465697916666667</v>
      </c>
      <c r="AB103" s="76">
        <f t="shared" si="25"/>
        <v>0.200335449899343</v>
      </c>
      <c r="AC103" s="77">
        <f t="shared" si="26"/>
        <v>0.0205221316069598</v>
      </c>
      <c r="AD103" s="77">
        <f t="shared" si="27"/>
        <v>0</v>
      </c>
      <c r="AE103" s="77">
        <f t="shared" si="28"/>
        <v>0.839856776618529</v>
      </c>
      <c r="AF103" s="78">
        <v>16420</v>
      </c>
      <c r="AG103" s="83">
        <f t="shared" si="29"/>
        <v>0.293920220482456</v>
      </c>
      <c r="AH103" s="84">
        <f t="shared" si="30"/>
        <v>4826.17002032193</v>
      </c>
      <c r="AI103" s="85">
        <f t="shared" si="31"/>
        <v>3816.97787161919</v>
      </c>
      <c r="AJ103" s="85">
        <f t="shared" si="32"/>
        <v>3448.2</v>
      </c>
      <c r="AK103" s="1">
        <f t="shared" si="36"/>
        <v>7.89540494920172</v>
      </c>
      <c r="AL103" s="49">
        <f t="shared" si="37"/>
        <v>0.399620097535505</v>
      </c>
    </row>
    <row r="104" spans="1:38">
      <c r="A104" s="17">
        <v>100</v>
      </c>
      <c r="B104" s="18" t="s">
        <v>250</v>
      </c>
      <c r="C104" s="23" t="s">
        <v>251</v>
      </c>
      <c r="D104" s="20" t="s">
        <v>252</v>
      </c>
      <c r="E104" s="55">
        <v>0.027</v>
      </c>
      <c r="F104" s="55">
        <v>0.02835</v>
      </c>
      <c r="G104" s="21">
        <v>9.02654867256637</v>
      </c>
      <c r="H104" s="56">
        <v>0.95</v>
      </c>
      <c r="I104" s="21">
        <f t="shared" si="19"/>
        <v>0.269371215649744</v>
      </c>
      <c r="J104" s="20" t="s">
        <v>65</v>
      </c>
      <c r="K104" s="21">
        <v>55.3846153846154</v>
      </c>
      <c r="L104" s="61">
        <v>65</v>
      </c>
      <c r="M104" s="20">
        <v>2</v>
      </c>
      <c r="N104" s="20">
        <v>48.5</v>
      </c>
      <c r="O104" s="20">
        <v>0.76</v>
      </c>
      <c r="P104" s="20">
        <v>22.5</v>
      </c>
      <c r="Q104" s="21">
        <f t="shared" si="20"/>
        <v>0.203125</v>
      </c>
      <c r="R104" s="21">
        <v>0</v>
      </c>
      <c r="S104" s="31">
        <v>0.106571111111111</v>
      </c>
      <c r="T104" s="31">
        <v>0.222222222222222</v>
      </c>
      <c r="U104" s="20">
        <v>0</v>
      </c>
      <c r="V104" s="21">
        <f t="shared" si="33"/>
        <v>1.07527202565391</v>
      </c>
      <c r="W104" s="20">
        <v>1.14</v>
      </c>
      <c r="X104" s="62">
        <f t="shared" si="21"/>
        <v>-0.0647279743460889</v>
      </c>
      <c r="Y104" s="75">
        <f t="shared" si="22"/>
        <v>0.206666050004491</v>
      </c>
      <c r="Z104" s="76">
        <f t="shared" si="23"/>
        <v>0.188905686332231</v>
      </c>
      <c r="AA104" s="22">
        <f t="shared" si="24"/>
        <v>0.166381944444444</v>
      </c>
      <c r="AB104" s="76">
        <f t="shared" si="25"/>
        <v>0.1547347466268</v>
      </c>
      <c r="AC104" s="77">
        <f t="shared" si="26"/>
        <v>0.099110837600654</v>
      </c>
      <c r="AD104" s="77">
        <f t="shared" si="27"/>
        <v>0</v>
      </c>
      <c r="AE104" s="77">
        <f t="shared" si="28"/>
        <v>0.749485516945417</v>
      </c>
      <c r="AF104" s="78">
        <v>1432</v>
      </c>
      <c r="AG104" s="83">
        <f t="shared" si="29"/>
        <v>1.28711057347462</v>
      </c>
      <c r="AH104" s="84">
        <f t="shared" si="30"/>
        <v>1843.14234121566</v>
      </c>
      <c r="AI104" s="85">
        <f t="shared" si="31"/>
        <v>1539.7895407364</v>
      </c>
      <c r="AJ104" s="85">
        <f t="shared" si="32"/>
        <v>1632.48</v>
      </c>
      <c r="AK104" s="1">
        <f t="shared" si="36"/>
        <v>4.77820382690114</v>
      </c>
      <c r="AL104" s="49">
        <f t="shared" si="37"/>
        <v>0.129044362697035</v>
      </c>
    </row>
    <row r="105" spans="1:38">
      <c r="A105" s="17">
        <v>101</v>
      </c>
      <c r="B105" s="18" t="s">
        <v>253</v>
      </c>
      <c r="C105" s="23" t="s">
        <v>254</v>
      </c>
      <c r="D105" s="20" t="s">
        <v>252</v>
      </c>
      <c r="E105" s="55">
        <v>0.033</v>
      </c>
      <c r="F105" s="55">
        <v>0.03465</v>
      </c>
      <c r="G105" s="21">
        <v>9.02654867256637</v>
      </c>
      <c r="H105" s="56">
        <v>0.95</v>
      </c>
      <c r="I105" s="21">
        <f t="shared" si="19"/>
        <v>0.329231485794131</v>
      </c>
      <c r="J105" s="20" t="s">
        <v>65</v>
      </c>
      <c r="K105" s="21">
        <v>51.4285714285715</v>
      </c>
      <c r="L105" s="61">
        <v>69.9999999999999</v>
      </c>
      <c r="M105" s="20">
        <v>2</v>
      </c>
      <c r="N105" s="20">
        <v>48.5</v>
      </c>
      <c r="O105" s="20">
        <v>0.76</v>
      </c>
      <c r="P105" s="20">
        <v>22.5</v>
      </c>
      <c r="Q105" s="21">
        <f t="shared" si="20"/>
        <v>0.21875</v>
      </c>
      <c r="R105" s="21">
        <v>0</v>
      </c>
      <c r="S105" s="31">
        <v>0.106571111111111</v>
      </c>
      <c r="T105" s="31">
        <v>0.222222222222222</v>
      </c>
      <c r="U105" s="20">
        <v>0</v>
      </c>
      <c r="V105" s="21">
        <f t="shared" si="33"/>
        <v>1.17842477112086</v>
      </c>
      <c r="W105" s="20">
        <v>1.2</v>
      </c>
      <c r="X105" s="62">
        <f t="shared" si="21"/>
        <v>-0.0215752288791384</v>
      </c>
      <c r="Y105" s="75">
        <f t="shared" si="22"/>
        <v>0.188575654270111</v>
      </c>
      <c r="Z105" s="76">
        <f t="shared" si="23"/>
        <v>0.18562915967214</v>
      </c>
      <c r="AA105" s="22">
        <f t="shared" si="24"/>
        <v>0.179180555555555</v>
      </c>
      <c r="AB105" s="76">
        <f t="shared" si="25"/>
        <v>0.152050907233668</v>
      </c>
      <c r="AC105" s="77">
        <f t="shared" si="26"/>
        <v>0.090435226518317</v>
      </c>
      <c r="AD105" s="77">
        <f t="shared" si="27"/>
        <v>0</v>
      </c>
      <c r="AE105" s="77">
        <f t="shared" si="28"/>
        <v>0.720617307220229</v>
      </c>
      <c r="AF105" s="78">
        <v>4079</v>
      </c>
      <c r="AG105" s="83">
        <f t="shared" si="29"/>
        <v>1.41953639535786</v>
      </c>
      <c r="AH105" s="84">
        <f t="shared" si="30"/>
        <v>5790.28895666471</v>
      </c>
      <c r="AI105" s="85">
        <f t="shared" si="31"/>
        <v>4806.79464140199</v>
      </c>
      <c r="AJ105" s="85">
        <f t="shared" si="32"/>
        <v>4894.8</v>
      </c>
      <c r="AK105" s="1">
        <f t="shared" si="36"/>
        <v>4.31166658296315</v>
      </c>
      <c r="AL105" s="49">
        <f t="shared" si="37"/>
        <v>0.18294699613155</v>
      </c>
    </row>
    <row r="106" spans="1:36">
      <c r="A106" s="17">
        <v>102</v>
      </c>
      <c r="B106" s="18" t="s">
        <v>255</v>
      </c>
      <c r="C106" s="19" t="s">
        <v>256</v>
      </c>
      <c r="D106" s="20" t="s">
        <v>257</v>
      </c>
      <c r="E106" s="55">
        <v>0.029</v>
      </c>
      <c r="F106" s="55">
        <v>0.03045</v>
      </c>
      <c r="G106" s="21">
        <v>6.63716814159292</v>
      </c>
      <c r="H106" s="56">
        <v>0.95</v>
      </c>
      <c r="I106" s="21">
        <f t="shared" si="19"/>
        <v>0.212738705170005</v>
      </c>
      <c r="J106" s="20" t="s">
        <v>65</v>
      </c>
      <c r="K106" s="21">
        <v>51.4285714285715</v>
      </c>
      <c r="L106" s="61">
        <v>69.9999999999999</v>
      </c>
      <c r="M106" s="20">
        <v>2</v>
      </c>
      <c r="N106" s="20">
        <v>48.5</v>
      </c>
      <c r="O106" s="20">
        <v>0.76</v>
      </c>
      <c r="P106" s="20">
        <v>22.5</v>
      </c>
      <c r="Q106" s="21">
        <f t="shared" si="20"/>
        <v>0.21875</v>
      </c>
      <c r="R106" s="21">
        <v>0</v>
      </c>
      <c r="S106" s="31">
        <v>0.106571111111111</v>
      </c>
      <c r="T106" s="31">
        <v>0.222222222222222</v>
      </c>
      <c r="U106" s="20">
        <v>0</v>
      </c>
      <c r="V106" s="21">
        <f t="shared" si="33"/>
        <v>1.04231215376004</v>
      </c>
      <c r="W106" s="20">
        <v>1.2</v>
      </c>
      <c r="X106" s="62">
        <f t="shared" si="21"/>
        <v>-0.15768784623996</v>
      </c>
      <c r="Y106" s="75">
        <f t="shared" si="22"/>
        <v>0.213201219443309</v>
      </c>
      <c r="Z106" s="76">
        <f t="shared" si="23"/>
        <v>0.209869950389507</v>
      </c>
      <c r="AA106" s="22">
        <f t="shared" si="24"/>
        <v>0.179180555555555</v>
      </c>
      <c r="AB106" s="76">
        <f t="shared" si="25"/>
        <v>0.171906808252382</v>
      </c>
      <c r="AC106" s="77">
        <f t="shared" si="26"/>
        <v>0.102244908808428</v>
      </c>
      <c r="AD106" s="77">
        <f t="shared" si="27"/>
        <v>0</v>
      </c>
      <c r="AE106" s="77">
        <f t="shared" si="28"/>
        <v>0.79589731885734</v>
      </c>
      <c r="AF106" s="78">
        <v>0</v>
      </c>
      <c r="AG106" s="83">
        <f t="shared" si="29"/>
        <v>1.24479722442167</v>
      </c>
      <c r="AH106" s="84">
        <f t="shared" si="30"/>
        <v>0</v>
      </c>
      <c r="AI106" s="85">
        <f t="shared" si="31"/>
        <v>0</v>
      </c>
      <c r="AJ106" s="85">
        <f t="shared" si="32"/>
        <v>0</v>
      </c>
    </row>
    <row r="107" spans="1:36">
      <c r="A107" s="17">
        <v>103</v>
      </c>
      <c r="B107" s="18" t="s">
        <v>258</v>
      </c>
      <c r="C107" s="19" t="s">
        <v>259</v>
      </c>
      <c r="D107" s="20" t="s">
        <v>257</v>
      </c>
      <c r="E107" s="55">
        <v>0.029</v>
      </c>
      <c r="F107" s="55">
        <v>0.03045</v>
      </c>
      <c r="G107" s="21">
        <v>6.63716814159292</v>
      </c>
      <c r="H107" s="56">
        <v>0.95</v>
      </c>
      <c r="I107" s="21">
        <f t="shared" si="19"/>
        <v>0.212738705170005</v>
      </c>
      <c r="J107" s="20" t="s">
        <v>65</v>
      </c>
      <c r="K107" s="21">
        <v>51.4285714285715</v>
      </c>
      <c r="L107" s="61">
        <v>69.9999999999999</v>
      </c>
      <c r="M107" s="20">
        <v>2</v>
      </c>
      <c r="N107" s="20">
        <v>48.5</v>
      </c>
      <c r="O107" s="20">
        <v>0.76</v>
      </c>
      <c r="P107" s="20">
        <v>22.5</v>
      </c>
      <c r="Q107" s="21">
        <f t="shared" si="20"/>
        <v>0.21875</v>
      </c>
      <c r="R107" s="21">
        <v>0</v>
      </c>
      <c r="S107" s="31">
        <v>0.106571111111111</v>
      </c>
      <c r="T107" s="31">
        <v>0.222222222222222</v>
      </c>
      <c r="U107" s="20">
        <v>0</v>
      </c>
      <c r="V107" s="21">
        <f t="shared" si="33"/>
        <v>1.04231215376004</v>
      </c>
      <c r="W107" s="20">
        <v>1.2</v>
      </c>
      <c r="X107" s="62">
        <f t="shared" si="21"/>
        <v>-0.15768784623996</v>
      </c>
      <c r="Y107" s="75">
        <f t="shared" si="22"/>
        <v>0.213201219443309</v>
      </c>
      <c r="Z107" s="76">
        <f t="shared" si="23"/>
        <v>0.209869950389507</v>
      </c>
      <c r="AA107" s="22">
        <f t="shared" si="24"/>
        <v>0.179180555555555</v>
      </c>
      <c r="AB107" s="76">
        <f t="shared" si="25"/>
        <v>0.171906808252382</v>
      </c>
      <c r="AC107" s="77">
        <f t="shared" si="26"/>
        <v>0.102244908808428</v>
      </c>
      <c r="AD107" s="77">
        <f t="shared" si="27"/>
        <v>0</v>
      </c>
      <c r="AE107" s="77">
        <f t="shared" si="28"/>
        <v>0.79589731885734</v>
      </c>
      <c r="AF107" s="78"/>
      <c r="AG107" s="83">
        <f t="shared" si="29"/>
        <v>1.24479722442167</v>
      </c>
      <c r="AH107" s="84">
        <f t="shared" si="30"/>
        <v>0</v>
      </c>
      <c r="AI107" s="85">
        <f t="shared" si="31"/>
        <v>0</v>
      </c>
      <c r="AJ107" s="85">
        <f t="shared" si="32"/>
        <v>0</v>
      </c>
    </row>
    <row r="108" ht="56" spans="1:38">
      <c r="A108" s="17">
        <v>104</v>
      </c>
      <c r="B108" s="18" t="s">
        <v>260</v>
      </c>
      <c r="C108" s="19" t="s">
        <v>261</v>
      </c>
      <c r="D108" s="20" t="s">
        <v>59</v>
      </c>
      <c r="E108" s="55">
        <v>0.031</v>
      </c>
      <c r="F108" s="55">
        <v>0.03255</v>
      </c>
      <c r="G108" s="21">
        <v>18.5841</v>
      </c>
      <c r="H108" s="56">
        <v>0.95</v>
      </c>
      <c r="I108" s="21">
        <f t="shared" si="19"/>
        <v>0.636749952631579</v>
      </c>
      <c r="J108" s="20" t="s">
        <v>65</v>
      </c>
      <c r="K108" s="21">
        <v>30</v>
      </c>
      <c r="L108" s="61">
        <v>120</v>
      </c>
      <c r="M108" s="20">
        <v>2</v>
      </c>
      <c r="N108" s="20">
        <v>48.5</v>
      </c>
      <c r="O108" s="20">
        <v>0.76</v>
      </c>
      <c r="P108" s="20">
        <v>22.5</v>
      </c>
      <c r="Q108" s="21">
        <f t="shared" si="20"/>
        <v>0.375</v>
      </c>
      <c r="R108" s="21">
        <v>0.9</v>
      </c>
      <c r="S108" s="31">
        <v>0.084124</v>
      </c>
      <c r="T108" s="31">
        <v>0.2</v>
      </c>
      <c r="U108" s="20">
        <v>0</v>
      </c>
      <c r="V108" s="21">
        <f t="shared" si="33"/>
        <v>2.75217394465374</v>
      </c>
      <c r="W108" s="20">
        <v>3.33</v>
      </c>
      <c r="X108" s="62">
        <f t="shared" si="21"/>
        <v>-0.57782605534626</v>
      </c>
      <c r="Y108" s="75">
        <f t="shared" si="22"/>
        <v>0.0726698253896749</v>
      </c>
      <c r="Z108" s="76">
        <f t="shared" si="23"/>
        <v>0.13625592260564</v>
      </c>
      <c r="AA108" s="22">
        <f t="shared" si="24"/>
        <v>0.307166666666667</v>
      </c>
      <c r="AB108" s="76">
        <f t="shared" si="25"/>
        <v>0.111608740160976</v>
      </c>
      <c r="AC108" s="77">
        <f t="shared" si="26"/>
        <v>0.030566381955405</v>
      </c>
      <c r="AD108" s="77">
        <f t="shared" si="27"/>
        <v>0</v>
      </c>
      <c r="AE108" s="77">
        <f t="shared" si="28"/>
        <v>0.768637460626897</v>
      </c>
      <c r="AF108" s="78">
        <v>6856</v>
      </c>
      <c r="AG108" s="83">
        <f t="shared" si="29"/>
        <v>3.25249892894737</v>
      </c>
      <c r="AH108" s="84">
        <f t="shared" si="30"/>
        <v>22299.1326568632</v>
      </c>
      <c r="AI108" s="85">
        <f t="shared" si="31"/>
        <v>18868.904564546</v>
      </c>
      <c r="AJ108" s="85">
        <f t="shared" si="32"/>
        <v>22830.48</v>
      </c>
      <c r="AK108" s="1">
        <f t="shared" si="36"/>
        <v>5.10796885889877</v>
      </c>
      <c r="AL108" s="49">
        <f>(AG108-W108)/W108</f>
        <v>-0.0232735949106998</v>
      </c>
    </row>
    <row r="109" ht="42" spans="1:36">
      <c r="A109" s="17">
        <v>105</v>
      </c>
      <c r="B109" s="18" t="s">
        <v>262</v>
      </c>
      <c r="C109" s="19" t="s">
        <v>263</v>
      </c>
      <c r="D109" s="20" t="s">
        <v>59</v>
      </c>
      <c r="E109" s="55">
        <v>0.026</v>
      </c>
      <c r="F109" s="55">
        <v>0.0273</v>
      </c>
      <c r="G109" s="21">
        <v>18.5841</v>
      </c>
      <c r="H109" s="56">
        <v>0.9</v>
      </c>
      <c r="I109" s="21">
        <f t="shared" si="19"/>
        <v>0.5637177</v>
      </c>
      <c r="J109" s="20" t="s">
        <v>65</v>
      </c>
      <c r="K109" s="21">
        <v>30</v>
      </c>
      <c r="L109" s="61">
        <v>120</v>
      </c>
      <c r="M109" s="20">
        <v>2</v>
      </c>
      <c r="N109" s="20">
        <v>48.5</v>
      </c>
      <c r="O109" s="20">
        <v>0.76</v>
      </c>
      <c r="P109" s="20">
        <v>22.5</v>
      </c>
      <c r="Q109" s="21">
        <f t="shared" si="20"/>
        <v>0.375</v>
      </c>
      <c r="R109" s="21">
        <v>0.9</v>
      </c>
      <c r="S109" s="31">
        <v>0.084124</v>
      </c>
      <c r="T109" s="31">
        <v>0.2</v>
      </c>
      <c r="U109" s="20">
        <v>0</v>
      </c>
      <c r="V109" s="21">
        <f t="shared" si="33"/>
        <v>2.74771471888889</v>
      </c>
      <c r="W109" s="20">
        <v>4.28</v>
      </c>
      <c r="X109" s="62">
        <f t="shared" si="21"/>
        <v>-1.53228528111111</v>
      </c>
      <c r="Y109" s="75">
        <f t="shared" si="22"/>
        <v>0.0727877601794393</v>
      </c>
      <c r="Z109" s="76">
        <f t="shared" si="23"/>
        <v>0.136477050336449</v>
      </c>
      <c r="AA109" s="22">
        <f t="shared" si="24"/>
        <v>0.307166666666667</v>
      </c>
      <c r="AB109" s="76">
        <f t="shared" si="25"/>
        <v>0.111789868342256</v>
      </c>
      <c r="AC109" s="77">
        <f t="shared" si="26"/>
        <v>0.0306159876866758</v>
      </c>
      <c r="AD109" s="77">
        <f t="shared" si="27"/>
        <v>0</v>
      </c>
      <c r="AE109" s="77">
        <f t="shared" si="28"/>
        <v>0.794841256217474</v>
      </c>
      <c r="AF109" s="78">
        <v>0</v>
      </c>
      <c r="AG109" s="83">
        <f t="shared" si="29"/>
        <v>3.14295055</v>
      </c>
      <c r="AH109" s="84">
        <f t="shared" si="30"/>
        <v>0</v>
      </c>
      <c r="AI109" s="85">
        <f t="shared" si="31"/>
        <v>0</v>
      </c>
      <c r="AJ109" s="85">
        <f t="shared" si="32"/>
        <v>0</v>
      </c>
    </row>
    <row r="110" ht="28" spans="1:36">
      <c r="A110" s="17">
        <v>106</v>
      </c>
      <c r="B110" s="18" t="s">
        <v>264</v>
      </c>
      <c r="C110" s="19" t="s">
        <v>265</v>
      </c>
      <c r="D110" s="20" t="s">
        <v>59</v>
      </c>
      <c r="E110" s="55">
        <v>0.026</v>
      </c>
      <c r="F110" s="55">
        <v>0.0273</v>
      </c>
      <c r="G110" s="21">
        <v>18.5841</v>
      </c>
      <c r="H110" s="56">
        <v>0.9</v>
      </c>
      <c r="I110" s="21">
        <f t="shared" si="19"/>
        <v>0.5637177</v>
      </c>
      <c r="J110" s="20" t="s">
        <v>120</v>
      </c>
      <c r="K110" s="21">
        <v>48</v>
      </c>
      <c r="L110" s="61">
        <v>75</v>
      </c>
      <c r="M110" s="20">
        <v>2</v>
      </c>
      <c r="N110" s="20">
        <v>39.75</v>
      </c>
      <c r="O110" s="20">
        <v>0.76</v>
      </c>
      <c r="P110" s="20">
        <v>22.5</v>
      </c>
      <c r="Q110" s="21">
        <f t="shared" si="20"/>
        <v>0.234375</v>
      </c>
      <c r="R110" s="21">
        <v>0</v>
      </c>
      <c r="S110" s="31">
        <v>0.106571111111111</v>
      </c>
      <c r="T110" s="31">
        <v>0.222222222222222</v>
      </c>
      <c r="U110" s="20">
        <v>0.3</v>
      </c>
      <c r="V110" s="21">
        <f t="shared" si="33"/>
        <v>1.807164955</v>
      </c>
      <c r="W110" s="20">
        <v>3.27</v>
      </c>
      <c r="X110" s="62">
        <f t="shared" si="21"/>
        <v>-1.462835045</v>
      </c>
      <c r="Y110" s="75">
        <f t="shared" si="22"/>
        <v>0.122967314968888</v>
      </c>
      <c r="Z110" s="76">
        <f t="shared" si="23"/>
        <v>0.12969209000625</v>
      </c>
      <c r="AA110" s="22">
        <f t="shared" si="24"/>
        <v>0.15734375</v>
      </c>
      <c r="AB110" s="76">
        <f t="shared" si="25"/>
        <v>0.0870666230908622</v>
      </c>
      <c r="AC110" s="77">
        <f t="shared" si="26"/>
        <v>0.0589714352396298</v>
      </c>
      <c r="AD110" s="77">
        <f t="shared" si="27"/>
        <v>0.166005875207999</v>
      </c>
      <c r="AE110" s="77">
        <f t="shared" si="28"/>
        <v>0.688065166137532</v>
      </c>
      <c r="AF110" s="78"/>
      <c r="AG110" s="83">
        <f t="shared" si="29"/>
        <v>2.06194800833333</v>
      </c>
      <c r="AH110" s="84">
        <f t="shared" si="30"/>
        <v>0</v>
      </c>
      <c r="AI110" s="85">
        <f t="shared" si="31"/>
        <v>0</v>
      </c>
      <c r="AJ110" s="85">
        <f t="shared" si="32"/>
        <v>0</v>
      </c>
    </row>
    <row r="111" ht="28" spans="1:36">
      <c r="A111" s="17">
        <v>107</v>
      </c>
      <c r="B111" s="18" t="s">
        <v>266</v>
      </c>
      <c r="C111" s="19" t="s">
        <v>267</v>
      </c>
      <c r="D111" s="20" t="s">
        <v>59</v>
      </c>
      <c r="E111" s="55">
        <v>0.026</v>
      </c>
      <c r="F111" s="55">
        <v>0.0273</v>
      </c>
      <c r="G111" s="21">
        <v>18.5841</v>
      </c>
      <c r="H111" s="56">
        <v>0.9</v>
      </c>
      <c r="I111" s="21">
        <f t="shared" si="19"/>
        <v>0.5637177</v>
      </c>
      <c r="J111" s="20" t="s">
        <v>120</v>
      </c>
      <c r="K111" s="21">
        <v>48</v>
      </c>
      <c r="L111" s="61">
        <v>75</v>
      </c>
      <c r="M111" s="20">
        <v>2</v>
      </c>
      <c r="N111" s="20">
        <v>39.75</v>
      </c>
      <c r="O111" s="20">
        <v>0.76</v>
      </c>
      <c r="P111" s="20">
        <v>22.5</v>
      </c>
      <c r="Q111" s="21">
        <f t="shared" si="20"/>
        <v>0.234375</v>
      </c>
      <c r="R111" s="21">
        <v>0</v>
      </c>
      <c r="S111" s="31">
        <v>0.106571111111111</v>
      </c>
      <c r="T111" s="31">
        <v>0.222222222222222</v>
      </c>
      <c r="U111" s="20">
        <v>0.3</v>
      </c>
      <c r="V111" s="21">
        <f t="shared" si="33"/>
        <v>1.807164955</v>
      </c>
      <c r="W111" s="20">
        <v>3.29</v>
      </c>
      <c r="X111" s="62">
        <f t="shared" si="21"/>
        <v>-1.482835045</v>
      </c>
      <c r="Y111" s="75">
        <f t="shared" si="22"/>
        <v>0.122967314968888</v>
      </c>
      <c r="Z111" s="76">
        <f t="shared" si="23"/>
        <v>0.12969209000625</v>
      </c>
      <c r="AA111" s="22">
        <f t="shared" si="24"/>
        <v>0.15734375</v>
      </c>
      <c r="AB111" s="76">
        <f t="shared" si="25"/>
        <v>0.0870666230908622</v>
      </c>
      <c r="AC111" s="77">
        <f t="shared" si="26"/>
        <v>0.0589714352396298</v>
      </c>
      <c r="AD111" s="77">
        <f t="shared" si="27"/>
        <v>0.166005875207999</v>
      </c>
      <c r="AE111" s="77">
        <f t="shared" si="28"/>
        <v>0.688065166137532</v>
      </c>
      <c r="AF111" s="78"/>
      <c r="AG111" s="83">
        <f t="shared" si="29"/>
        <v>2.06194800833333</v>
      </c>
      <c r="AH111" s="84">
        <f t="shared" si="30"/>
        <v>0</v>
      </c>
      <c r="AI111" s="85">
        <f t="shared" si="31"/>
        <v>0</v>
      </c>
      <c r="AJ111" s="85">
        <f t="shared" si="32"/>
        <v>0</v>
      </c>
    </row>
    <row r="112" ht="28" spans="1:38">
      <c r="A112" s="17">
        <v>108</v>
      </c>
      <c r="B112" s="18" t="s">
        <v>268</v>
      </c>
      <c r="C112" s="19" t="s">
        <v>269</v>
      </c>
      <c r="D112" s="20" t="s">
        <v>86</v>
      </c>
      <c r="E112" s="55">
        <v>0</v>
      </c>
      <c r="F112" s="55">
        <v>0.02573</v>
      </c>
      <c r="G112" s="21">
        <v>13.7168</v>
      </c>
      <c r="H112" s="56">
        <v>0.98</v>
      </c>
      <c r="I112" s="21">
        <f t="shared" si="19"/>
        <v>0.360135983673469</v>
      </c>
      <c r="J112" s="20" t="s">
        <v>270</v>
      </c>
      <c r="K112" s="21">
        <v>80</v>
      </c>
      <c r="L112" s="61">
        <v>45</v>
      </c>
      <c r="M112" s="20">
        <v>2</v>
      </c>
      <c r="N112" s="20">
        <v>47.5</v>
      </c>
      <c r="O112" s="20">
        <v>0.76</v>
      </c>
      <c r="P112" s="20">
        <v>22.5</v>
      </c>
      <c r="Q112" s="21">
        <f t="shared" si="20"/>
        <v>0.140625</v>
      </c>
      <c r="R112" s="21">
        <v>0</v>
      </c>
      <c r="S112" s="31">
        <v>0.022338</v>
      </c>
      <c r="T112" s="31">
        <v>0.05</v>
      </c>
      <c r="U112" s="20">
        <v>0</v>
      </c>
      <c r="V112" s="21">
        <f t="shared" si="33"/>
        <v>0.76730388456893</v>
      </c>
      <c r="W112" s="20">
        <v>1.34</v>
      </c>
      <c r="X112" s="62">
        <f t="shared" si="21"/>
        <v>-0.57269611543107</v>
      </c>
      <c r="Y112" s="75">
        <f t="shared" si="22"/>
        <v>0.0651632306385233</v>
      </c>
      <c r="Z112" s="76">
        <f t="shared" si="23"/>
        <v>0.183271586170847</v>
      </c>
      <c r="AA112" s="22">
        <f t="shared" si="24"/>
        <v>0.1128125</v>
      </c>
      <c r="AB112" s="76">
        <f t="shared" si="25"/>
        <v>0.147024539128168</v>
      </c>
      <c r="AC112" s="77">
        <f t="shared" si="26"/>
        <v>0.0291123249200667</v>
      </c>
      <c r="AD112" s="77">
        <f t="shared" si="27"/>
        <v>0</v>
      </c>
      <c r="AE112" s="77">
        <f t="shared" si="28"/>
        <v>0.530647516693085</v>
      </c>
      <c r="AF112" s="78">
        <v>30594</v>
      </c>
      <c r="AG112" s="83">
        <f t="shared" si="29"/>
        <v>0.992698225510204</v>
      </c>
      <c r="AH112" s="84">
        <f t="shared" si="30"/>
        <v>30370.6095112592</v>
      </c>
      <c r="AI112" s="85">
        <f t="shared" si="31"/>
        <v>23474.8950445018</v>
      </c>
      <c r="AJ112" s="85">
        <f t="shared" si="32"/>
        <v>40995.96</v>
      </c>
      <c r="AK112" s="1">
        <f t="shared" si="36"/>
        <v>2.7564538688538</v>
      </c>
      <c r="AL112" s="49">
        <f t="shared" si="37"/>
        <v>-0.259180428723728</v>
      </c>
    </row>
    <row r="113" ht="28" spans="1:38">
      <c r="A113" s="17">
        <v>109</v>
      </c>
      <c r="B113" s="18" t="s">
        <v>271</v>
      </c>
      <c r="C113" s="19" t="s">
        <v>272</v>
      </c>
      <c r="D113" s="20" t="s">
        <v>86</v>
      </c>
      <c r="E113" s="55">
        <v>0.018</v>
      </c>
      <c r="F113" s="55">
        <v>0.0189</v>
      </c>
      <c r="G113" s="21">
        <v>13.7168</v>
      </c>
      <c r="H113" s="56">
        <v>0.98</v>
      </c>
      <c r="I113" s="21">
        <f t="shared" si="19"/>
        <v>0.264538285714286</v>
      </c>
      <c r="J113" s="20" t="s">
        <v>65</v>
      </c>
      <c r="K113" s="21">
        <v>48</v>
      </c>
      <c r="L113" s="61">
        <v>75</v>
      </c>
      <c r="M113" s="20">
        <v>2</v>
      </c>
      <c r="N113" s="20">
        <v>48.5</v>
      </c>
      <c r="O113" s="20">
        <v>0.76</v>
      </c>
      <c r="P113" s="20">
        <v>22.5</v>
      </c>
      <c r="Q113" s="21">
        <f t="shared" si="20"/>
        <v>0.234375</v>
      </c>
      <c r="R113" s="21">
        <v>0</v>
      </c>
      <c r="S113" s="31">
        <v>0.106571111111111</v>
      </c>
      <c r="T113" s="31">
        <v>0.222222222222222</v>
      </c>
      <c r="U113" s="20">
        <v>0</v>
      </c>
      <c r="V113" s="21">
        <f t="shared" si="33"/>
        <v>1.11133478449951</v>
      </c>
      <c r="W113" s="20">
        <v>1.18</v>
      </c>
      <c r="X113" s="62">
        <f t="shared" si="21"/>
        <v>-0.0686652155004859</v>
      </c>
      <c r="Y113" s="75">
        <f t="shared" si="22"/>
        <v>0.199959746893281</v>
      </c>
      <c r="Z113" s="76">
        <f t="shared" si="23"/>
        <v>0.210895045551508</v>
      </c>
      <c r="AA113" s="22">
        <f t="shared" si="24"/>
        <v>0.191979166666667</v>
      </c>
      <c r="AB113" s="76">
        <f t="shared" si="25"/>
        <v>0.172746475089524</v>
      </c>
      <c r="AC113" s="77">
        <f t="shared" si="26"/>
        <v>0.0958946958176109</v>
      </c>
      <c r="AD113" s="77">
        <f t="shared" si="27"/>
        <v>0</v>
      </c>
      <c r="AE113" s="77">
        <f t="shared" si="28"/>
        <v>0.76196346105245</v>
      </c>
      <c r="AF113" s="78">
        <v>28167</v>
      </c>
      <c r="AG113" s="83">
        <f t="shared" si="29"/>
        <v>1.36513201190476</v>
      </c>
      <c r="AH113" s="84">
        <f t="shared" si="30"/>
        <v>38451.6733793214</v>
      </c>
      <c r="AI113" s="85">
        <f t="shared" si="31"/>
        <v>31302.9668749978</v>
      </c>
      <c r="AJ113" s="85">
        <f t="shared" si="32"/>
        <v>33237.06</v>
      </c>
      <c r="AK113" s="1">
        <f t="shared" si="36"/>
        <v>5.16043266939126</v>
      </c>
      <c r="AL113" s="49">
        <f t="shared" si="37"/>
        <v>0.156891535512509</v>
      </c>
    </row>
    <row r="114" ht="28" spans="1:38">
      <c r="A114" s="17">
        <v>110</v>
      </c>
      <c r="B114" s="18" t="s">
        <v>273</v>
      </c>
      <c r="C114" s="19" t="s">
        <v>274</v>
      </c>
      <c r="D114" s="20" t="s">
        <v>59</v>
      </c>
      <c r="E114" s="55">
        <v>0.022</v>
      </c>
      <c r="F114" s="55">
        <v>0.0231</v>
      </c>
      <c r="G114" s="21">
        <v>18.5841</v>
      </c>
      <c r="H114" s="56">
        <v>0.9</v>
      </c>
      <c r="I114" s="21">
        <f t="shared" si="19"/>
        <v>0.4769919</v>
      </c>
      <c r="J114" s="20" t="s">
        <v>120</v>
      </c>
      <c r="K114" s="21">
        <v>48</v>
      </c>
      <c r="L114" s="61">
        <v>75</v>
      </c>
      <c r="M114" s="20">
        <v>2</v>
      </c>
      <c r="N114" s="20">
        <v>39.75</v>
      </c>
      <c r="O114" s="20">
        <v>0.76</v>
      </c>
      <c r="P114" s="20">
        <v>22.5</v>
      </c>
      <c r="Q114" s="21">
        <f t="shared" si="20"/>
        <v>0.234375</v>
      </c>
      <c r="R114" s="21">
        <v>0</v>
      </c>
      <c r="S114" s="31">
        <v>0.106571111111111</v>
      </c>
      <c r="T114" s="31">
        <v>0.222222222222222</v>
      </c>
      <c r="U114" s="20">
        <v>0.3</v>
      </c>
      <c r="V114" s="21">
        <f t="shared" si="33"/>
        <v>1.700203135</v>
      </c>
      <c r="W114" s="20">
        <v>3.29</v>
      </c>
      <c r="X114" s="62">
        <f t="shared" si="21"/>
        <v>-1.589796865</v>
      </c>
      <c r="Y114" s="75">
        <f t="shared" si="22"/>
        <v>0.130703336352936</v>
      </c>
      <c r="Z114" s="76">
        <f t="shared" si="23"/>
        <v>0.137851175059738</v>
      </c>
      <c r="AA114" s="22">
        <f t="shared" si="24"/>
        <v>0.15734375</v>
      </c>
      <c r="AB114" s="76">
        <f t="shared" si="25"/>
        <v>0.0925440888567707</v>
      </c>
      <c r="AC114" s="77">
        <f t="shared" si="26"/>
        <v>0.0626813990147777</v>
      </c>
      <c r="AD114" s="77">
        <f t="shared" si="27"/>
        <v>0.176449504076464</v>
      </c>
      <c r="AE114" s="77">
        <f t="shared" si="28"/>
        <v>0.719450052655032</v>
      </c>
      <c r="AF114" s="78">
        <v>1982</v>
      </c>
      <c r="AG114" s="83">
        <f t="shared" si="29"/>
        <v>1.93185930833333</v>
      </c>
      <c r="AH114" s="84">
        <f t="shared" si="30"/>
        <v>3828.94514911666</v>
      </c>
      <c r="AI114" s="85">
        <f t="shared" si="31"/>
        <v>3369.80261357</v>
      </c>
      <c r="AJ114" s="85">
        <f t="shared" si="32"/>
        <v>6520.78</v>
      </c>
      <c r="AK114" s="1">
        <f t="shared" si="36"/>
        <v>4.0500882894098</v>
      </c>
      <c r="AL114" s="49">
        <f t="shared" si="37"/>
        <v>-0.412808720871328</v>
      </c>
    </row>
    <row r="115" ht="28" spans="1:38">
      <c r="A115" s="17">
        <v>111</v>
      </c>
      <c r="B115" s="18" t="s">
        <v>275</v>
      </c>
      <c r="C115" s="19" t="s">
        <v>276</v>
      </c>
      <c r="D115" s="20" t="s">
        <v>59</v>
      </c>
      <c r="E115" s="55">
        <v>0</v>
      </c>
      <c r="F115" s="55">
        <v>0.045524</v>
      </c>
      <c r="G115" s="21">
        <v>18.5841</v>
      </c>
      <c r="H115" s="56">
        <v>0.9</v>
      </c>
      <c r="I115" s="21">
        <f t="shared" si="19"/>
        <v>0.940025076</v>
      </c>
      <c r="J115" s="20" t="s">
        <v>120</v>
      </c>
      <c r="K115" s="21">
        <v>60</v>
      </c>
      <c r="L115" s="61">
        <v>60</v>
      </c>
      <c r="M115" s="20">
        <v>2</v>
      </c>
      <c r="N115" s="20">
        <v>39.75</v>
      </c>
      <c r="O115" s="20">
        <v>0.76</v>
      </c>
      <c r="P115" s="20">
        <v>22.5</v>
      </c>
      <c r="Q115" s="21">
        <f t="shared" si="20"/>
        <v>0.1875</v>
      </c>
      <c r="R115" s="21">
        <v>0</v>
      </c>
      <c r="S115" s="31">
        <v>0.106571111111111</v>
      </c>
      <c r="T115" s="31">
        <v>0.222222222222222</v>
      </c>
      <c r="U115" s="20">
        <v>0.3</v>
      </c>
      <c r="V115" s="21">
        <f t="shared" si="33"/>
        <v>2.17465342706667</v>
      </c>
      <c r="W115" s="20">
        <v>3.27</v>
      </c>
      <c r="X115" s="62">
        <f t="shared" si="21"/>
        <v>-1.09534657293333</v>
      </c>
      <c r="Y115" s="75">
        <f t="shared" si="22"/>
        <v>0.102187419593554</v>
      </c>
      <c r="Z115" s="76">
        <f t="shared" si="23"/>
        <v>0.0862206352820614</v>
      </c>
      <c r="AA115" s="22">
        <f t="shared" si="24"/>
        <v>0.125875</v>
      </c>
      <c r="AB115" s="76">
        <f t="shared" si="25"/>
        <v>0.0578827864860239</v>
      </c>
      <c r="AC115" s="77">
        <f t="shared" si="26"/>
        <v>0.0490060208144808</v>
      </c>
      <c r="AD115" s="77">
        <f t="shared" si="27"/>
        <v>0.137953016451298</v>
      </c>
      <c r="AE115" s="77">
        <f t="shared" si="28"/>
        <v>0.567735684086464</v>
      </c>
      <c r="AF115" s="78">
        <v>18428</v>
      </c>
      <c r="AG115" s="83">
        <f t="shared" si="29"/>
        <v>2.50889344733333</v>
      </c>
      <c r="AH115" s="84">
        <f t="shared" si="30"/>
        <v>46233.8884474586</v>
      </c>
      <c r="AI115" s="85">
        <f t="shared" si="31"/>
        <v>40074.5133539845</v>
      </c>
      <c r="AJ115" s="85">
        <f t="shared" si="32"/>
        <v>60259.56</v>
      </c>
      <c r="AK115" s="1">
        <f t="shared" si="36"/>
        <v>2.66896438338559</v>
      </c>
      <c r="AL115" s="49">
        <f t="shared" si="37"/>
        <v>-0.232754297451581</v>
      </c>
    </row>
    <row r="116" ht="28" spans="1:38">
      <c r="A116" s="17">
        <v>112</v>
      </c>
      <c r="B116" s="18" t="s">
        <v>277</v>
      </c>
      <c r="C116" s="19" t="s">
        <v>278</v>
      </c>
      <c r="D116" s="20" t="s">
        <v>279</v>
      </c>
      <c r="E116" s="55">
        <v>0.044</v>
      </c>
      <c r="F116" s="55">
        <v>0.0462</v>
      </c>
      <c r="G116" s="21">
        <v>10.5</v>
      </c>
      <c r="H116" s="56">
        <v>0.98</v>
      </c>
      <c r="I116" s="21">
        <f t="shared" si="19"/>
        <v>0.495</v>
      </c>
      <c r="J116" s="20" t="s">
        <v>65</v>
      </c>
      <c r="K116" s="21">
        <v>51.4285714285715</v>
      </c>
      <c r="L116" s="61">
        <v>69.9999999999999</v>
      </c>
      <c r="M116" s="20">
        <v>2</v>
      </c>
      <c r="N116" s="20">
        <v>48.5</v>
      </c>
      <c r="O116" s="20">
        <v>0.76</v>
      </c>
      <c r="P116" s="20">
        <v>22.5</v>
      </c>
      <c r="Q116" s="21">
        <f t="shared" si="20"/>
        <v>0.21875</v>
      </c>
      <c r="R116" s="21">
        <v>0</v>
      </c>
      <c r="S116" s="31">
        <v>0.106571111111111</v>
      </c>
      <c r="T116" s="31">
        <v>0.222222222222222</v>
      </c>
      <c r="U116" s="20">
        <v>0.3</v>
      </c>
      <c r="V116" s="21">
        <f t="shared" si="33"/>
        <v>1.64017386054422</v>
      </c>
      <c r="W116" s="20">
        <v>1.85</v>
      </c>
      <c r="X116" s="62">
        <f t="shared" si="21"/>
        <v>-0.209826139455783</v>
      </c>
      <c r="Y116" s="75">
        <f t="shared" si="22"/>
        <v>0.13548699169519</v>
      </c>
      <c r="Z116" s="76">
        <f t="shared" si="23"/>
        <v>0.133370007449953</v>
      </c>
      <c r="AA116" s="22">
        <f t="shared" si="24"/>
        <v>0.179180555555555</v>
      </c>
      <c r="AB116" s="76">
        <f t="shared" si="25"/>
        <v>0.109244854991228</v>
      </c>
      <c r="AC116" s="77">
        <f t="shared" si="26"/>
        <v>0.0649754966072622</v>
      </c>
      <c r="AD116" s="77">
        <f t="shared" si="27"/>
        <v>0.182907438788507</v>
      </c>
      <c r="AE116" s="77">
        <f t="shared" si="28"/>
        <v>0.698202725998964</v>
      </c>
      <c r="AF116" s="78">
        <v>1626</v>
      </c>
      <c r="AG116" s="83">
        <f t="shared" si="29"/>
        <v>1.96818916666667</v>
      </c>
      <c r="AH116" s="84">
        <f t="shared" si="30"/>
        <v>3200.27558500001</v>
      </c>
      <c r="AI116" s="85">
        <f t="shared" si="31"/>
        <v>2666.9226972449</v>
      </c>
      <c r="AJ116" s="85">
        <f t="shared" si="32"/>
        <v>3008.1</v>
      </c>
      <c r="AK116" s="1">
        <f t="shared" si="36"/>
        <v>3.97613973063974</v>
      </c>
      <c r="AL116" s="49">
        <f t="shared" si="37"/>
        <v>0.0638860360360378</v>
      </c>
    </row>
    <row r="117" ht="28" spans="1:38">
      <c r="A117" s="17">
        <v>113</v>
      </c>
      <c r="B117" s="18" t="s">
        <v>280</v>
      </c>
      <c r="C117" s="19" t="s">
        <v>281</v>
      </c>
      <c r="D117" s="20" t="s">
        <v>279</v>
      </c>
      <c r="E117" s="55">
        <v>0.026</v>
      </c>
      <c r="F117" s="55">
        <v>0.0273</v>
      </c>
      <c r="G117" s="21">
        <v>10.5</v>
      </c>
      <c r="H117" s="56">
        <v>0.98</v>
      </c>
      <c r="I117" s="21">
        <f t="shared" si="19"/>
        <v>0.2925</v>
      </c>
      <c r="J117" s="20" t="s">
        <v>65</v>
      </c>
      <c r="K117" s="21">
        <v>51.4285714285715</v>
      </c>
      <c r="L117" s="61">
        <v>69.9999999999999</v>
      </c>
      <c r="M117" s="20">
        <v>2</v>
      </c>
      <c r="N117" s="20">
        <v>48.5</v>
      </c>
      <c r="O117" s="20">
        <v>0.76</v>
      </c>
      <c r="P117" s="20">
        <v>22.5</v>
      </c>
      <c r="Q117" s="21">
        <f t="shared" si="20"/>
        <v>0.21875</v>
      </c>
      <c r="R117" s="21">
        <v>0</v>
      </c>
      <c r="S117" s="31">
        <v>0.084124</v>
      </c>
      <c r="T117" s="31">
        <v>0.2</v>
      </c>
      <c r="U117" s="20">
        <v>0</v>
      </c>
      <c r="V117" s="21">
        <f t="shared" si="33"/>
        <v>1.06614228231292</v>
      </c>
      <c r="W117" s="20">
        <v>1.34</v>
      </c>
      <c r="X117" s="62">
        <f t="shared" si="21"/>
        <v>-0.273857717687075</v>
      </c>
      <c r="Y117" s="75">
        <f t="shared" si="22"/>
        <v>0.187592222274604</v>
      </c>
      <c r="Z117" s="76">
        <f t="shared" si="23"/>
        <v>0.205178993112848</v>
      </c>
      <c r="AA117" s="22">
        <f t="shared" si="24"/>
        <v>0.179180555555555</v>
      </c>
      <c r="AB117" s="76">
        <f t="shared" si="25"/>
        <v>0.168064393025324</v>
      </c>
      <c r="AC117" s="77">
        <f t="shared" si="26"/>
        <v>0.078905040533144</v>
      </c>
      <c r="AD117" s="77">
        <f t="shared" si="27"/>
        <v>0</v>
      </c>
      <c r="AE117" s="77">
        <f t="shared" si="28"/>
        <v>0.725646374923391</v>
      </c>
      <c r="AF117" s="78">
        <v>1580</v>
      </c>
      <c r="AG117" s="83">
        <f t="shared" si="29"/>
        <v>1.31976983333333</v>
      </c>
      <c r="AH117" s="84">
        <f t="shared" si="30"/>
        <v>2085.23633666666</v>
      </c>
      <c r="AI117" s="85">
        <f t="shared" si="31"/>
        <v>1684.50480605442</v>
      </c>
      <c r="AJ117" s="85">
        <f t="shared" si="32"/>
        <v>2117.2</v>
      </c>
      <c r="AK117" s="1">
        <f t="shared" si="36"/>
        <v>4.51203361823361</v>
      </c>
      <c r="AL117" s="49">
        <f t="shared" si="37"/>
        <v>-0.0150971393034851</v>
      </c>
    </row>
    <row r="118" spans="1:38">
      <c r="A118" s="17">
        <v>114</v>
      </c>
      <c r="B118" s="18" t="s">
        <v>282</v>
      </c>
      <c r="C118" s="19" t="s">
        <v>283</v>
      </c>
      <c r="D118" s="20" t="s">
        <v>64</v>
      </c>
      <c r="E118" s="55">
        <f>0.632/1000</f>
        <v>0.000632</v>
      </c>
      <c r="F118" s="55">
        <f>E118*1.03</f>
        <v>0.00065096</v>
      </c>
      <c r="G118" s="21">
        <v>21.2389</v>
      </c>
      <c r="H118" s="56">
        <v>0.95</v>
      </c>
      <c r="I118" s="21">
        <f t="shared" si="19"/>
        <v>0.0145533414147368</v>
      </c>
      <c r="J118" s="20" t="s">
        <v>120</v>
      </c>
      <c r="K118" s="21">
        <v>65.4545454545455</v>
      </c>
      <c r="L118" s="61">
        <v>55</v>
      </c>
      <c r="M118" s="20">
        <v>2</v>
      </c>
      <c r="N118" s="20">
        <v>39.75</v>
      </c>
      <c r="O118" s="20">
        <v>0.76</v>
      </c>
      <c r="P118" s="20">
        <v>22.5</v>
      </c>
      <c r="Q118" s="21">
        <f t="shared" si="20"/>
        <v>0.171875</v>
      </c>
      <c r="R118" s="21">
        <v>0</v>
      </c>
      <c r="S118" s="31">
        <v>0.00477055555555556</v>
      </c>
      <c r="T118" s="31">
        <v>0.0111111111111111</v>
      </c>
      <c r="U118" s="20">
        <v>0</v>
      </c>
      <c r="V118" s="21">
        <f t="shared" si="33"/>
        <v>0.368527215582833</v>
      </c>
      <c r="W118" s="20">
        <v>0.28</v>
      </c>
      <c r="X118" s="62">
        <f t="shared" si="21"/>
        <v>0.0885272155828328</v>
      </c>
      <c r="Y118" s="75">
        <f t="shared" si="22"/>
        <v>0.030150042225616</v>
      </c>
      <c r="Z118" s="76">
        <f t="shared" si="23"/>
        <v>0.466383465677498</v>
      </c>
      <c r="AA118" s="22">
        <f t="shared" si="24"/>
        <v>0.115385416666667</v>
      </c>
      <c r="AB118" s="76">
        <f t="shared" si="25"/>
        <v>0.313098766624828</v>
      </c>
      <c r="AC118" s="77">
        <f t="shared" si="26"/>
        <v>0.0129449206295683</v>
      </c>
      <c r="AD118" s="77">
        <f t="shared" si="27"/>
        <v>0</v>
      </c>
      <c r="AE118" s="77">
        <f t="shared" si="28"/>
        <v>0.960509452763969</v>
      </c>
      <c r="AF118" s="78">
        <v>61647</v>
      </c>
      <c r="AG118" s="83">
        <f t="shared" si="29"/>
        <v>0.468602303788772</v>
      </c>
      <c r="AH118" s="84">
        <f t="shared" si="30"/>
        <v>28887.9262216664</v>
      </c>
      <c r="AI118" s="85">
        <f t="shared" si="31"/>
        <v>22718.5972590349</v>
      </c>
      <c r="AJ118" s="85">
        <f t="shared" si="32"/>
        <v>17261.16</v>
      </c>
      <c r="AK118" s="1">
        <f t="shared" si="36"/>
        <v>32.1989493982641</v>
      </c>
      <c r="AL118" s="49">
        <f t="shared" si="37"/>
        <v>0.673579656388471</v>
      </c>
    </row>
    <row r="119" spans="1:38">
      <c r="A119" s="17">
        <v>115</v>
      </c>
      <c r="B119" s="86" t="s">
        <v>284</v>
      </c>
      <c r="C119" s="87" t="s">
        <v>174</v>
      </c>
      <c r="D119" s="20" t="s">
        <v>43</v>
      </c>
      <c r="E119" s="55">
        <f>0.447/1000</f>
        <v>0.000447</v>
      </c>
      <c r="F119" s="55">
        <f>E119*1.03</f>
        <v>0.00046041</v>
      </c>
      <c r="G119" s="21">
        <v>15.3097</v>
      </c>
      <c r="H119" s="56">
        <v>0.95</v>
      </c>
      <c r="I119" s="21">
        <f t="shared" si="19"/>
        <v>0.00741972523894737</v>
      </c>
      <c r="J119" s="20" t="s">
        <v>44</v>
      </c>
      <c r="K119" s="21">
        <v>65.4545454545455</v>
      </c>
      <c r="L119" s="61">
        <v>55</v>
      </c>
      <c r="M119" s="90">
        <v>6</v>
      </c>
      <c r="N119" s="20">
        <v>27.15</v>
      </c>
      <c r="O119" s="20">
        <v>0.76</v>
      </c>
      <c r="P119" s="20">
        <v>22.5</v>
      </c>
      <c r="Q119" s="21">
        <f t="shared" si="20"/>
        <v>0.0572916666666666</v>
      </c>
      <c r="R119" s="21">
        <v>0</v>
      </c>
      <c r="S119" s="31">
        <v>0.084124</v>
      </c>
      <c r="T119" s="31">
        <v>0.2</v>
      </c>
      <c r="U119" s="20">
        <v>0</v>
      </c>
      <c r="V119" s="21">
        <f t="shared" si="33"/>
        <v>0.390428735980945</v>
      </c>
      <c r="W119" s="20">
        <v>0.2</v>
      </c>
      <c r="X119" s="62">
        <f t="shared" si="21"/>
        <v>0.190428735980945</v>
      </c>
      <c r="Y119" s="75">
        <f t="shared" si="22"/>
        <v>0.512257376490241</v>
      </c>
      <c r="Z119" s="76">
        <f t="shared" si="23"/>
        <v>0.1467403943071</v>
      </c>
      <c r="AA119" s="22">
        <f t="shared" si="24"/>
        <v>0.0262701388888889</v>
      </c>
      <c r="AB119" s="76">
        <f t="shared" si="25"/>
        <v>0.0672853621362824</v>
      </c>
      <c r="AC119" s="77">
        <f t="shared" si="26"/>
        <v>0.215465697699325</v>
      </c>
      <c r="AD119" s="77">
        <f t="shared" si="27"/>
        <v>0</v>
      </c>
      <c r="AE119" s="77">
        <f t="shared" si="28"/>
        <v>0.980995955074092</v>
      </c>
      <c r="AF119" s="78">
        <v>58200</v>
      </c>
      <c r="AG119" s="83">
        <f t="shared" si="29"/>
        <v>0.420596296191754</v>
      </c>
      <c r="AH119" s="84">
        <f t="shared" si="30"/>
        <v>24478.7044383601</v>
      </c>
      <c r="AI119" s="85">
        <f t="shared" si="31"/>
        <v>22722.952434091</v>
      </c>
      <c r="AJ119" s="85">
        <f t="shared" si="32"/>
        <v>11640</v>
      </c>
      <c r="AK119" s="1">
        <f t="shared" si="36"/>
        <v>56.6862360325655</v>
      </c>
      <c r="AL119" s="49">
        <f t="shared" si="37"/>
        <v>1.10298148095877</v>
      </c>
    </row>
    <row r="120" ht="28" spans="1:38">
      <c r="A120" s="17">
        <v>116</v>
      </c>
      <c r="B120" s="86" t="s">
        <v>285</v>
      </c>
      <c r="C120" s="87" t="s">
        <v>286</v>
      </c>
      <c r="D120" s="20" t="s">
        <v>43</v>
      </c>
      <c r="E120" s="55">
        <f>0.067/1000</f>
        <v>6.7e-5</v>
      </c>
      <c r="F120" s="55">
        <f>E120*1.03</f>
        <v>6.901e-5</v>
      </c>
      <c r="G120" s="21">
        <v>15.3097</v>
      </c>
      <c r="H120" s="56">
        <v>0.95</v>
      </c>
      <c r="I120" s="21">
        <f t="shared" si="19"/>
        <v>0.00111212883894737</v>
      </c>
      <c r="J120" s="20" t="s">
        <v>44</v>
      </c>
      <c r="K120" s="21">
        <v>65.4545454545455</v>
      </c>
      <c r="L120" s="61">
        <v>55</v>
      </c>
      <c r="M120" s="90">
        <v>6</v>
      </c>
      <c r="N120" s="20">
        <v>27.15</v>
      </c>
      <c r="O120" s="20">
        <v>0.76</v>
      </c>
      <c r="P120" s="20">
        <v>22.5</v>
      </c>
      <c r="Q120" s="21">
        <f t="shared" si="20"/>
        <v>0.0572916666666666</v>
      </c>
      <c r="R120" s="21">
        <v>0</v>
      </c>
      <c r="S120" s="31">
        <v>0.00477055555555556</v>
      </c>
      <c r="T120" s="31">
        <v>0.0111111111111111</v>
      </c>
      <c r="U120" s="20">
        <v>0</v>
      </c>
      <c r="V120" s="21">
        <f t="shared" si="33"/>
        <v>0.114816474222349</v>
      </c>
      <c r="W120" s="20">
        <v>0.17</v>
      </c>
      <c r="X120" s="62">
        <f t="shared" si="21"/>
        <v>-0.0551835257776511</v>
      </c>
      <c r="Y120" s="75">
        <f t="shared" si="22"/>
        <v>0.0967727949004406</v>
      </c>
      <c r="Z120" s="76">
        <f t="shared" si="23"/>
        <v>0.498984723705397</v>
      </c>
      <c r="AA120" s="22">
        <f t="shared" si="24"/>
        <v>0.0262701388888889</v>
      </c>
      <c r="AB120" s="76">
        <f t="shared" si="25"/>
        <v>0.228801128643048</v>
      </c>
      <c r="AC120" s="77">
        <f t="shared" si="26"/>
        <v>0.0415493994905043</v>
      </c>
      <c r="AD120" s="77">
        <f t="shared" si="27"/>
        <v>0</v>
      </c>
      <c r="AE120" s="77">
        <f t="shared" si="28"/>
        <v>0.990313856556911</v>
      </c>
      <c r="AF120" s="78">
        <v>61250</v>
      </c>
      <c r="AG120" s="83">
        <f t="shared" si="29"/>
        <v>0.142892568258421</v>
      </c>
      <c r="AH120" s="84">
        <f t="shared" si="30"/>
        <v>8752.16980582829</v>
      </c>
      <c r="AI120" s="85">
        <f t="shared" si="31"/>
        <v>7032.50904611887</v>
      </c>
      <c r="AJ120" s="85">
        <f t="shared" si="32"/>
        <v>10412.5</v>
      </c>
      <c r="AK120" s="1">
        <f t="shared" si="36"/>
        <v>128.485624375741</v>
      </c>
      <c r="AL120" s="49">
        <f t="shared" si="37"/>
        <v>-0.159455480832818</v>
      </c>
    </row>
    <row r="121" spans="1:38">
      <c r="A121" s="17">
        <v>117</v>
      </c>
      <c r="B121" s="86" t="s">
        <v>287</v>
      </c>
      <c r="C121" s="87" t="s">
        <v>176</v>
      </c>
      <c r="D121" s="20" t="s">
        <v>43</v>
      </c>
      <c r="E121" s="55">
        <f>0.276/1000</f>
        <v>0.000276</v>
      </c>
      <c r="F121" s="55">
        <f t="shared" ref="F121:F126" si="38">E121*1.03</f>
        <v>0.00028428</v>
      </c>
      <c r="G121" s="21">
        <v>15.3097</v>
      </c>
      <c r="H121" s="56">
        <v>0.95</v>
      </c>
      <c r="I121" s="21">
        <f t="shared" si="19"/>
        <v>0.00458130685894737</v>
      </c>
      <c r="J121" s="20" t="s">
        <v>44</v>
      </c>
      <c r="K121" s="21">
        <v>65.4545454545455</v>
      </c>
      <c r="L121" s="61">
        <v>55</v>
      </c>
      <c r="M121" s="90">
        <v>6</v>
      </c>
      <c r="N121" s="20">
        <v>27.15</v>
      </c>
      <c r="O121" s="20">
        <v>0.76</v>
      </c>
      <c r="P121" s="20">
        <v>22.5</v>
      </c>
      <c r="Q121" s="21">
        <f t="shared" si="20"/>
        <v>0.0572916666666666</v>
      </c>
      <c r="R121" s="21">
        <v>0</v>
      </c>
      <c r="S121" s="31">
        <v>0.00477055555555556</v>
      </c>
      <c r="T121" s="31">
        <v>0.0111111111111111</v>
      </c>
      <c r="U121" s="20">
        <v>0</v>
      </c>
      <c r="V121" s="21">
        <f t="shared" si="33"/>
        <v>0.118869934856244</v>
      </c>
      <c r="W121" s="20">
        <v>0.2</v>
      </c>
      <c r="X121" s="62">
        <f t="shared" si="21"/>
        <v>-0.0811300651437563</v>
      </c>
      <c r="Y121" s="75">
        <f t="shared" si="22"/>
        <v>0.0934728459685657</v>
      </c>
      <c r="Z121" s="76">
        <f t="shared" si="23"/>
        <v>0.481969362025417</v>
      </c>
      <c r="AA121" s="22">
        <f t="shared" si="24"/>
        <v>0.0262701388888889</v>
      </c>
      <c r="AB121" s="76">
        <f t="shared" si="25"/>
        <v>0.220999018134055</v>
      </c>
      <c r="AC121" s="77">
        <f t="shared" si="26"/>
        <v>0.0401325664166037</v>
      </c>
      <c r="AD121" s="77">
        <f t="shared" si="27"/>
        <v>0</v>
      </c>
      <c r="AE121" s="77">
        <f t="shared" si="28"/>
        <v>0.961459498867499</v>
      </c>
      <c r="AF121" s="78">
        <v>61280</v>
      </c>
      <c r="AG121" s="83">
        <f t="shared" si="29"/>
        <v>0.148096335288421</v>
      </c>
      <c r="AH121" s="84">
        <f t="shared" si="30"/>
        <v>9075.34342647444</v>
      </c>
      <c r="AI121" s="85">
        <f t="shared" si="31"/>
        <v>7284.34960799061</v>
      </c>
      <c r="AJ121" s="85">
        <f t="shared" si="32"/>
        <v>12256</v>
      </c>
      <c r="AK121" s="1">
        <f t="shared" si="36"/>
        <v>32.3262204100532</v>
      </c>
      <c r="AL121" s="49">
        <f t="shared" si="37"/>
        <v>-0.259518323557895</v>
      </c>
    </row>
    <row r="122" ht="42" spans="1:36">
      <c r="A122" s="17">
        <v>118</v>
      </c>
      <c r="B122" s="18" t="s">
        <v>288</v>
      </c>
      <c r="C122" s="19" t="s">
        <v>289</v>
      </c>
      <c r="D122" s="20" t="s">
        <v>43</v>
      </c>
      <c r="E122" s="55">
        <v>0.004</v>
      </c>
      <c r="F122" s="55">
        <v>0.0042</v>
      </c>
      <c r="G122" s="21">
        <v>15.3097</v>
      </c>
      <c r="H122" s="56">
        <v>0.95</v>
      </c>
      <c r="I122" s="21">
        <f t="shared" si="19"/>
        <v>0.0676849894736842</v>
      </c>
      <c r="J122" s="20" t="s">
        <v>47</v>
      </c>
      <c r="K122" s="21">
        <v>65.4545454545455</v>
      </c>
      <c r="L122" s="61">
        <v>55</v>
      </c>
      <c r="M122" s="20">
        <v>2</v>
      </c>
      <c r="N122" s="20">
        <v>21.2</v>
      </c>
      <c r="O122" s="20">
        <v>0.76</v>
      </c>
      <c r="P122" s="20">
        <v>22.5</v>
      </c>
      <c r="Q122" s="21">
        <f t="shared" si="20"/>
        <v>0.171875</v>
      </c>
      <c r="R122" s="21">
        <v>0</v>
      </c>
      <c r="S122" s="31">
        <v>0.0293483333333333</v>
      </c>
      <c r="T122" s="31">
        <v>0.0666666666666667</v>
      </c>
      <c r="U122" s="20">
        <v>0</v>
      </c>
      <c r="V122" s="21">
        <f t="shared" si="33"/>
        <v>0.447825268402585</v>
      </c>
      <c r="W122" s="20">
        <v>0.34</v>
      </c>
      <c r="X122" s="62">
        <f t="shared" si="21"/>
        <v>0.107825268402585</v>
      </c>
      <c r="Y122" s="75">
        <f t="shared" si="22"/>
        <v>0.14886758602182</v>
      </c>
      <c r="Z122" s="76">
        <f t="shared" si="23"/>
        <v>0.383799245212506</v>
      </c>
      <c r="AA122" s="22">
        <f t="shared" si="24"/>
        <v>0.0615388888888888</v>
      </c>
      <c r="AB122" s="76">
        <f t="shared" si="25"/>
        <v>0.137417187530308</v>
      </c>
      <c r="AC122" s="77">
        <f t="shared" si="26"/>
        <v>0.0655352330564558</v>
      </c>
      <c r="AD122" s="77">
        <f t="shared" si="27"/>
        <v>0</v>
      </c>
      <c r="AE122" s="77">
        <f t="shared" si="28"/>
        <v>0.848858485107105</v>
      </c>
      <c r="AF122" s="78">
        <v>0</v>
      </c>
      <c r="AG122" s="83">
        <f t="shared" si="29"/>
        <v>0.54766331754386</v>
      </c>
      <c r="AH122" s="84">
        <f t="shared" si="30"/>
        <v>0</v>
      </c>
      <c r="AI122" s="85">
        <f t="shared" si="31"/>
        <v>0</v>
      </c>
      <c r="AJ122" s="85">
        <f t="shared" si="32"/>
        <v>0</v>
      </c>
    </row>
    <row r="123" spans="1:36">
      <c r="A123" s="17">
        <v>119</v>
      </c>
      <c r="B123" s="18" t="s">
        <v>290</v>
      </c>
      <c r="C123" s="19" t="s">
        <v>291</v>
      </c>
      <c r="D123" s="20" t="s">
        <v>86</v>
      </c>
      <c r="E123" s="55">
        <v>0.052</v>
      </c>
      <c r="F123" s="55">
        <v>0.0546</v>
      </c>
      <c r="G123" s="21">
        <v>13.7168</v>
      </c>
      <c r="H123" s="56">
        <v>0.95</v>
      </c>
      <c r="I123" s="21">
        <f t="shared" si="19"/>
        <v>0.788355031578947</v>
      </c>
      <c r="J123" s="20" t="s">
        <v>65</v>
      </c>
      <c r="K123" s="21">
        <v>48</v>
      </c>
      <c r="L123" s="61">
        <v>75</v>
      </c>
      <c r="M123" s="20">
        <v>2</v>
      </c>
      <c r="N123" s="20">
        <v>48.5</v>
      </c>
      <c r="O123" s="20">
        <v>0.76</v>
      </c>
      <c r="P123" s="20">
        <v>22.5</v>
      </c>
      <c r="Q123" s="21">
        <f t="shared" si="20"/>
        <v>0.234375</v>
      </c>
      <c r="R123" s="21">
        <v>0</v>
      </c>
      <c r="S123" s="31">
        <v>0.106571111111111</v>
      </c>
      <c r="T123" s="31">
        <v>0.222222222222222</v>
      </c>
      <c r="U123" s="20">
        <v>0</v>
      </c>
      <c r="V123" s="21">
        <f t="shared" si="33"/>
        <v>1.74808513338873</v>
      </c>
      <c r="W123" s="20">
        <v>2.56</v>
      </c>
      <c r="X123" s="62">
        <f t="shared" si="21"/>
        <v>-0.811914866611265</v>
      </c>
      <c r="Y123" s="75">
        <f t="shared" si="22"/>
        <v>0.127123226425154</v>
      </c>
      <c r="Z123" s="76">
        <f t="shared" si="23"/>
        <v>0.13407527787028</v>
      </c>
      <c r="AA123" s="22">
        <f t="shared" si="24"/>
        <v>0.191979166666667</v>
      </c>
      <c r="AB123" s="76">
        <f t="shared" si="25"/>
        <v>0.109822549828856</v>
      </c>
      <c r="AC123" s="77">
        <f t="shared" si="26"/>
        <v>0.0609644856967112</v>
      </c>
      <c r="AD123" s="77">
        <f t="shared" si="27"/>
        <v>0</v>
      </c>
      <c r="AE123" s="77">
        <f t="shared" si="28"/>
        <v>0.549017941677309</v>
      </c>
      <c r="AF123" s="78"/>
      <c r="AG123" s="83">
        <f t="shared" si="29"/>
        <v>2.15085713070175</v>
      </c>
      <c r="AH123" s="84">
        <f t="shared" si="30"/>
        <v>0</v>
      </c>
      <c r="AI123" s="85">
        <f t="shared" si="31"/>
        <v>0</v>
      </c>
      <c r="AJ123" s="85">
        <f t="shared" si="32"/>
        <v>0</v>
      </c>
    </row>
    <row r="124" ht="28" spans="1:36">
      <c r="A124" s="17">
        <v>120</v>
      </c>
      <c r="B124" s="18" t="s">
        <v>292</v>
      </c>
      <c r="C124" s="19" t="s">
        <v>293</v>
      </c>
      <c r="D124" s="20" t="s">
        <v>86</v>
      </c>
      <c r="E124" s="55">
        <v>0.038</v>
      </c>
      <c r="F124" s="55">
        <v>0.0399</v>
      </c>
      <c r="G124" s="21">
        <v>13.7168</v>
      </c>
      <c r="H124" s="56">
        <v>0.95</v>
      </c>
      <c r="I124" s="21">
        <f t="shared" si="19"/>
        <v>0.5761056</v>
      </c>
      <c r="J124" s="20" t="s">
        <v>65</v>
      </c>
      <c r="K124" s="21">
        <v>51.4285714285715</v>
      </c>
      <c r="L124" s="61">
        <v>69.9999999999999</v>
      </c>
      <c r="M124" s="20">
        <v>2</v>
      </c>
      <c r="N124" s="20">
        <v>48.5</v>
      </c>
      <c r="O124" s="20">
        <v>0.76</v>
      </c>
      <c r="P124" s="20">
        <v>22.5</v>
      </c>
      <c r="Q124" s="21">
        <f t="shared" si="20"/>
        <v>0.21875</v>
      </c>
      <c r="R124" s="21">
        <v>0</v>
      </c>
      <c r="S124" s="31">
        <v>0.084124</v>
      </c>
      <c r="T124" s="31">
        <v>0.2</v>
      </c>
      <c r="U124" s="20">
        <v>0</v>
      </c>
      <c r="V124" s="21">
        <f t="shared" si="33"/>
        <v>1.42220835017544</v>
      </c>
      <c r="W124" s="20">
        <v>2.25</v>
      </c>
      <c r="X124" s="62">
        <f t="shared" si="21"/>
        <v>-0.827791649824562</v>
      </c>
      <c r="Y124" s="75">
        <f t="shared" si="22"/>
        <v>0.140626371639098</v>
      </c>
      <c r="Z124" s="76">
        <f t="shared" si="23"/>
        <v>0.153810093980264</v>
      </c>
      <c r="AA124" s="22">
        <f t="shared" si="24"/>
        <v>0.179180555555555</v>
      </c>
      <c r="AB124" s="76">
        <f t="shared" si="25"/>
        <v>0.125987556980278</v>
      </c>
      <c r="AC124" s="77">
        <f t="shared" si="26"/>
        <v>0.0591502644388375</v>
      </c>
      <c r="AD124" s="77">
        <f t="shared" si="27"/>
        <v>0</v>
      </c>
      <c r="AE124" s="77">
        <f t="shared" si="28"/>
        <v>0.594921798955172</v>
      </c>
      <c r="AF124" s="78"/>
      <c r="AG124" s="83">
        <f t="shared" si="29"/>
        <v>1.74517823333333</v>
      </c>
      <c r="AH124" s="84">
        <f t="shared" si="30"/>
        <v>0</v>
      </c>
      <c r="AI124" s="85">
        <f t="shared" si="31"/>
        <v>0</v>
      </c>
      <c r="AJ124" s="85">
        <f t="shared" si="32"/>
        <v>0</v>
      </c>
    </row>
    <row r="125" ht="42" spans="1:38">
      <c r="A125" s="17">
        <v>121</v>
      </c>
      <c r="B125" s="18" t="s">
        <v>294</v>
      </c>
      <c r="C125" s="19" t="s">
        <v>295</v>
      </c>
      <c r="D125" s="20" t="s">
        <v>86</v>
      </c>
      <c r="E125" s="55">
        <f>0.56/1000</f>
        <v>0.00056</v>
      </c>
      <c r="F125" s="55">
        <f t="shared" si="38"/>
        <v>0.0005768</v>
      </c>
      <c r="G125" s="21">
        <v>13.7168</v>
      </c>
      <c r="H125" s="56">
        <v>0.8</v>
      </c>
      <c r="I125" s="21">
        <f t="shared" si="19"/>
        <v>0.0098898128</v>
      </c>
      <c r="J125" s="20" t="s">
        <v>120</v>
      </c>
      <c r="K125" s="21">
        <v>48</v>
      </c>
      <c r="L125" s="61">
        <v>75</v>
      </c>
      <c r="M125" s="20">
        <v>2</v>
      </c>
      <c r="N125" s="20">
        <v>39.75</v>
      </c>
      <c r="O125" s="20">
        <v>0.76</v>
      </c>
      <c r="P125" s="20">
        <v>22.5</v>
      </c>
      <c r="Q125" s="21">
        <f t="shared" si="20"/>
        <v>0.234375</v>
      </c>
      <c r="R125" s="21">
        <v>0</v>
      </c>
      <c r="S125" s="31">
        <v>0.00477055555555556</v>
      </c>
      <c r="T125" s="31">
        <v>0.0111111111111111</v>
      </c>
      <c r="U125" s="20">
        <v>0</v>
      </c>
      <c r="V125" s="21">
        <f t="shared" si="33"/>
        <v>0.573113547551667</v>
      </c>
      <c r="W125" s="20">
        <v>0.59</v>
      </c>
      <c r="X125" s="62">
        <f t="shared" si="21"/>
        <v>-0.0168864524483332</v>
      </c>
      <c r="Y125" s="75">
        <f t="shared" si="22"/>
        <v>0.0193872770214168</v>
      </c>
      <c r="Z125" s="76">
        <f t="shared" si="23"/>
        <v>0.408950374670511</v>
      </c>
      <c r="AA125" s="22">
        <f t="shared" si="24"/>
        <v>0.15734375</v>
      </c>
      <c r="AB125" s="76">
        <f t="shared" si="25"/>
        <v>0.27454201819547</v>
      </c>
      <c r="AC125" s="77">
        <f t="shared" si="26"/>
        <v>0.00832392738914532</v>
      </c>
      <c r="AD125" s="77">
        <f t="shared" si="27"/>
        <v>0</v>
      </c>
      <c r="AE125" s="77">
        <f t="shared" si="28"/>
        <v>0.98274371136008</v>
      </c>
      <c r="AF125" s="78">
        <v>135954</v>
      </c>
      <c r="AG125" s="83">
        <f t="shared" si="29"/>
        <v>0.618294510866667</v>
      </c>
      <c r="AH125" s="84">
        <f t="shared" si="30"/>
        <v>84059.6119303668</v>
      </c>
      <c r="AI125" s="85">
        <f t="shared" si="31"/>
        <v>77917.0792438393</v>
      </c>
      <c r="AJ125" s="85">
        <f t="shared" si="32"/>
        <v>80212.86</v>
      </c>
      <c r="AK125" s="1">
        <f t="shared" si="36"/>
        <v>62.5183229824802</v>
      </c>
      <c r="AL125" s="49">
        <f t="shared" si="37"/>
        <v>0.0479567980790966</v>
      </c>
    </row>
    <row r="126" ht="56" spans="1:38">
      <c r="A126" s="17">
        <v>122</v>
      </c>
      <c r="B126" s="18" t="s">
        <v>296</v>
      </c>
      <c r="C126" s="19" t="s">
        <v>297</v>
      </c>
      <c r="D126" s="20" t="s">
        <v>86</v>
      </c>
      <c r="E126" s="55">
        <v>0.004</v>
      </c>
      <c r="F126" s="55">
        <f t="shared" si="38"/>
        <v>0.00412</v>
      </c>
      <c r="G126" s="21">
        <v>13.7168</v>
      </c>
      <c r="H126" s="56">
        <v>0.8</v>
      </c>
      <c r="I126" s="21">
        <f t="shared" si="19"/>
        <v>0.07064152</v>
      </c>
      <c r="J126" s="20" t="s">
        <v>120</v>
      </c>
      <c r="K126" s="21">
        <v>48</v>
      </c>
      <c r="L126" s="61">
        <v>75</v>
      </c>
      <c r="M126" s="20">
        <v>2</v>
      </c>
      <c r="N126" s="20">
        <v>39.75</v>
      </c>
      <c r="O126" s="20">
        <v>0.76</v>
      </c>
      <c r="P126" s="20">
        <v>22.5</v>
      </c>
      <c r="Q126" s="21">
        <f t="shared" si="20"/>
        <v>0.234375</v>
      </c>
      <c r="R126" s="21">
        <v>0</v>
      </c>
      <c r="S126" s="31">
        <v>0.106571111111111</v>
      </c>
      <c r="T126" s="31">
        <v>0.222222222222222</v>
      </c>
      <c r="U126" s="20">
        <v>0</v>
      </c>
      <c r="V126" s="21">
        <f t="shared" si="33"/>
        <v>0.970318207958333</v>
      </c>
      <c r="W126" s="20">
        <v>1.27</v>
      </c>
      <c r="X126" s="62">
        <f t="shared" si="21"/>
        <v>-0.299681792041667</v>
      </c>
      <c r="Y126" s="75">
        <f t="shared" si="22"/>
        <v>0.229019944590965</v>
      </c>
      <c r="Z126" s="76">
        <f t="shared" si="23"/>
        <v>0.241544472810784</v>
      </c>
      <c r="AA126" s="22">
        <f t="shared" si="24"/>
        <v>0.15734375</v>
      </c>
      <c r="AB126" s="76">
        <f t="shared" si="25"/>
        <v>0.162156856080306</v>
      </c>
      <c r="AC126" s="77">
        <f t="shared" si="26"/>
        <v>0.109831094827489</v>
      </c>
      <c r="AD126" s="77">
        <f t="shared" si="27"/>
        <v>0</v>
      </c>
      <c r="AE126" s="77">
        <f t="shared" si="28"/>
        <v>0.927197573517003</v>
      </c>
      <c r="AF126" s="78">
        <v>68706</v>
      </c>
      <c r="AG126" s="83">
        <f t="shared" si="29"/>
        <v>1.02233373833333</v>
      </c>
      <c r="AH126" s="84">
        <f t="shared" si="30"/>
        <v>70240.4618259298</v>
      </c>
      <c r="AI126" s="85">
        <f t="shared" si="31"/>
        <v>66666.6827959852</v>
      </c>
      <c r="AJ126" s="85">
        <f t="shared" si="32"/>
        <v>87256.62</v>
      </c>
      <c r="AK126" s="1">
        <f t="shared" si="36"/>
        <v>14.4721367594204</v>
      </c>
      <c r="AL126" s="49">
        <f t="shared" si="37"/>
        <v>-0.195012804461945</v>
      </c>
    </row>
    <row r="127" ht="42" spans="1:38">
      <c r="A127" s="17">
        <v>123</v>
      </c>
      <c r="B127" s="18" t="s">
        <v>298</v>
      </c>
      <c r="C127" s="19" t="s">
        <v>299</v>
      </c>
      <c r="D127" s="20" t="s">
        <v>86</v>
      </c>
      <c r="E127" s="55">
        <v>0.085</v>
      </c>
      <c r="F127" s="55">
        <v>0.08925</v>
      </c>
      <c r="G127" s="21">
        <v>13.7168</v>
      </c>
      <c r="H127" s="56">
        <v>0.95</v>
      </c>
      <c r="I127" s="21">
        <f t="shared" si="19"/>
        <v>1.28865726315789</v>
      </c>
      <c r="J127" s="20" t="s">
        <v>120</v>
      </c>
      <c r="K127" s="21">
        <v>48</v>
      </c>
      <c r="L127" s="61">
        <v>75</v>
      </c>
      <c r="M127" s="20">
        <v>2</v>
      </c>
      <c r="N127" s="20">
        <v>39.75</v>
      </c>
      <c r="O127" s="20">
        <v>0.76</v>
      </c>
      <c r="P127" s="20">
        <v>22.5</v>
      </c>
      <c r="Q127" s="21">
        <f t="shared" si="20"/>
        <v>0.234375</v>
      </c>
      <c r="R127" s="21">
        <v>0</v>
      </c>
      <c r="S127" s="31">
        <v>0.106571111111111</v>
      </c>
      <c r="T127" s="31">
        <v>0.222222222222222</v>
      </c>
      <c r="U127" s="20">
        <v>0</v>
      </c>
      <c r="V127" s="21">
        <f t="shared" si="33"/>
        <v>2.29218004344414</v>
      </c>
      <c r="W127" s="20">
        <v>2.98</v>
      </c>
      <c r="X127" s="62">
        <f t="shared" si="21"/>
        <v>-0.687819956555864</v>
      </c>
      <c r="Y127" s="75">
        <f t="shared" si="22"/>
        <v>0.0969479787845635</v>
      </c>
      <c r="Z127" s="76">
        <f t="shared" si="23"/>
        <v>0.102249821374344</v>
      </c>
      <c r="AA127" s="22">
        <f t="shared" si="24"/>
        <v>0.15734375</v>
      </c>
      <c r="AB127" s="76">
        <f t="shared" si="25"/>
        <v>0.0686437134159766</v>
      </c>
      <c r="AC127" s="77">
        <f t="shared" si="26"/>
        <v>0.0464933421857131</v>
      </c>
      <c r="AD127" s="77">
        <f t="shared" si="27"/>
        <v>0</v>
      </c>
      <c r="AE127" s="77">
        <f t="shared" si="28"/>
        <v>0.437802773458576</v>
      </c>
      <c r="AF127" s="78">
        <v>912</v>
      </c>
      <c r="AG127" s="83">
        <f t="shared" si="29"/>
        <v>2.84935735307017</v>
      </c>
      <c r="AH127" s="84">
        <f t="shared" si="30"/>
        <v>2598.613906</v>
      </c>
      <c r="AI127" s="85">
        <f t="shared" si="31"/>
        <v>2090.46819962105</v>
      </c>
      <c r="AJ127" s="85">
        <f t="shared" si="32"/>
        <v>2717.76</v>
      </c>
      <c r="AK127" s="1">
        <f t="shared" si="36"/>
        <v>2.21110564812846</v>
      </c>
      <c r="AL127" s="49">
        <f t="shared" si="37"/>
        <v>-0.0438398144059832</v>
      </c>
    </row>
    <row r="128" spans="1:38">
      <c r="A128" s="17">
        <v>124</v>
      </c>
      <c r="B128" s="88" t="s">
        <v>300</v>
      </c>
      <c r="C128" s="89" t="s">
        <v>301</v>
      </c>
      <c r="D128" s="20" t="s">
        <v>43</v>
      </c>
      <c r="E128" s="55">
        <v>0</v>
      </c>
      <c r="F128" s="55">
        <v>0.00159</v>
      </c>
      <c r="G128" s="21">
        <v>15.3097</v>
      </c>
      <c r="H128" s="56">
        <v>0.98</v>
      </c>
      <c r="I128" s="21">
        <f t="shared" si="19"/>
        <v>0.0248392071428571</v>
      </c>
      <c r="J128" s="20" t="s">
        <v>44</v>
      </c>
      <c r="K128" s="21">
        <v>65</v>
      </c>
      <c r="L128" s="61">
        <v>55.3846153846154</v>
      </c>
      <c r="M128" s="20">
        <v>4</v>
      </c>
      <c r="N128" s="20">
        <v>27.15</v>
      </c>
      <c r="O128" s="20">
        <v>0.76</v>
      </c>
      <c r="P128" s="20">
        <v>22.5</v>
      </c>
      <c r="Q128" s="21">
        <f t="shared" si="20"/>
        <v>0.0865384615384615</v>
      </c>
      <c r="R128" s="21">
        <v>0</v>
      </c>
      <c r="S128" s="31">
        <v>0.00477055555555556</v>
      </c>
      <c r="T128" s="31">
        <v>0.0111111111111111</v>
      </c>
      <c r="U128" s="20">
        <v>0</v>
      </c>
      <c r="V128" s="21">
        <f t="shared" si="33"/>
        <v>0.186978468791583</v>
      </c>
      <c r="W128" s="20">
        <v>0.35</v>
      </c>
      <c r="X128" s="62">
        <f t="shared" si="21"/>
        <v>-0.163021531208417</v>
      </c>
      <c r="Y128" s="75">
        <f t="shared" si="22"/>
        <v>0.0594245486280894</v>
      </c>
      <c r="Z128" s="76">
        <f t="shared" si="23"/>
        <v>0.462825811430312</v>
      </c>
      <c r="AA128" s="22">
        <f t="shared" si="24"/>
        <v>0.0396807692307692</v>
      </c>
      <c r="AB128" s="76">
        <f t="shared" si="25"/>
        <v>0.212221062067846</v>
      </c>
      <c r="AC128" s="77">
        <f t="shared" si="26"/>
        <v>0.0255139299534703</v>
      </c>
      <c r="AD128" s="77">
        <f t="shared" si="27"/>
        <v>0</v>
      </c>
      <c r="AE128" s="77">
        <f t="shared" si="28"/>
        <v>0.867154719453049</v>
      </c>
      <c r="AF128" s="78">
        <v>71365</v>
      </c>
      <c r="AG128" s="83">
        <f t="shared" si="29"/>
        <v>0.242469323534798</v>
      </c>
      <c r="AH128" s="84">
        <f t="shared" si="30"/>
        <v>17303.8232740609</v>
      </c>
      <c r="AI128" s="85">
        <f t="shared" si="31"/>
        <v>13343.7184253113</v>
      </c>
      <c r="AJ128" s="85">
        <f t="shared" si="32"/>
        <v>24977.75</v>
      </c>
      <c r="AK128" s="1">
        <f t="shared" si="36"/>
        <v>9.76155648367882</v>
      </c>
      <c r="AL128" s="49">
        <f t="shared" si="37"/>
        <v>-0.307230504186291</v>
      </c>
    </row>
    <row r="129" spans="1:38">
      <c r="A129" s="17">
        <v>125</v>
      </c>
      <c r="B129" s="88" t="s">
        <v>302</v>
      </c>
      <c r="C129" s="89" t="s">
        <v>303</v>
      </c>
      <c r="D129" s="20" t="s">
        <v>43</v>
      </c>
      <c r="E129" s="55">
        <v>0</v>
      </c>
      <c r="F129" s="55">
        <v>0.0037</v>
      </c>
      <c r="G129" s="21">
        <v>15.3097</v>
      </c>
      <c r="H129" s="56">
        <v>0.98</v>
      </c>
      <c r="I129" s="21">
        <f t="shared" si="19"/>
        <v>0.0578019285714286</v>
      </c>
      <c r="J129" s="20" t="s">
        <v>44</v>
      </c>
      <c r="K129" s="21">
        <v>65</v>
      </c>
      <c r="L129" s="61">
        <v>55.3846153846154</v>
      </c>
      <c r="M129" s="20">
        <v>4</v>
      </c>
      <c r="N129" s="20">
        <v>27.15</v>
      </c>
      <c r="O129" s="20">
        <v>0.76</v>
      </c>
      <c r="P129" s="20">
        <v>22.5</v>
      </c>
      <c r="Q129" s="21">
        <f t="shared" si="20"/>
        <v>0.0865384615384615</v>
      </c>
      <c r="R129" s="21">
        <v>0</v>
      </c>
      <c r="S129" s="31">
        <v>0.00477055555555556</v>
      </c>
      <c r="T129" s="31">
        <v>0.0111111111111111</v>
      </c>
      <c r="U129" s="20">
        <v>0</v>
      </c>
      <c r="V129" s="21">
        <f t="shared" si="33"/>
        <v>0.224313796123944</v>
      </c>
      <c r="W129" s="20">
        <v>0.4</v>
      </c>
      <c r="X129" s="62">
        <f t="shared" si="21"/>
        <v>-0.175686203876056</v>
      </c>
      <c r="Y129" s="75">
        <f t="shared" si="22"/>
        <v>0.0495337839361948</v>
      </c>
      <c r="Z129" s="76">
        <f t="shared" si="23"/>
        <v>0.385791971041518</v>
      </c>
      <c r="AA129" s="22">
        <f t="shared" si="24"/>
        <v>0.0396807692307692</v>
      </c>
      <c r="AB129" s="76">
        <f t="shared" si="25"/>
        <v>0.176898478454904</v>
      </c>
      <c r="AC129" s="77">
        <f t="shared" si="26"/>
        <v>0.0212673301330053</v>
      </c>
      <c r="AD129" s="77">
        <f t="shared" si="27"/>
        <v>0</v>
      </c>
      <c r="AE129" s="77">
        <f t="shared" si="28"/>
        <v>0.742316658314274</v>
      </c>
      <c r="AF129" s="78">
        <v>37700</v>
      </c>
      <c r="AG129" s="83">
        <f t="shared" si="29"/>
        <v>0.291913405677656</v>
      </c>
      <c r="AH129" s="84">
        <f t="shared" si="30"/>
        <v>11005.1353940476</v>
      </c>
      <c r="AI129" s="85">
        <f t="shared" si="31"/>
        <v>8456.63011387269</v>
      </c>
      <c r="AJ129" s="85">
        <f t="shared" si="32"/>
        <v>15080</v>
      </c>
      <c r="AK129" s="1">
        <f t="shared" si="36"/>
        <v>5.0502364348782</v>
      </c>
      <c r="AL129" s="49">
        <f t="shared" si="37"/>
        <v>-0.27021648580586</v>
      </c>
    </row>
    <row r="130" spans="1:38">
      <c r="A130" s="17">
        <v>126</v>
      </c>
      <c r="B130" s="88" t="s">
        <v>304</v>
      </c>
      <c r="C130" s="89" t="s">
        <v>305</v>
      </c>
      <c r="D130" s="20" t="s">
        <v>43</v>
      </c>
      <c r="E130" s="55">
        <v>0</v>
      </c>
      <c r="F130" s="55">
        <v>0.00232</v>
      </c>
      <c r="G130" s="21">
        <v>15.3097</v>
      </c>
      <c r="H130" s="56">
        <v>0.98</v>
      </c>
      <c r="I130" s="21">
        <f t="shared" si="19"/>
        <v>0.0362433714285714</v>
      </c>
      <c r="J130" s="20" t="s">
        <v>44</v>
      </c>
      <c r="K130" s="21">
        <v>65</v>
      </c>
      <c r="L130" s="61">
        <v>55.3846153846154</v>
      </c>
      <c r="M130" s="20">
        <v>8</v>
      </c>
      <c r="N130" s="20">
        <v>27.15</v>
      </c>
      <c r="O130" s="20">
        <v>0.76</v>
      </c>
      <c r="P130" s="20">
        <v>22.5</v>
      </c>
      <c r="Q130" s="21">
        <f t="shared" si="20"/>
        <v>0.0432692307692308</v>
      </c>
      <c r="R130" s="21">
        <v>0</v>
      </c>
      <c r="S130" s="31">
        <v>0.00477055555555556</v>
      </c>
      <c r="T130" s="31">
        <v>0.0111111111111111</v>
      </c>
      <c r="U130" s="20">
        <v>0</v>
      </c>
      <c r="V130" s="21">
        <f t="shared" si="33"/>
        <v>0.128414131322419</v>
      </c>
      <c r="W130" s="20">
        <v>0.17</v>
      </c>
      <c r="X130" s="62">
        <f t="shared" si="21"/>
        <v>-0.0415858686775809</v>
      </c>
      <c r="Y130" s="75">
        <f t="shared" si="22"/>
        <v>0.0865256105125501</v>
      </c>
      <c r="Z130" s="76">
        <f t="shared" si="23"/>
        <v>0.336950694784451</v>
      </c>
      <c r="AA130" s="22">
        <f t="shared" si="24"/>
        <v>0.0198403846153846</v>
      </c>
      <c r="AB130" s="76">
        <f t="shared" si="25"/>
        <v>0.154503125248496</v>
      </c>
      <c r="AC130" s="77">
        <f t="shared" si="26"/>
        <v>0.0371497708735635</v>
      </c>
      <c r="AD130" s="77">
        <f t="shared" si="27"/>
        <v>0</v>
      </c>
      <c r="AE130" s="77">
        <f t="shared" si="28"/>
        <v>0.717761814409876</v>
      </c>
      <c r="AF130" s="78">
        <v>34230</v>
      </c>
      <c r="AG130" s="83">
        <f t="shared" si="29"/>
        <v>0.164911146886447</v>
      </c>
      <c r="AH130" s="84">
        <f t="shared" si="30"/>
        <v>5644.90855792308</v>
      </c>
      <c r="AI130" s="85">
        <f t="shared" si="31"/>
        <v>4395.61571516641</v>
      </c>
      <c r="AJ130" s="85">
        <f t="shared" si="32"/>
        <v>5819.1</v>
      </c>
      <c r="AK130" s="1">
        <f t="shared" si="36"/>
        <v>4.55010503676389</v>
      </c>
      <c r="AL130" s="49">
        <f t="shared" si="37"/>
        <v>-0.0299344300797236</v>
      </c>
    </row>
    <row r="131" spans="1:38">
      <c r="A131" s="17">
        <v>127</v>
      </c>
      <c r="B131" s="88" t="s">
        <v>306</v>
      </c>
      <c r="C131" s="89" t="s">
        <v>307</v>
      </c>
      <c r="D131" s="20" t="s">
        <v>59</v>
      </c>
      <c r="E131" s="55">
        <v>0</v>
      </c>
      <c r="F131" s="55">
        <v>0.0033</v>
      </c>
      <c r="G131" s="21">
        <v>18.5841</v>
      </c>
      <c r="H131" s="56">
        <v>0.98</v>
      </c>
      <c r="I131" s="21">
        <f t="shared" si="19"/>
        <v>0.062579112244898</v>
      </c>
      <c r="J131" s="20" t="s">
        <v>44</v>
      </c>
      <c r="K131" s="21">
        <v>65</v>
      </c>
      <c r="L131" s="61">
        <v>55.3846153846154</v>
      </c>
      <c r="M131" s="20">
        <v>3</v>
      </c>
      <c r="N131" s="20">
        <v>27.15</v>
      </c>
      <c r="O131" s="20">
        <v>0.76</v>
      </c>
      <c r="P131" s="20">
        <v>22.5</v>
      </c>
      <c r="Q131" s="21">
        <f t="shared" si="20"/>
        <v>0.115384615384615</v>
      </c>
      <c r="R131" s="21">
        <v>0</v>
      </c>
      <c r="S131" s="31">
        <v>0.00477055555555556</v>
      </c>
      <c r="T131" s="31">
        <v>0.0111111111111111</v>
      </c>
      <c r="U131" s="20">
        <v>0.2</v>
      </c>
      <c r="V131" s="21">
        <f t="shared" si="33"/>
        <v>0.477378887207787</v>
      </c>
      <c r="W131" s="20">
        <v>0.39</v>
      </c>
      <c r="X131" s="62">
        <f t="shared" si="21"/>
        <v>0.0873788872077869</v>
      </c>
      <c r="Y131" s="75">
        <f t="shared" si="22"/>
        <v>0.0232752461595035</v>
      </c>
      <c r="Z131" s="76">
        <f t="shared" si="23"/>
        <v>0.24170447934869</v>
      </c>
      <c r="AA131" s="22">
        <f t="shared" si="24"/>
        <v>0.0529076923076923</v>
      </c>
      <c r="AB131" s="76">
        <f t="shared" si="25"/>
        <v>0.110829560597353</v>
      </c>
      <c r="AC131" s="77">
        <f t="shared" si="26"/>
        <v>0.00999322693858285</v>
      </c>
      <c r="AD131" s="77">
        <f t="shared" si="27"/>
        <v>0.418954430871064</v>
      </c>
      <c r="AE131" s="77">
        <f t="shared" si="28"/>
        <v>0.868911018225112</v>
      </c>
      <c r="AF131" s="78">
        <v>22678</v>
      </c>
      <c r="AG131" s="83">
        <f t="shared" si="29"/>
        <v>0.562188796572475</v>
      </c>
      <c r="AH131" s="84">
        <f t="shared" si="30"/>
        <v>12749.3175286706</v>
      </c>
      <c r="AI131" s="85">
        <f t="shared" si="31"/>
        <v>10825.9984040982</v>
      </c>
      <c r="AJ131" s="85">
        <f t="shared" si="32"/>
        <v>8844.42</v>
      </c>
      <c r="AK131" s="1">
        <f t="shared" si="36"/>
        <v>8.98364927857074</v>
      </c>
      <c r="AL131" s="49">
        <f t="shared" si="37"/>
        <v>0.441509734801218</v>
      </c>
    </row>
    <row r="132" spans="1:38">
      <c r="A132" s="17">
        <v>128</v>
      </c>
      <c r="B132" s="88" t="s">
        <v>308</v>
      </c>
      <c r="C132" s="89" t="s">
        <v>309</v>
      </c>
      <c r="D132" s="20" t="s">
        <v>59</v>
      </c>
      <c r="E132" s="55">
        <v>0</v>
      </c>
      <c r="F132" s="55">
        <v>0.0033</v>
      </c>
      <c r="G132" s="21">
        <v>18.5841</v>
      </c>
      <c r="H132" s="56">
        <v>0.98</v>
      </c>
      <c r="I132" s="21">
        <f t="shared" si="19"/>
        <v>0.062579112244898</v>
      </c>
      <c r="J132" s="20" t="s">
        <v>44</v>
      </c>
      <c r="K132" s="21">
        <v>65</v>
      </c>
      <c r="L132" s="61">
        <v>55.3846153846154</v>
      </c>
      <c r="M132" s="20">
        <v>3</v>
      </c>
      <c r="N132" s="20">
        <v>27.15</v>
      </c>
      <c r="O132" s="20">
        <v>0.76</v>
      </c>
      <c r="P132" s="20">
        <v>22.5</v>
      </c>
      <c r="Q132" s="21">
        <f t="shared" si="20"/>
        <v>0.115384615384615</v>
      </c>
      <c r="R132" s="21">
        <v>0</v>
      </c>
      <c r="S132" s="31">
        <v>0.00477055555555556</v>
      </c>
      <c r="T132" s="31">
        <v>0.0111111111111111</v>
      </c>
      <c r="U132" s="20">
        <v>0.2</v>
      </c>
      <c r="V132" s="21">
        <f t="shared" si="33"/>
        <v>0.477378887207787</v>
      </c>
      <c r="W132" s="20">
        <v>0.39</v>
      </c>
      <c r="X132" s="62">
        <f t="shared" si="21"/>
        <v>0.0873788872077869</v>
      </c>
      <c r="Y132" s="75">
        <f t="shared" si="22"/>
        <v>0.0232752461595035</v>
      </c>
      <c r="Z132" s="76">
        <f t="shared" si="23"/>
        <v>0.24170447934869</v>
      </c>
      <c r="AA132" s="22">
        <f t="shared" si="24"/>
        <v>0.0529076923076923</v>
      </c>
      <c r="AB132" s="76">
        <f t="shared" si="25"/>
        <v>0.110829560597353</v>
      </c>
      <c r="AC132" s="77">
        <f t="shared" si="26"/>
        <v>0.00999322693858285</v>
      </c>
      <c r="AD132" s="77">
        <f t="shared" si="27"/>
        <v>0.418954430871064</v>
      </c>
      <c r="AE132" s="77">
        <f t="shared" si="28"/>
        <v>0.868911018225112</v>
      </c>
      <c r="AF132" s="78">
        <v>23729</v>
      </c>
      <c r="AG132" s="83">
        <f t="shared" si="29"/>
        <v>0.562188796572475</v>
      </c>
      <c r="AH132" s="84">
        <f t="shared" si="30"/>
        <v>13340.1779538683</v>
      </c>
      <c r="AI132" s="85">
        <f t="shared" si="31"/>
        <v>11327.7236145536</v>
      </c>
      <c r="AJ132" s="85">
        <f t="shared" si="32"/>
        <v>9254.31</v>
      </c>
      <c r="AK132" s="1">
        <f t="shared" si="36"/>
        <v>8.98364927857074</v>
      </c>
      <c r="AL132" s="49">
        <f t="shared" si="37"/>
        <v>0.441509734801218</v>
      </c>
    </row>
    <row r="133" spans="1:38">
      <c r="A133" s="17">
        <v>129</v>
      </c>
      <c r="B133" s="88" t="s">
        <v>310</v>
      </c>
      <c r="C133" s="89" t="s">
        <v>311</v>
      </c>
      <c r="D133" s="20" t="s">
        <v>59</v>
      </c>
      <c r="E133" s="55">
        <v>0</v>
      </c>
      <c r="F133" s="55">
        <v>0.0033</v>
      </c>
      <c r="G133" s="21">
        <v>18.5841</v>
      </c>
      <c r="H133" s="56">
        <v>0.98</v>
      </c>
      <c r="I133" s="21">
        <f t="shared" ref="I133:I146" si="39">F133*G133/H133</f>
        <v>0.062579112244898</v>
      </c>
      <c r="J133" s="20" t="s">
        <v>44</v>
      </c>
      <c r="K133" s="21">
        <v>65</v>
      </c>
      <c r="L133" s="61">
        <v>55.3846153846154</v>
      </c>
      <c r="M133" s="20">
        <v>3</v>
      </c>
      <c r="N133" s="20">
        <v>27.15</v>
      </c>
      <c r="O133" s="20">
        <v>0.76</v>
      </c>
      <c r="P133" s="20">
        <v>22.5</v>
      </c>
      <c r="Q133" s="21">
        <f t="shared" ref="Q133:Q147" si="40">P133/K133/M133</f>
        <v>0.115384615384615</v>
      </c>
      <c r="R133" s="21">
        <v>0</v>
      </c>
      <c r="S133" s="31">
        <v>0.00477055555555556</v>
      </c>
      <c r="T133" s="31">
        <v>0.0111111111111111</v>
      </c>
      <c r="U133" s="20">
        <v>0.2</v>
      </c>
      <c r="V133" s="21">
        <f t="shared" si="33"/>
        <v>0.477378887207787</v>
      </c>
      <c r="W133" s="20">
        <v>0.39</v>
      </c>
      <c r="X133" s="62">
        <f t="shared" ref="X133:X169" si="41">V133-W133</f>
        <v>0.0873788872077869</v>
      </c>
      <c r="Y133" s="75">
        <f t="shared" ref="Y133:Y169" si="42">T133/V133</f>
        <v>0.0232752461595035</v>
      </c>
      <c r="Z133" s="76">
        <f t="shared" ref="Z133:Z169" si="43">Q133/V133</f>
        <v>0.24170447934869</v>
      </c>
      <c r="AA133" s="22">
        <f t="shared" ref="AA133:AA169" si="44">(N133*O133/K133/M133)/2</f>
        <v>0.0529076923076923</v>
      </c>
      <c r="AB133" s="76">
        <f t="shared" ref="AB133:AB169" si="45">AA133/V133</f>
        <v>0.110829560597353</v>
      </c>
      <c r="AC133" s="77">
        <f t="shared" ref="AC133:AC169" si="46">S133/V133</f>
        <v>0.00999322693858285</v>
      </c>
      <c r="AD133" s="77">
        <f t="shared" ref="AD133:AD169" si="47">U133/V133</f>
        <v>0.418954430871064</v>
      </c>
      <c r="AE133" s="77">
        <f t="shared" ref="AE133:AE169" si="48">1-I133/V133</f>
        <v>0.868911018225112</v>
      </c>
      <c r="AF133" s="78">
        <v>4480</v>
      </c>
      <c r="AG133" s="83">
        <f t="shared" ref="AG133:AG169" si="49">(I133+Q133+(N133*O133/K133/M133)/2)*1.5+R133*1.1+S133+T133+U133</f>
        <v>0.562188796572475</v>
      </c>
      <c r="AH133" s="84">
        <f t="shared" ref="AH133:AH169" si="50">AG133*AF133</f>
        <v>2518.60580864469</v>
      </c>
      <c r="AI133" s="85">
        <f t="shared" ref="AI133:AI169" si="51">V133*AF133</f>
        <v>2138.65741469089</v>
      </c>
      <c r="AJ133" s="85">
        <f t="shared" ref="AJ133:AJ169" si="52">W133*AF133</f>
        <v>1747.2</v>
      </c>
      <c r="AK133" s="1">
        <f t="shared" si="36"/>
        <v>8.98364927857074</v>
      </c>
      <c r="AL133" s="49">
        <f t="shared" si="37"/>
        <v>0.441509734801218</v>
      </c>
    </row>
    <row r="134" spans="1:38">
      <c r="A134" s="17">
        <v>130</v>
      </c>
      <c r="B134" s="88" t="s">
        <v>312</v>
      </c>
      <c r="C134" s="89" t="s">
        <v>313</v>
      </c>
      <c r="D134" s="20" t="s">
        <v>314</v>
      </c>
      <c r="E134" s="55">
        <v>0</v>
      </c>
      <c r="F134" s="55">
        <v>0.0097</v>
      </c>
      <c r="G134" s="21">
        <v>21.55</v>
      </c>
      <c r="H134" s="56">
        <v>0.98</v>
      </c>
      <c r="I134" s="21">
        <f t="shared" si="39"/>
        <v>0.213301020408163</v>
      </c>
      <c r="J134" s="20" t="s">
        <v>120</v>
      </c>
      <c r="K134" s="21">
        <v>60</v>
      </c>
      <c r="L134" s="61">
        <v>60</v>
      </c>
      <c r="M134" s="20">
        <v>4</v>
      </c>
      <c r="N134" s="20">
        <v>39.75</v>
      </c>
      <c r="O134" s="20">
        <v>0.76</v>
      </c>
      <c r="P134" s="20">
        <v>22.5</v>
      </c>
      <c r="Q134" s="21">
        <f t="shared" si="40"/>
        <v>0.09375</v>
      </c>
      <c r="R134" s="21">
        <v>0</v>
      </c>
      <c r="S134" s="31">
        <v>0.00477055555555556</v>
      </c>
      <c r="T134" s="31">
        <v>0.0111111111111111</v>
      </c>
      <c r="U134" s="20">
        <v>0</v>
      </c>
      <c r="V134" s="21">
        <f t="shared" ref="V134:V146" si="53">(I134+Q134+(N134*O134/K134/M134)/2)/H134*1.11+R134*1.03+S134+T134+U134</f>
        <v>0.434950296924893</v>
      </c>
      <c r="W134" s="20">
        <v>0.98</v>
      </c>
      <c r="X134" s="62">
        <f t="shared" si="41"/>
        <v>-0.545049703075107</v>
      </c>
      <c r="Y134" s="75">
        <f t="shared" si="42"/>
        <v>0.0255457030140383</v>
      </c>
      <c r="Z134" s="76">
        <f t="shared" si="43"/>
        <v>0.215541869180949</v>
      </c>
      <c r="AA134" s="22">
        <f t="shared" si="44"/>
        <v>0.0629375</v>
      </c>
      <c r="AB134" s="76">
        <f t="shared" si="45"/>
        <v>0.144700441510144</v>
      </c>
      <c r="AC134" s="77">
        <f t="shared" si="46"/>
        <v>0.0109680475890774</v>
      </c>
      <c r="AD134" s="77">
        <f t="shared" si="47"/>
        <v>0</v>
      </c>
      <c r="AE134" s="77">
        <f t="shared" si="48"/>
        <v>0.509596793205555</v>
      </c>
      <c r="AF134" s="78">
        <v>56099</v>
      </c>
      <c r="AG134" s="83">
        <f t="shared" si="49"/>
        <v>0.570864447278912</v>
      </c>
      <c r="AH134" s="84">
        <f t="shared" si="50"/>
        <v>32024.9246278997</v>
      </c>
      <c r="AI134" s="85">
        <f t="shared" si="51"/>
        <v>24400.2767071895</v>
      </c>
      <c r="AJ134" s="85">
        <f t="shared" si="52"/>
        <v>54977.02</v>
      </c>
      <c r="AK134" s="1">
        <f t="shared" ref="AK134:AK169" si="54">AG134/I134</f>
        <v>2.67633247223352</v>
      </c>
      <c r="AL134" s="49">
        <f t="shared" ref="AL134:AL169" si="55">(AG134-W134)/W134</f>
        <v>-0.417485257878661</v>
      </c>
    </row>
    <row r="135" spans="1:38">
      <c r="A135" s="17">
        <v>131</v>
      </c>
      <c r="B135" s="88" t="s">
        <v>315</v>
      </c>
      <c r="C135" s="89" t="s">
        <v>316</v>
      </c>
      <c r="D135" s="20" t="s">
        <v>59</v>
      </c>
      <c r="E135" s="55">
        <v>0</v>
      </c>
      <c r="F135" s="55">
        <v>0.00128</v>
      </c>
      <c r="G135" s="21">
        <v>18.5841</v>
      </c>
      <c r="H135" s="56">
        <v>0.98</v>
      </c>
      <c r="I135" s="21">
        <f t="shared" si="39"/>
        <v>0.0242731102040816</v>
      </c>
      <c r="J135" s="20" t="s">
        <v>44</v>
      </c>
      <c r="K135" s="21">
        <v>72</v>
      </c>
      <c r="L135" s="61">
        <v>50</v>
      </c>
      <c r="M135" s="20">
        <v>4</v>
      </c>
      <c r="N135" s="20">
        <v>27.15</v>
      </c>
      <c r="O135" s="20">
        <v>0.76</v>
      </c>
      <c r="P135" s="20">
        <v>22.5</v>
      </c>
      <c r="Q135" s="21">
        <f t="shared" si="40"/>
        <v>0.078125</v>
      </c>
      <c r="R135" s="21">
        <v>0</v>
      </c>
      <c r="S135" s="31">
        <v>0.00477055555555556</v>
      </c>
      <c r="T135" s="31">
        <v>0.0111111111111111</v>
      </c>
      <c r="U135" s="20">
        <v>0</v>
      </c>
      <c r="V135" s="21">
        <f t="shared" si="53"/>
        <v>0.172438135877412</v>
      </c>
      <c r="W135" s="20">
        <v>0.43</v>
      </c>
      <c r="X135" s="62">
        <f t="shared" si="41"/>
        <v>-0.257561864122588</v>
      </c>
      <c r="Y135" s="75">
        <f t="shared" si="42"/>
        <v>0.0644353469409463</v>
      </c>
      <c r="Z135" s="76">
        <f t="shared" si="43"/>
        <v>0.453061033178529</v>
      </c>
      <c r="AA135" s="22">
        <f t="shared" si="44"/>
        <v>0.0358229166666667</v>
      </c>
      <c r="AB135" s="76">
        <f t="shared" si="45"/>
        <v>0.207743585746795</v>
      </c>
      <c r="AC135" s="77">
        <f t="shared" si="46"/>
        <v>0.0276653162090954</v>
      </c>
      <c r="AD135" s="77">
        <f t="shared" si="47"/>
        <v>0</v>
      </c>
      <c r="AE135" s="77">
        <f t="shared" si="48"/>
        <v>0.859235835039776</v>
      </c>
      <c r="AF135" s="78">
        <v>55730</v>
      </c>
      <c r="AG135" s="83">
        <f t="shared" si="49"/>
        <v>0.223213206972789</v>
      </c>
      <c r="AH135" s="84">
        <f t="shared" si="50"/>
        <v>12439.6720245935</v>
      </c>
      <c r="AI135" s="85">
        <f t="shared" si="51"/>
        <v>9609.97731244818</v>
      </c>
      <c r="AJ135" s="85">
        <f t="shared" si="52"/>
        <v>23963.9</v>
      </c>
      <c r="AK135" s="1">
        <f t="shared" si="54"/>
        <v>9.19590464905709</v>
      </c>
      <c r="AL135" s="49">
        <f t="shared" si="55"/>
        <v>-0.480899518667933</v>
      </c>
    </row>
    <row r="136" spans="1:36">
      <c r="A136" s="17">
        <v>132</v>
      </c>
      <c r="B136" s="88" t="s">
        <v>317</v>
      </c>
      <c r="C136" s="89" t="s">
        <v>318</v>
      </c>
      <c r="D136" s="20" t="s">
        <v>59</v>
      </c>
      <c r="E136" s="55">
        <v>0</v>
      </c>
      <c r="F136" s="55">
        <v>0.0022</v>
      </c>
      <c r="G136" s="21">
        <v>18.5841</v>
      </c>
      <c r="H136" s="56">
        <v>0.98</v>
      </c>
      <c r="I136" s="21">
        <f t="shared" si="39"/>
        <v>0.0417194081632653</v>
      </c>
      <c r="J136" s="20" t="s">
        <v>44</v>
      </c>
      <c r="K136" s="21">
        <v>72</v>
      </c>
      <c r="L136" s="61">
        <v>50</v>
      </c>
      <c r="M136" s="20">
        <v>3</v>
      </c>
      <c r="N136" s="20">
        <v>27.15</v>
      </c>
      <c r="O136" s="20">
        <v>0.76</v>
      </c>
      <c r="P136" s="20">
        <v>22.5</v>
      </c>
      <c r="Q136" s="21">
        <f t="shared" si="40"/>
        <v>0.104166666666667</v>
      </c>
      <c r="R136" s="21">
        <v>0</v>
      </c>
      <c r="S136" s="31">
        <v>0.00477055555555556</v>
      </c>
      <c r="T136" s="31">
        <v>0.0111111111111111</v>
      </c>
      <c r="U136" s="20">
        <v>0.2</v>
      </c>
      <c r="V136" s="21">
        <f t="shared" si="53"/>
        <v>0.435219890878801</v>
      </c>
      <c r="W136" s="20">
        <v>0.61</v>
      </c>
      <c r="X136" s="62">
        <f t="shared" si="41"/>
        <v>-0.174780109121199</v>
      </c>
      <c r="Y136" s="75">
        <f t="shared" si="42"/>
        <v>0.0255298789048346</v>
      </c>
      <c r="Z136" s="76">
        <f t="shared" si="43"/>
        <v>0.239342614732825</v>
      </c>
      <c r="AA136" s="22">
        <f t="shared" si="44"/>
        <v>0.0477638888888889</v>
      </c>
      <c r="AB136" s="76">
        <f t="shared" si="45"/>
        <v>0.109746566942158</v>
      </c>
      <c r="AC136" s="77">
        <f t="shared" si="46"/>
        <v>0.0109612535077907</v>
      </c>
      <c r="AD136" s="77">
        <f t="shared" si="47"/>
        <v>0.459537820287023</v>
      </c>
      <c r="AE136" s="77">
        <f t="shared" si="48"/>
        <v>0.904141770544942</v>
      </c>
      <c r="AF136" s="78">
        <v>0</v>
      </c>
      <c r="AG136" s="83">
        <f t="shared" si="49"/>
        <v>0.506356612244899</v>
      </c>
      <c r="AH136" s="84">
        <f t="shared" si="50"/>
        <v>0</v>
      </c>
      <c r="AI136" s="85">
        <f t="shared" si="51"/>
        <v>0</v>
      </c>
      <c r="AJ136" s="85">
        <f t="shared" si="52"/>
        <v>0</v>
      </c>
    </row>
    <row r="137" spans="1:36">
      <c r="A137" s="17">
        <v>133</v>
      </c>
      <c r="B137" s="88" t="s">
        <v>319</v>
      </c>
      <c r="C137" s="89" t="s">
        <v>320</v>
      </c>
      <c r="D137" s="20" t="s">
        <v>59</v>
      </c>
      <c r="E137" s="55">
        <v>0</v>
      </c>
      <c r="F137" s="55">
        <v>0.0022</v>
      </c>
      <c r="G137" s="21">
        <v>18.5841</v>
      </c>
      <c r="H137" s="56">
        <v>0.98</v>
      </c>
      <c r="I137" s="21">
        <f t="shared" si="39"/>
        <v>0.0417194081632653</v>
      </c>
      <c r="J137" s="20" t="s">
        <v>44</v>
      </c>
      <c r="K137" s="21">
        <v>72</v>
      </c>
      <c r="L137" s="61">
        <v>50</v>
      </c>
      <c r="M137" s="20">
        <v>3</v>
      </c>
      <c r="N137" s="20">
        <v>27.15</v>
      </c>
      <c r="O137" s="20">
        <v>0.76</v>
      </c>
      <c r="P137" s="20">
        <v>22.5</v>
      </c>
      <c r="Q137" s="21">
        <f t="shared" si="40"/>
        <v>0.104166666666667</v>
      </c>
      <c r="R137" s="21">
        <v>0</v>
      </c>
      <c r="S137" s="31">
        <v>0.00477055555555556</v>
      </c>
      <c r="T137" s="31">
        <v>0.0111111111111111</v>
      </c>
      <c r="U137" s="20">
        <v>0.2</v>
      </c>
      <c r="V137" s="21">
        <f t="shared" si="53"/>
        <v>0.435219890878801</v>
      </c>
      <c r="W137" s="20">
        <v>0.61</v>
      </c>
      <c r="X137" s="62">
        <f t="shared" si="41"/>
        <v>-0.174780109121199</v>
      </c>
      <c r="Y137" s="75">
        <f t="shared" si="42"/>
        <v>0.0255298789048346</v>
      </c>
      <c r="Z137" s="76">
        <f t="shared" si="43"/>
        <v>0.239342614732825</v>
      </c>
      <c r="AA137" s="22">
        <f t="shared" si="44"/>
        <v>0.0477638888888889</v>
      </c>
      <c r="AB137" s="76">
        <f t="shared" si="45"/>
        <v>0.109746566942158</v>
      </c>
      <c r="AC137" s="77">
        <f t="shared" si="46"/>
        <v>0.0109612535077907</v>
      </c>
      <c r="AD137" s="77">
        <f t="shared" si="47"/>
        <v>0.459537820287023</v>
      </c>
      <c r="AE137" s="77">
        <f t="shared" si="48"/>
        <v>0.904141770544942</v>
      </c>
      <c r="AF137" s="78"/>
      <c r="AG137" s="83">
        <f t="shared" si="49"/>
        <v>0.506356612244899</v>
      </c>
      <c r="AH137" s="84">
        <f t="shared" si="50"/>
        <v>0</v>
      </c>
      <c r="AI137" s="85">
        <f t="shared" si="51"/>
        <v>0</v>
      </c>
      <c r="AJ137" s="85">
        <f t="shared" si="52"/>
        <v>0</v>
      </c>
    </row>
    <row r="138" spans="1:36">
      <c r="A138" s="17">
        <v>134</v>
      </c>
      <c r="B138" s="88" t="s">
        <v>321</v>
      </c>
      <c r="C138" s="89" t="s">
        <v>322</v>
      </c>
      <c r="D138" s="20" t="s">
        <v>59</v>
      </c>
      <c r="E138" s="55">
        <v>0</v>
      </c>
      <c r="F138" s="55">
        <v>0.0022</v>
      </c>
      <c r="G138" s="21">
        <v>18.5841</v>
      </c>
      <c r="H138" s="56">
        <v>0.98</v>
      </c>
      <c r="I138" s="21">
        <f t="shared" si="39"/>
        <v>0.0417194081632653</v>
      </c>
      <c r="J138" s="20" t="s">
        <v>44</v>
      </c>
      <c r="K138" s="21">
        <v>72</v>
      </c>
      <c r="L138" s="61">
        <v>50</v>
      </c>
      <c r="M138" s="20">
        <v>3</v>
      </c>
      <c r="N138" s="20">
        <v>27.15</v>
      </c>
      <c r="O138" s="20">
        <v>0.76</v>
      </c>
      <c r="P138" s="20">
        <v>22.5</v>
      </c>
      <c r="Q138" s="21">
        <f t="shared" si="40"/>
        <v>0.104166666666667</v>
      </c>
      <c r="R138" s="21">
        <v>0</v>
      </c>
      <c r="S138" s="31">
        <v>0.00477055555555556</v>
      </c>
      <c r="T138" s="31">
        <v>0.0111111111111111</v>
      </c>
      <c r="U138" s="20">
        <v>0.2</v>
      </c>
      <c r="V138" s="21">
        <f t="shared" si="53"/>
        <v>0.435219890878801</v>
      </c>
      <c r="W138" s="20">
        <v>0.61</v>
      </c>
      <c r="X138" s="62">
        <f t="shared" si="41"/>
        <v>-0.174780109121199</v>
      </c>
      <c r="Y138" s="75">
        <f t="shared" si="42"/>
        <v>0.0255298789048346</v>
      </c>
      <c r="Z138" s="76">
        <f t="shared" si="43"/>
        <v>0.239342614732825</v>
      </c>
      <c r="AA138" s="22">
        <f t="shared" si="44"/>
        <v>0.0477638888888889</v>
      </c>
      <c r="AB138" s="76">
        <f t="shared" si="45"/>
        <v>0.109746566942158</v>
      </c>
      <c r="AC138" s="77">
        <f t="shared" si="46"/>
        <v>0.0109612535077907</v>
      </c>
      <c r="AD138" s="77">
        <f t="shared" si="47"/>
        <v>0.459537820287023</v>
      </c>
      <c r="AE138" s="77">
        <f t="shared" si="48"/>
        <v>0.904141770544942</v>
      </c>
      <c r="AF138" s="78"/>
      <c r="AG138" s="83">
        <f t="shared" si="49"/>
        <v>0.506356612244899</v>
      </c>
      <c r="AH138" s="84">
        <f t="shared" si="50"/>
        <v>0</v>
      </c>
      <c r="AI138" s="85">
        <f t="shared" si="51"/>
        <v>0</v>
      </c>
      <c r="AJ138" s="85">
        <f t="shared" si="52"/>
        <v>0</v>
      </c>
    </row>
    <row r="139" spans="1:38">
      <c r="A139" s="17">
        <v>135</v>
      </c>
      <c r="B139" s="88" t="s">
        <v>323</v>
      </c>
      <c r="C139" s="89" t="s">
        <v>324</v>
      </c>
      <c r="D139" s="20" t="s">
        <v>43</v>
      </c>
      <c r="E139" s="55">
        <v>0</v>
      </c>
      <c r="F139" s="55">
        <v>0.00176</v>
      </c>
      <c r="G139" s="21">
        <v>15.3097</v>
      </c>
      <c r="H139" s="56">
        <v>0.98</v>
      </c>
      <c r="I139" s="21">
        <f t="shared" si="39"/>
        <v>0.0274949714285714</v>
      </c>
      <c r="J139" s="20" t="s">
        <v>44</v>
      </c>
      <c r="K139" s="21">
        <v>65</v>
      </c>
      <c r="L139" s="61">
        <v>55.3846153846154</v>
      </c>
      <c r="M139" s="20">
        <v>4</v>
      </c>
      <c r="N139" s="20">
        <v>27.15</v>
      </c>
      <c r="O139" s="20">
        <v>0.76</v>
      </c>
      <c r="P139" s="20">
        <v>22.5</v>
      </c>
      <c r="Q139" s="21">
        <f t="shared" si="40"/>
        <v>0.0865384615384615</v>
      </c>
      <c r="R139" s="21">
        <v>0</v>
      </c>
      <c r="S139" s="31">
        <v>0.00477055555555556</v>
      </c>
      <c r="T139" s="31">
        <v>0.0111111111111111</v>
      </c>
      <c r="U139" s="20">
        <v>0</v>
      </c>
      <c r="V139" s="21">
        <f t="shared" si="53"/>
        <v>0.189986528339687</v>
      </c>
      <c r="W139" s="20">
        <v>0.35</v>
      </c>
      <c r="X139" s="62">
        <f t="shared" si="41"/>
        <v>-0.160013471660312</v>
      </c>
      <c r="Y139" s="75">
        <f t="shared" si="42"/>
        <v>0.0584836788598238</v>
      </c>
      <c r="Z139" s="76">
        <f t="shared" si="43"/>
        <v>0.455497883427474</v>
      </c>
      <c r="AA139" s="22">
        <f t="shared" si="44"/>
        <v>0.0396807692307692</v>
      </c>
      <c r="AB139" s="76">
        <f t="shared" si="45"/>
        <v>0.208860962814278</v>
      </c>
      <c r="AC139" s="77">
        <f t="shared" si="46"/>
        <v>0.0251099675184654</v>
      </c>
      <c r="AD139" s="77">
        <f t="shared" si="47"/>
        <v>0</v>
      </c>
      <c r="AE139" s="77">
        <f t="shared" si="48"/>
        <v>0.855279362864026</v>
      </c>
      <c r="AF139" s="78">
        <v>229279</v>
      </c>
      <c r="AG139" s="83">
        <f t="shared" si="49"/>
        <v>0.24645296996337</v>
      </c>
      <c r="AH139" s="84">
        <f t="shared" si="50"/>
        <v>56506.4905002315</v>
      </c>
      <c r="AI139" s="85">
        <f t="shared" si="51"/>
        <v>43559.9212311952</v>
      </c>
      <c r="AJ139" s="85">
        <f t="shared" si="52"/>
        <v>80247.65</v>
      </c>
      <c r="AK139" s="1">
        <f t="shared" si="54"/>
        <v>8.9635652324144</v>
      </c>
      <c r="AL139" s="49">
        <f t="shared" si="55"/>
        <v>-0.295848657247514</v>
      </c>
    </row>
    <row r="140" spans="1:36">
      <c r="A140" s="17">
        <v>136</v>
      </c>
      <c r="B140" s="17" t="s">
        <v>325</v>
      </c>
      <c r="C140" s="91" t="s">
        <v>326</v>
      </c>
      <c r="D140" s="20" t="s">
        <v>59</v>
      </c>
      <c r="E140" s="55">
        <v>0</v>
      </c>
      <c r="F140" s="55">
        <v>0.0022</v>
      </c>
      <c r="G140" s="21">
        <v>18.5841</v>
      </c>
      <c r="H140" s="56">
        <v>0.98</v>
      </c>
      <c r="I140" s="21">
        <f t="shared" si="39"/>
        <v>0.0417194081632653</v>
      </c>
      <c r="J140" s="20" t="s">
        <v>44</v>
      </c>
      <c r="K140" s="21">
        <v>72</v>
      </c>
      <c r="L140" s="61">
        <v>50</v>
      </c>
      <c r="M140" s="20">
        <v>3</v>
      </c>
      <c r="N140" s="20">
        <v>27.15</v>
      </c>
      <c r="O140" s="20">
        <v>0.76</v>
      </c>
      <c r="P140" s="20">
        <v>22.5</v>
      </c>
      <c r="Q140" s="21">
        <f t="shared" si="40"/>
        <v>0.104166666666667</v>
      </c>
      <c r="R140" s="21">
        <v>0</v>
      </c>
      <c r="S140" s="31">
        <v>0.00477055555555556</v>
      </c>
      <c r="T140" s="31">
        <v>0.0111111111111111</v>
      </c>
      <c r="U140" s="20">
        <v>0.2</v>
      </c>
      <c r="V140" s="21">
        <f t="shared" si="53"/>
        <v>0.435219890878801</v>
      </c>
      <c r="W140" s="20">
        <v>0.61</v>
      </c>
      <c r="X140" s="62">
        <f t="shared" si="41"/>
        <v>-0.174780109121199</v>
      </c>
      <c r="Y140" s="75">
        <f t="shared" si="42"/>
        <v>0.0255298789048346</v>
      </c>
      <c r="Z140" s="76">
        <f t="shared" si="43"/>
        <v>0.239342614732825</v>
      </c>
      <c r="AA140" s="22">
        <f t="shared" si="44"/>
        <v>0.0477638888888889</v>
      </c>
      <c r="AB140" s="76">
        <f t="shared" si="45"/>
        <v>0.109746566942158</v>
      </c>
      <c r="AC140" s="77">
        <f t="shared" si="46"/>
        <v>0.0109612535077907</v>
      </c>
      <c r="AD140" s="77">
        <f t="shared" si="47"/>
        <v>0.459537820287023</v>
      </c>
      <c r="AE140" s="77">
        <f t="shared" si="48"/>
        <v>0.904141770544942</v>
      </c>
      <c r="AF140" s="78">
        <v>0</v>
      </c>
      <c r="AG140" s="83">
        <f t="shared" si="49"/>
        <v>0.506356612244899</v>
      </c>
      <c r="AH140" s="84">
        <f t="shared" si="50"/>
        <v>0</v>
      </c>
      <c r="AI140" s="85">
        <f t="shared" si="51"/>
        <v>0</v>
      </c>
      <c r="AJ140" s="85">
        <f t="shared" si="52"/>
        <v>0</v>
      </c>
    </row>
    <row r="141" spans="1:36">
      <c r="A141" s="17">
        <v>137</v>
      </c>
      <c r="B141" s="17" t="s">
        <v>327</v>
      </c>
      <c r="C141" s="91" t="s">
        <v>328</v>
      </c>
      <c r="D141" s="20" t="s">
        <v>59</v>
      </c>
      <c r="E141" s="55">
        <v>0</v>
      </c>
      <c r="F141" s="55">
        <v>0.0022</v>
      </c>
      <c r="G141" s="21">
        <v>18.5841</v>
      </c>
      <c r="H141" s="56">
        <v>0.98</v>
      </c>
      <c r="I141" s="21">
        <f t="shared" si="39"/>
        <v>0.0417194081632653</v>
      </c>
      <c r="J141" s="20" t="s">
        <v>44</v>
      </c>
      <c r="K141" s="21">
        <v>72</v>
      </c>
      <c r="L141" s="61">
        <v>50</v>
      </c>
      <c r="M141" s="20">
        <v>3</v>
      </c>
      <c r="N141" s="20">
        <v>27.15</v>
      </c>
      <c r="O141" s="20">
        <v>0.76</v>
      </c>
      <c r="P141" s="20">
        <v>22.5</v>
      </c>
      <c r="Q141" s="21">
        <f t="shared" si="40"/>
        <v>0.104166666666667</v>
      </c>
      <c r="R141" s="21">
        <v>0</v>
      </c>
      <c r="S141" s="31">
        <v>0.00477055555555556</v>
      </c>
      <c r="T141" s="31">
        <v>0.0111111111111111</v>
      </c>
      <c r="U141" s="20">
        <v>0.2</v>
      </c>
      <c r="V141" s="21">
        <f t="shared" si="53"/>
        <v>0.435219890878801</v>
      </c>
      <c r="W141" s="20">
        <v>0.61</v>
      </c>
      <c r="X141" s="62">
        <f t="shared" si="41"/>
        <v>-0.174780109121199</v>
      </c>
      <c r="Y141" s="75">
        <f t="shared" si="42"/>
        <v>0.0255298789048346</v>
      </c>
      <c r="Z141" s="76">
        <f t="shared" si="43"/>
        <v>0.239342614732825</v>
      </c>
      <c r="AA141" s="22">
        <f t="shared" si="44"/>
        <v>0.0477638888888889</v>
      </c>
      <c r="AB141" s="76">
        <f t="shared" si="45"/>
        <v>0.109746566942158</v>
      </c>
      <c r="AC141" s="77">
        <f t="shared" si="46"/>
        <v>0.0109612535077907</v>
      </c>
      <c r="AD141" s="77">
        <f t="shared" si="47"/>
        <v>0.459537820287023</v>
      </c>
      <c r="AE141" s="77">
        <f t="shared" si="48"/>
        <v>0.904141770544942</v>
      </c>
      <c r="AF141" s="78"/>
      <c r="AG141" s="83">
        <f t="shared" si="49"/>
        <v>0.506356612244899</v>
      </c>
      <c r="AH141" s="84">
        <f t="shared" si="50"/>
        <v>0</v>
      </c>
      <c r="AI141" s="85">
        <f t="shared" si="51"/>
        <v>0</v>
      </c>
      <c r="AJ141" s="85">
        <f t="shared" si="52"/>
        <v>0</v>
      </c>
    </row>
    <row r="142" spans="1:36">
      <c r="A142" s="17">
        <v>138</v>
      </c>
      <c r="B142" s="17" t="s">
        <v>329</v>
      </c>
      <c r="C142" s="91" t="s">
        <v>330</v>
      </c>
      <c r="D142" s="20" t="s">
        <v>59</v>
      </c>
      <c r="E142" s="55">
        <v>0</v>
      </c>
      <c r="F142" s="55">
        <v>0.0022</v>
      </c>
      <c r="G142" s="21">
        <v>18.5841</v>
      </c>
      <c r="H142" s="56">
        <v>0.98</v>
      </c>
      <c r="I142" s="21">
        <f t="shared" si="39"/>
        <v>0.0417194081632653</v>
      </c>
      <c r="J142" s="20" t="s">
        <v>44</v>
      </c>
      <c r="K142" s="21">
        <v>72</v>
      </c>
      <c r="L142" s="61">
        <v>50</v>
      </c>
      <c r="M142" s="20">
        <v>3</v>
      </c>
      <c r="N142" s="20">
        <v>27.15</v>
      </c>
      <c r="O142" s="20">
        <v>0.76</v>
      </c>
      <c r="P142" s="20">
        <v>22.5</v>
      </c>
      <c r="Q142" s="21">
        <f t="shared" si="40"/>
        <v>0.104166666666667</v>
      </c>
      <c r="R142" s="21">
        <v>0</v>
      </c>
      <c r="S142" s="31">
        <v>0.00477055555555556</v>
      </c>
      <c r="T142" s="31">
        <v>0.0111111111111111</v>
      </c>
      <c r="U142" s="20">
        <v>0.2</v>
      </c>
      <c r="V142" s="21">
        <f t="shared" si="53"/>
        <v>0.435219890878801</v>
      </c>
      <c r="W142" s="20">
        <v>0.61</v>
      </c>
      <c r="X142" s="62">
        <f t="shared" si="41"/>
        <v>-0.174780109121199</v>
      </c>
      <c r="Y142" s="75">
        <f t="shared" si="42"/>
        <v>0.0255298789048346</v>
      </c>
      <c r="Z142" s="76">
        <f t="shared" si="43"/>
        <v>0.239342614732825</v>
      </c>
      <c r="AA142" s="22">
        <f t="shared" si="44"/>
        <v>0.0477638888888889</v>
      </c>
      <c r="AB142" s="76">
        <f t="shared" si="45"/>
        <v>0.109746566942158</v>
      </c>
      <c r="AC142" s="77">
        <f t="shared" si="46"/>
        <v>0.0109612535077907</v>
      </c>
      <c r="AD142" s="77">
        <f t="shared" si="47"/>
        <v>0.459537820287023</v>
      </c>
      <c r="AE142" s="77">
        <f t="shared" si="48"/>
        <v>0.904141770544942</v>
      </c>
      <c r="AF142" s="78"/>
      <c r="AG142" s="83">
        <f t="shared" si="49"/>
        <v>0.506356612244899</v>
      </c>
      <c r="AH142" s="84">
        <f t="shared" si="50"/>
        <v>0</v>
      </c>
      <c r="AI142" s="85">
        <f t="shared" si="51"/>
        <v>0</v>
      </c>
      <c r="AJ142" s="85">
        <f t="shared" si="52"/>
        <v>0</v>
      </c>
    </row>
    <row r="143" spans="1:36">
      <c r="A143" s="17">
        <v>139</v>
      </c>
      <c r="B143" s="17" t="s">
        <v>331</v>
      </c>
      <c r="C143" s="91" t="s">
        <v>332</v>
      </c>
      <c r="D143" s="20" t="s">
        <v>59</v>
      </c>
      <c r="E143" s="55">
        <v>0</v>
      </c>
      <c r="F143" s="55">
        <v>0.0022</v>
      </c>
      <c r="G143" s="21">
        <v>18.5841</v>
      </c>
      <c r="H143" s="56">
        <v>0.98</v>
      </c>
      <c r="I143" s="21">
        <f t="shared" si="39"/>
        <v>0.0417194081632653</v>
      </c>
      <c r="J143" s="20" t="s">
        <v>44</v>
      </c>
      <c r="K143" s="21">
        <v>72</v>
      </c>
      <c r="L143" s="61">
        <v>50</v>
      </c>
      <c r="M143" s="20">
        <v>3</v>
      </c>
      <c r="N143" s="20">
        <v>27.15</v>
      </c>
      <c r="O143" s="20">
        <v>0.76</v>
      </c>
      <c r="P143" s="20">
        <v>22.5</v>
      </c>
      <c r="Q143" s="21">
        <f t="shared" si="40"/>
        <v>0.104166666666667</v>
      </c>
      <c r="R143" s="21">
        <v>0</v>
      </c>
      <c r="S143" s="31">
        <v>0.00477055555555556</v>
      </c>
      <c r="T143" s="31">
        <v>0.0111111111111111</v>
      </c>
      <c r="U143" s="20">
        <v>0.2</v>
      </c>
      <c r="V143" s="21">
        <f t="shared" si="53"/>
        <v>0.435219890878801</v>
      </c>
      <c r="W143" s="20">
        <v>0.61</v>
      </c>
      <c r="X143" s="62">
        <f t="shared" si="41"/>
        <v>-0.174780109121199</v>
      </c>
      <c r="Y143" s="75">
        <f t="shared" si="42"/>
        <v>0.0255298789048346</v>
      </c>
      <c r="Z143" s="76">
        <f t="shared" si="43"/>
        <v>0.239342614732825</v>
      </c>
      <c r="AA143" s="22">
        <f t="shared" si="44"/>
        <v>0.0477638888888889</v>
      </c>
      <c r="AB143" s="76">
        <f t="shared" si="45"/>
        <v>0.109746566942158</v>
      </c>
      <c r="AC143" s="77">
        <f t="shared" si="46"/>
        <v>0.0109612535077907</v>
      </c>
      <c r="AD143" s="77">
        <f t="shared" si="47"/>
        <v>0.459537820287023</v>
      </c>
      <c r="AE143" s="77">
        <f t="shared" si="48"/>
        <v>0.904141770544942</v>
      </c>
      <c r="AF143" s="78"/>
      <c r="AG143" s="83">
        <f t="shared" si="49"/>
        <v>0.506356612244899</v>
      </c>
      <c r="AH143" s="84">
        <f t="shared" si="50"/>
        <v>0</v>
      </c>
      <c r="AI143" s="85">
        <f t="shared" si="51"/>
        <v>0</v>
      </c>
      <c r="AJ143" s="85">
        <f t="shared" si="52"/>
        <v>0</v>
      </c>
    </row>
    <row r="144" spans="1:38">
      <c r="A144" s="17">
        <v>140</v>
      </c>
      <c r="B144" s="88" t="s">
        <v>333</v>
      </c>
      <c r="C144" s="89" t="s">
        <v>334</v>
      </c>
      <c r="D144" s="20" t="s">
        <v>59</v>
      </c>
      <c r="E144" s="55">
        <v>0</v>
      </c>
      <c r="F144" s="55">
        <v>0.0022</v>
      </c>
      <c r="G144" s="21">
        <v>18.5841</v>
      </c>
      <c r="H144" s="56">
        <v>0.98</v>
      </c>
      <c r="I144" s="21">
        <f t="shared" si="39"/>
        <v>0.0417194081632653</v>
      </c>
      <c r="J144" s="20" t="s">
        <v>44</v>
      </c>
      <c r="K144" s="21">
        <v>72</v>
      </c>
      <c r="L144" s="61">
        <v>50</v>
      </c>
      <c r="M144" s="20">
        <v>3</v>
      </c>
      <c r="N144" s="20">
        <v>27.15</v>
      </c>
      <c r="O144" s="20">
        <v>0.76</v>
      </c>
      <c r="P144" s="20">
        <v>22.5</v>
      </c>
      <c r="Q144" s="21">
        <f t="shared" si="40"/>
        <v>0.104166666666667</v>
      </c>
      <c r="R144" s="21">
        <v>0</v>
      </c>
      <c r="S144" s="31">
        <v>0.00477055555555556</v>
      </c>
      <c r="T144" s="31">
        <v>0.0111111111111111</v>
      </c>
      <c r="U144" s="20">
        <v>0.2</v>
      </c>
      <c r="V144" s="21">
        <f t="shared" si="53"/>
        <v>0.435219890878801</v>
      </c>
      <c r="W144" s="20">
        <v>0.6</v>
      </c>
      <c r="X144" s="62">
        <f t="shared" si="41"/>
        <v>-0.164780109121199</v>
      </c>
      <c r="Y144" s="75">
        <f t="shared" si="42"/>
        <v>0.0255298789048346</v>
      </c>
      <c r="Z144" s="76">
        <f t="shared" si="43"/>
        <v>0.239342614732825</v>
      </c>
      <c r="AA144" s="22">
        <f t="shared" si="44"/>
        <v>0.0477638888888889</v>
      </c>
      <c r="AB144" s="76">
        <f t="shared" si="45"/>
        <v>0.109746566942158</v>
      </c>
      <c r="AC144" s="77">
        <f t="shared" si="46"/>
        <v>0.0109612535077907</v>
      </c>
      <c r="AD144" s="77">
        <f t="shared" si="47"/>
        <v>0.459537820287023</v>
      </c>
      <c r="AE144" s="77">
        <f t="shared" si="48"/>
        <v>0.904141770544942</v>
      </c>
      <c r="AF144" s="78">
        <v>64225</v>
      </c>
      <c r="AG144" s="83">
        <f t="shared" si="49"/>
        <v>0.506356612244899</v>
      </c>
      <c r="AH144" s="84">
        <f t="shared" si="50"/>
        <v>32520.7534214286</v>
      </c>
      <c r="AI144" s="85">
        <f t="shared" si="51"/>
        <v>27951.997491691</v>
      </c>
      <c r="AJ144" s="85">
        <f t="shared" si="52"/>
        <v>38535</v>
      </c>
      <c r="AK144" s="1">
        <f t="shared" si="54"/>
        <v>12.1371954813768</v>
      </c>
      <c r="AL144" s="49">
        <f t="shared" si="55"/>
        <v>-0.156072312925168</v>
      </c>
    </row>
    <row r="145" spans="1:38">
      <c r="A145" s="17">
        <v>141</v>
      </c>
      <c r="B145" s="88" t="s">
        <v>335</v>
      </c>
      <c r="C145" s="89" t="s">
        <v>336</v>
      </c>
      <c r="D145" s="20" t="s">
        <v>59</v>
      </c>
      <c r="E145" s="55">
        <v>0</v>
      </c>
      <c r="F145" s="55">
        <v>0.0022</v>
      </c>
      <c r="G145" s="21">
        <v>18.5841</v>
      </c>
      <c r="H145" s="56">
        <v>0.98</v>
      </c>
      <c r="I145" s="21">
        <f t="shared" si="39"/>
        <v>0.0417194081632653</v>
      </c>
      <c r="J145" s="20" t="s">
        <v>44</v>
      </c>
      <c r="K145" s="21">
        <v>72</v>
      </c>
      <c r="L145" s="61">
        <v>50</v>
      </c>
      <c r="M145" s="20">
        <v>3</v>
      </c>
      <c r="N145" s="20">
        <v>27.15</v>
      </c>
      <c r="O145" s="20">
        <v>0.76</v>
      </c>
      <c r="P145" s="20">
        <v>22.5</v>
      </c>
      <c r="Q145" s="21">
        <f t="shared" si="40"/>
        <v>0.104166666666667</v>
      </c>
      <c r="R145" s="21">
        <v>0</v>
      </c>
      <c r="S145" s="31">
        <v>0.00477055555555556</v>
      </c>
      <c r="T145" s="31">
        <v>0.0111111111111111</v>
      </c>
      <c r="U145" s="20">
        <v>0.2</v>
      </c>
      <c r="V145" s="21">
        <f t="shared" si="53"/>
        <v>0.435219890878801</v>
      </c>
      <c r="W145" s="20">
        <v>0.6</v>
      </c>
      <c r="X145" s="62">
        <f t="shared" si="41"/>
        <v>-0.164780109121199</v>
      </c>
      <c r="Y145" s="75">
        <f t="shared" si="42"/>
        <v>0.0255298789048346</v>
      </c>
      <c r="Z145" s="76">
        <f t="shared" si="43"/>
        <v>0.239342614732825</v>
      </c>
      <c r="AA145" s="22">
        <f t="shared" si="44"/>
        <v>0.0477638888888889</v>
      </c>
      <c r="AB145" s="76">
        <f t="shared" si="45"/>
        <v>0.109746566942158</v>
      </c>
      <c r="AC145" s="77">
        <f t="shared" si="46"/>
        <v>0.0109612535077907</v>
      </c>
      <c r="AD145" s="77">
        <f t="shared" si="47"/>
        <v>0.459537820287023</v>
      </c>
      <c r="AE145" s="77">
        <f t="shared" si="48"/>
        <v>0.904141770544942</v>
      </c>
      <c r="AF145" s="78">
        <v>64580</v>
      </c>
      <c r="AG145" s="83">
        <f t="shared" si="49"/>
        <v>0.506356612244899</v>
      </c>
      <c r="AH145" s="84">
        <f t="shared" si="50"/>
        <v>32700.5100187755</v>
      </c>
      <c r="AI145" s="85">
        <f t="shared" si="51"/>
        <v>28106.500552953</v>
      </c>
      <c r="AJ145" s="85">
        <f t="shared" si="52"/>
        <v>38748</v>
      </c>
      <c r="AK145" s="1">
        <f t="shared" si="54"/>
        <v>12.1371954813768</v>
      </c>
      <c r="AL145" s="49">
        <f t="shared" si="55"/>
        <v>-0.156072312925168</v>
      </c>
    </row>
    <row r="146" s="1" customFormat="1" ht="14.5" spans="1:38">
      <c r="A146" s="17">
        <v>143</v>
      </c>
      <c r="B146" s="92" t="s">
        <v>337</v>
      </c>
      <c r="C146" s="93" t="s">
        <v>338</v>
      </c>
      <c r="D146" s="94" t="s">
        <v>86</v>
      </c>
      <c r="E146" s="95">
        <f>44.241/1000</f>
        <v>0.044241</v>
      </c>
      <c r="F146" s="95">
        <f>E146*1.03</f>
        <v>0.04556823</v>
      </c>
      <c r="G146" s="96">
        <v>15.66372</v>
      </c>
      <c r="H146" s="97">
        <v>0.99</v>
      </c>
      <c r="I146" s="96">
        <f t="shared" si="39"/>
        <v>0.720977773349091</v>
      </c>
      <c r="J146" s="127" t="s">
        <v>339</v>
      </c>
      <c r="K146" s="128">
        <v>65</v>
      </c>
      <c r="L146" s="129">
        <v>55</v>
      </c>
      <c r="M146" s="94">
        <v>2</v>
      </c>
      <c r="N146" s="128">
        <v>48.5</v>
      </c>
      <c r="O146" s="128">
        <v>0.76</v>
      </c>
      <c r="P146" s="128">
        <v>22.5</v>
      </c>
      <c r="Q146" s="96">
        <f t="shared" si="40"/>
        <v>0.173076923076923</v>
      </c>
      <c r="R146" s="141">
        <v>0</v>
      </c>
      <c r="S146" s="142">
        <v>0.01</v>
      </c>
      <c r="T146" s="142"/>
      <c r="U146" s="142">
        <v>0.3</v>
      </c>
      <c r="V146" s="96">
        <f t="shared" si="53"/>
        <v>1.47137834261285</v>
      </c>
      <c r="W146" s="20">
        <v>2.15</v>
      </c>
      <c r="X146" s="62">
        <f t="shared" si="41"/>
        <v>-0.67862165738715</v>
      </c>
      <c r="Y146" s="75">
        <f t="shared" si="42"/>
        <v>0</v>
      </c>
      <c r="Z146" s="76">
        <f t="shared" si="43"/>
        <v>0.117629108750898</v>
      </c>
      <c r="AA146" s="22">
        <f t="shared" si="44"/>
        <v>0.141769230769231</v>
      </c>
      <c r="AB146" s="76">
        <f t="shared" si="45"/>
        <v>0.096351309967958</v>
      </c>
      <c r="AC146" s="77">
        <f t="shared" si="46"/>
        <v>0.00679634850560744</v>
      </c>
      <c r="AD146" s="77">
        <f t="shared" si="47"/>
        <v>0.203890455168223</v>
      </c>
      <c r="AE146" s="77">
        <f t="shared" si="48"/>
        <v>0.509998378752272</v>
      </c>
      <c r="AF146" s="78">
        <v>37518</v>
      </c>
      <c r="AG146" s="83">
        <f t="shared" si="49"/>
        <v>1.86373589079287</v>
      </c>
      <c r="AH146" s="84">
        <f t="shared" si="50"/>
        <v>69923.6431507668</v>
      </c>
      <c r="AI146" s="85">
        <f t="shared" si="51"/>
        <v>55203.1726581489</v>
      </c>
      <c r="AJ146" s="85">
        <f t="shared" si="52"/>
        <v>80663.7</v>
      </c>
      <c r="AK146" s="1">
        <f t="shared" si="54"/>
        <v>2.58501157689707</v>
      </c>
      <c r="AL146" s="49">
        <f t="shared" si="55"/>
        <v>-0.133146097305642</v>
      </c>
    </row>
    <row r="147" ht="14.5" spans="1:38">
      <c r="A147" s="17">
        <v>144</v>
      </c>
      <c r="B147" s="92" t="s">
        <v>340</v>
      </c>
      <c r="C147" s="93" t="s">
        <v>341</v>
      </c>
      <c r="D147" s="98" t="s">
        <v>342</v>
      </c>
      <c r="E147" s="99"/>
      <c r="F147" s="99">
        <v>0.0398</v>
      </c>
      <c r="G147" s="100">
        <v>19.46</v>
      </c>
      <c r="H147" s="101"/>
      <c r="I147" s="100">
        <f>F147*G147</f>
        <v>0.774508</v>
      </c>
      <c r="J147" s="130" t="s">
        <v>81</v>
      </c>
      <c r="K147" s="131">
        <f t="shared" ref="K147:K158" si="56">3600/L147</f>
        <v>72</v>
      </c>
      <c r="L147" s="131">
        <v>50</v>
      </c>
      <c r="M147" s="108">
        <v>4</v>
      </c>
      <c r="N147" s="110">
        <v>39.75</v>
      </c>
      <c r="O147" s="110">
        <v>0.76</v>
      </c>
      <c r="P147" s="110">
        <v>22.5</v>
      </c>
      <c r="Q147" s="100">
        <f t="shared" si="40"/>
        <v>0.078125</v>
      </c>
      <c r="R147" s="143"/>
      <c r="S147" s="144">
        <v>0.02</v>
      </c>
      <c r="T147" s="144">
        <v>0.02</v>
      </c>
      <c r="U147" s="144"/>
      <c r="V147" s="100">
        <f>(I147+Q147+(N147*O147/K147/M147)/2)*1.11+R147*1.03+S147+T147+U147</f>
        <v>1.0446398175</v>
      </c>
      <c r="W147" s="20">
        <v>1.35</v>
      </c>
      <c r="X147" s="62">
        <f t="shared" si="41"/>
        <v>-0.3053601825</v>
      </c>
      <c r="Y147" s="75">
        <f t="shared" si="42"/>
        <v>0.0191453548533727</v>
      </c>
      <c r="Z147" s="76">
        <f t="shared" si="43"/>
        <v>0.0747865423959871</v>
      </c>
      <c r="AA147" s="22">
        <f t="shared" si="44"/>
        <v>0.0524479166666667</v>
      </c>
      <c r="AB147" s="76">
        <f t="shared" si="45"/>
        <v>0.0502066987951727</v>
      </c>
      <c r="AC147" s="77">
        <f t="shared" si="46"/>
        <v>0.0191453548533727</v>
      </c>
      <c r="AD147" s="77">
        <f t="shared" si="47"/>
        <v>0</v>
      </c>
      <c r="AE147" s="77">
        <f t="shared" si="48"/>
        <v>0.258588475161201</v>
      </c>
      <c r="AF147" s="78">
        <v>21517</v>
      </c>
      <c r="AG147" s="83">
        <f t="shared" si="49"/>
        <v>1.397621375</v>
      </c>
      <c r="AH147" s="84">
        <f t="shared" si="50"/>
        <v>30072.619125875</v>
      </c>
      <c r="AI147" s="85">
        <f t="shared" si="51"/>
        <v>22477.5149531475</v>
      </c>
      <c r="AJ147" s="85">
        <f t="shared" si="52"/>
        <v>29047.95</v>
      </c>
      <c r="AK147" s="1">
        <f t="shared" si="54"/>
        <v>1.80452800358421</v>
      </c>
      <c r="AL147" s="49">
        <f t="shared" si="55"/>
        <v>0.0352750925925925</v>
      </c>
    </row>
    <row r="148" spans="1:38">
      <c r="A148" s="17">
        <v>145</v>
      </c>
      <c r="B148" s="94" t="s">
        <v>343</v>
      </c>
      <c r="C148" s="102" t="s">
        <v>344</v>
      </c>
      <c r="D148" s="103" t="s">
        <v>43</v>
      </c>
      <c r="E148" s="104">
        <f>21/1000</f>
        <v>0.021</v>
      </c>
      <c r="F148" s="99">
        <v>0.02247</v>
      </c>
      <c r="G148" s="100">
        <v>17.3</v>
      </c>
      <c r="H148" s="105">
        <v>0.95</v>
      </c>
      <c r="I148" s="100">
        <f t="shared" ref="I148:I169" si="57">F148*G148/H148</f>
        <v>0.40919052631579</v>
      </c>
      <c r="J148" s="130" t="s">
        <v>65</v>
      </c>
      <c r="K148" s="131">
        <v>48</v>
      </c>
      <c r="L148" s="131">
        <f>3600/K148</f>
        <v>75</v>
      </c>
      <c r="M148" s="132">
        <v>2</v>
      </c>
      <c r="N148" s="110">
        <v>48.5</v>
      </c>
      <c r="O148" s="110">
        <v>0.76</v>
      </c>
      <c r="P148" s="110">
        <v>22.5</v>
      </c>
      <c r="Q148" s="100">
        <f>P148/K148/M148+P148/200</f>
        <v>0.346875</v>
      </c>
      <c r="R148" s="145"/>
      <c r="S148" s="144">
        <f>0.00291/10+8.4124/100</f>
        <v>0.084415</v>
      </c>
      <c r="T148" s="144">
        <f>20/100</f>
        <v>0.2</v>
      </c>
      <c r="U148" s="144"/>
      <c r="V148" s="100">
        <f t="shared" ref="V148:V159" si="58">(I148+Q148+(N148*O148/K148/M148)/2)*1.11+R148*1.03+T148+U148</f>
        <v>1.25232960921053</v>
      </c>
      <c r="W148" s="20">
        <v>1.74</v>
      </c>
      <c r="X148" s="62">
        <f t="shared" si="41"/>
        <v>-0.487670390789473</v>
      </c>
      <c r="Y148" s="75">
        <f t="shared" si="42"/>
        <v>0.159702364720164</v>
      </c>
      <c r="Z148" s="76">
        <f t="shared" si="43"/>
        <v>0.276983788811535</v>
      </c>
      <c r="AA148" s="22">
        <f t="shared" si="44"/>
        <v>0.191979166666667</v>
      </c>
      <c r="AB148" s="76">
        <f t="shared" si="45"/>
        <v>0.153297634468366</v>
      </c>
      <c r="AC148" s="77">
        <f t="shared" si="46"/>
        <v>0.0674063755892632</v>
      </c>
      <c r="AD148" s="77">
        <f t="shared" si="47"/>
        <v>0</v>
      </c>
      <c r="AE148" s="77">
        <f t="shared" si="48"/>
        <v>0.673256526631399</v>
      </c>
      <c r="AF148" s="78">
        <v>1600</v>
      </c>
      <c r="AG148" s="83">
        <f t="shared" si="49"/>
        <v>1.70648203947368</v>
      </c>
      <c r="AH148" s="84">
        <f t="shared" si="50"/>
        <v>2730.3712631579</v>
      </c>
      <c r="AI148" s="85">
        <f t="shared" si="51"/>
        <v>2003.72737473684</v>
      </c>
      <c r="AJ148" s="85">
        <f t="shared" si="52"/>
        <v>2784</v>
      </c>
      <c r="AK148" s="1">
        <f t="shared" si="54"/>
        <v>4.17038501560203</v>
      </c>
      <c r="AL148" s="49">
        <f t="shared" si="55"/>
        <v>-0.0192631957047816</v>
      </c>
    </row>
    <row r="149" spans="1:38">
      <c r="A149" s="17">
        <v>146</v>
      </c>
      <c r="B149" s="106" t="s">
        <v>345</v>
      </c>
      <c r="C149" s="107" t="s">
        <v>346</v>
      </c>
      <c r="D149" s="108" t="s">
        <v>347</v>
      </c>
      <c r="E149" s="109"/>
      <c r="F149" s="110">
        <v>0.0515</v>
      </c>
      <c r="G149" s="111">
        <v>17.4</v>
      </c>
      <c r="H149" s="112">
        <v>0.95</v>
      </c>
      <c r="I149" s="111">
        <f t="shared" si="57"/>
        <v>0.943263157894737</v>
      </c>
      <c r="J149" s="133" t="s">
        <v>65</v>
      </c>
      <c r="K149" s="134">
        <f t="shared" si="56"/>
        <v>65.4545454545455</v>
      </c>
      <c r="L149" s="134">
        <v>55</v>
      </c>
      <c r="M149" s="135">
        <v>2</v>
      </c>
      <c r="N149" s="133">
        <v>34</v>
      </c>
      <c r="O149" s="133">
        <v>0.76</v>
      </c>
      <c r="P149" s="133">
        <v>22.5</v>
      </c>
      <c r="Q149" s="111">
        <f t="shared" ref="Q149:Q169" si="59">P149/K149/M149</f>
        <v>0.171875</v>
      </c>
      <c r="R149" s="133">
        <v>0</v>
      </c>
      <c r="S149" s="146">
        <v>0.00715583333333333</v>
      </c>
      <c r="T149" s="146">
        <v>0.0166666666666667</v>
      </c>
      <c r="U149" s="133">
        <v>0.3</v>
      </c>
      <c r="V149" s="100">
        <f t="shared" si="58"/>
        <v>1.66402085526316</v>
      </c>
      <c r="W149" s="20">
        <v>2.26</v>
      </c>
      <c r="X149" s="62">
        <f t="shared" si="41"/>
        <v>-0.595979144736842</v>
      </c>
      <c r="Y149" s="75">
        <f t="shared" si="42"/>
        <v>0.0100159001096359</v>
      </c>
      <c r="Z149" s="76">
        <f t="shared" si="43"/>
        <v>0.10328896988062</v>
      </c>
      <c r="AA149" s="22">
        <f t="shared" si="44"/>
        <v>0.0986944444444444</v>
      </c>
      <c r="AB149" s="76">
        <f t="shared" si="45"/>
        <v>0.0593108218158938</v>
      </c>
      <c r="AC149" s="77">
        <f t="shared" si="46"/>
        <v>0.00430032671207217</v>
      </c>
      <c r="AD149" s="77">
        <f t="shared" si="47"/>
        <v>0.180286201973446</v>
      </c>
      <c r="AE149" s="77">
        <f t="shared" si="48"/>
        <v>0.433142226005597</v>
      </c>
      <c r="AF149" s="78">
        <v>1512</v>
      </c>
      <c r="AG149" s="83">
        <f t="shared" si="49"/>
        <v>2.14457140350877</v>
      </c>
      <c r="AH149" s="84">
        <f t="shared" si="50"/>
        <v>3242.59196210526</v>
      </c>
      <c r="AI149" s="85">
        <f t="shared" si="51"/>
        <v>2515.99953315789</v>
      </c>
      <c r="AJ149" s="85">
        <f t="shared" si="52"/>
        <v>3417.12</v>
      </c>
      <c r="AK149" s="1">
        <f t="shared" si="54"/>
        <v>2.2735663802403</v>
      </c>
      <c r="AL149" s="49">
        <f t="shared" si="55"/>
        <v>-0.0510746002173583</v>
      </c>
    </row>
    <row r="150" spans="1:38">
      <c r="A150" s="17">
        <v>147</v>
      </c>
      <c r="B150" s="106" t="s">
        <v>348</v>
      </c>
      <c r="C150" s="102" t="s">
        <v>349</v>
      </c>
      <c r="D150" s="108" t="s">
        <v>350</v>
      </c>
      <c r="E150" s="109"/>
      <c r="F150" s="110">
        <v>0.01648</v>
      </c>
      <c r="G150" s="111">
        <v>16</v>
      </c>
      <c r="H150" s="112">
        <v>0.85</v>
      </c>
      <c r="I150" s="111">
        <f t="shared" si="57"/>
        <v>0.310211764705882</v>
      </c>
      <c r="J150" s="133" t="s">
        <v>65</v>
      </c>
      <c r="K150" s="134">
        <f t="shared" si="56"/>
        <v>65.4545454545455</v>
      </c>
      <c r="L150" s="134">
        <v>55</v>
      </c>
      <c r="M150" s="135">
        <v>2</v>
      </c>
      <c r="N150" s="133">
        <v>34</v>
      </c>
      <c r="O150" s="133">
        <v>0.76</v>
      </c>
      <c r="P150" s="133">
        <v>22.5</v>
      </c>
      <c r="Q150" s="111">
        <f t="shared" si="59"/>
        <v>0.171875</v>
      </c>
      <c r="R150" s="133">
        <v>0</v>
      </c>
      <c r="S150" s="146">
        <v>0.03</v>
      </c>
      <c r="T150" s="146">
        <v>0.00666666666666667</v>
      </c>
      <c r="U150" s="133">
        <v>0.3</v>
      </c>
      <c r="V150" s="100">
        <f t="shared" si="58"/>
        <v>0.951333808823529</v>
      </c>
      <c r="W150" s="20">
        <v>1.43</v>
      </c>
      <c r="X150" s="62">
        <f t="shared" si="41"/>
        <v>-0.47866619117647</v>
      </c>
      <c r="Y150" s="75">
        <f t="shared" si="42"/>
        <v>0.00700770497677469</v>
      </c>
      <c r="Z150" s="76">
        <f t="shared" si="43"/>
        <v>0.180667393932472</v>
      </c>
      <c r="AA150" s="22">
        <f t="shared" si="44"/>
        <v>0.0986944444444444</v>
      </c>
      <c r="AB150" s="76">
        <f t="shared" si="45"/>
        <v>0.103743232427002</v>
      </c>
      <c r="AC150" s="77">
        <f t="shared" si="46"/>
        <v>0.0315346723954861</v>
      </c>
      <c r="AD150" s="77">
        <f t="shared" si="47"/>
        <v>0.315346723954861</v>
      </c>
      <c r="AE150" s="77">
        <f t="shared" si="48"/>
        <v>0.673919120892479</v>
      </c>
      <c r="AF150" s="78">
        <v>600</v>
      </c>
      <c r="AG150" s="83">
        <f t="shared" si="49"/>
        <v>1.20783848039216</v>
      </c>
      <c r="AH150" s="84">
        <f t="shared" si="50"/>
        <v>724.703088235294</v>
      </c>
      <c r="AI150" s="85">
        <f t="shared" si="51"/>
        <v>570.800285294118</v>
      </c>
      <c r="AJ150" s="85">
        <f t="shared" si="52"/>
        <v>858</v>
      </c>
      <c r="AK150" s="1">
        <f t="shared" si="54"/>
        <v>3.89359340235641</v>
      </c>
      <c r="AL150" s="49">
        <f t="shared" si="55"/>
        <v>-0.155357706019468</v>
      </c>
    </row>
    <row r="151" spans="1:38">
      <c r="A151" s="17">
        <v>148</v>
      </c>
      <c r="B151" s="106" t="s">
        <v>351</v>
      </c>
      <c r="C151" s="102" t="s">
        <v>352</v>
      </c>
      <c r="D151" s="108" t="s">
        <v>350</v>
      </c>
      <c r="E151" s="109"/>
      <c r="F151" s="110">
        <v>0.08925</v>
      </c>
      <c r="G151" s="111">
        <v>16</v>
      </c>
      <c r="H151" s="112">
        <v>0.95</v>
      </c>
      <c r="I151" s="111">
        <f t="shared" si="57"/>
        <v>1.50315789473684</v>
      </c>
      <c r="J151" s="133" t="s">
        <v>65</v>
      </c>
      <c r="K151" s="134">
        <f t="shared" si="56"/>
        <v>65.4545454545455</v>
      </c>
      <c r="L151" s="134">
        <v>55</v>
      </c>
      <c r="M151" s="135">
        <v>2</v>
      </c>
      <c r="N151" s="133">
        <v>34</v>
      </c>
      <c r="O151" s="133">
        <v>0.76</v>
      </c>
      <c r="P151" s="133">
        <v>22.5</v>
      </c>
      <c r="Q151" s="111">
        <f t="shared" si="59"/>
        <v>0.171875</v>
      </c>
      <c r="R151" s="133">
        <v>0</v>
      </c>
      <c r="S151" s="146">
        <v>0.03</v>
      </c>
      <c r="T151" s="146">
        <v>0.00666666666666667</v>
      </c>
      <c r="U151" s="133">
        <v>0.3</v>
      </c>
      <c r="V151" s="100">
        <f t="shared" si="58"/>
        <v>2.27550401315789</v>
      </c>
      <c r="W151" s="20">
        <v>3.13</v>
      </c>
      <c r="X151" s="62">
        <f t="shared" si="41"/>
        <v>-0.854495986842105</v>
      </c>
      <c r="Y151" s="75">
        <f t="shared" si="42"/>
        <v>0.00292975386029525</v>
      </c>
      <c r="Z151" s="76">
        <f t="shared" si="43"/>
        <v>0.0755327167107368</v>
      </c>
      <c r="AA151" s="22">
        <f t="shared" si="44"/>
        <v>0.0986944444444444</v>
      </c>
      <c r="AB151" s="76">
        <f t="shared" si="45"/>
        <v>0.0433725644401209</v>
      </c>
      <c r="AC151" s="77">
        <f t="shared" si="46"/>
        <v>0.0131838923713286</v>
      </c>
      <c r="AD151" s="77">
        <f t="shared" si="47"/>
        <v>0.131838923713286</v>
      </c>
      <c r="AE151" s="77">
        <f t="shared" si="48"/>
        <v>0.339417603289219</v>
      </c>
      <c r="AF151" s="78">
        <v>178</v>
      </c>
      <c r="AG151" s="83">
        <f t="shared" si="49"/>
        <v>2.9972576754386</v>
      </c>
      <c r="AH151" s="84">
        <f t="shared" si="50"/>
        <v>533.51186622807</v>
      </c>
      <c r="AI151" s="85">
        <f t="shared" si="51"/>
        <v>405.039714342105</v>
      </c>
      <c r="AJ151" s="85">
        <f t="shared" si="52"/>
        <v>557.14</v>
      </c>
      <c r="AK151" s="1">
        <f t="shared" si="54"/>
        <v>1.99397394374417</v>
      </c>
      <c r="AL151" s="49">
        <f t="shared" si="55"/>
        <v>-0.0424096883582747</v>
      </c>
    </row>
    <row r="152" spans="1:38">
      <c r="A152" s="17">
        <v>149</v>
      </c>
      <c r="B152" s="106" t="s">
        <v>353</v>
      </c>
      <c r="C152" s="102" t="s">
        <v>354</v>
      </c>
      <c r="D152" s="108" t="s">
        <v>350</v>
      </c>
      <c r="E152" s="109"/>
      <c r="F152" s="110">
        <v>0.08925</v>
      </c>
      <c r="G152" s="111">
        <v>16</v>
      </c>
      <c r="H152" s="112">
        <v>0.95</v>
      </c>
      <c r="I152" s="111">
        <f t="shared" si="57"/>
        <v>1.50315789473684</v>
      </c>
      <c r="J152" s="133" t="s">
        <v>65</v>
      </c>
      <c r="K152" s="134">
        <f t="shared" si="56"/>
        <v>65</v>
      </c>
      <c r="L152" s="134">
        <v>55.3846153846154</v>
      </c>
      <c r="M152" s="135">
        <v>2</v>
      </c>
      <c r="N152" s="133">
        <v>34</v>
      </c>
      <c r="O152" s="133">
        <v>0.76</v>
      </c>
      <c r="P152" s="133">
        <v>22.5</v>
      </c>
      <c r="Q152" s="111">
        <f t="shared" si="59"/>
        <v>0.173076923076923</v>
      </c>
      <c r="R152" s="133">
        <v>0</v>
      </c>
      <c r="S152" s="146">
        <v>0.03</v>
      </c>
      <c r="T152" s="146">
        <v>0.00666666666666667</v>
      </c>
      <c r="U152" s="133">
        <v>0.3</v>
      </c>
      <c r="V152" s="100">
        <f t="shared" si="58"/>
        <v>2.27760423751687</v>
      </c>
      <c r="W152" s="20">
        <v>3.13</v>
      </c>
      <c r="X152" s="62">
        <f t="shared" si="41"/>
        <v>-0.852395762483131</v>
      </c>
      <c r="Y152" s="75">
        <f t="shared" si="42"/>
        <v>0.00292705227574345</v>
      </c>
      <c r="Z152" s="76">
        <f t="shared" si="43"/>
        <v>0.0759907802356472</v>
      </c>
      <c r="AA152" s="22">
        <f t="shared" si="44"/>
        <v>0.0993846153846154</v>
      </c>
      <c r="AB152" s="76">
        <f t="shared" si="45"/>
        <v>0.0436355946953138</v>
      </c>
      <c r="AC152" s="77">
        <f t="shared" si="46"/>
        <v>0.0131717352408455</v>
      </c>
      <c r="AD152" s="77">
        <f t="shared" si="47"/>
        <v>0.131717352408455</v>
      </c>
      <c r="AE152" s="77">
        <f t="shared" si="48"/>
        <v>0.34002673951132</v>
      </c>
      <c r="AF152" s="78">
        <v>335</v>
      </c>
      <c r="AG152" s="83">
        <f t="shared" si="49"/>
        <v>3.00009581646424</v>
      </c>
      <c r="AH152" s="84">
        <f t="shared" si="50"/>
        <v>1005.03209851552</v>
      </c>
      <c r="AI152" s="85">
        <f t="shared" si="51"/>
        <v>762.997419568151</v>
      </c>
      <c r="AJ152" s="85">
        <f t="shared" si="52"/>
        <v>1048.55</v>
      </c>
      <c r="AK152" s="1">
        <f t="shared" si="54"/>
        <v>1.99586206277383</v>
      </c>
      <c r="AL152" s="49">
        <f t="shared" si="55"/>
        <v>-0.0415029340369839</v>
      </c>
    </row>
    <row r="153" spans="1:38">
      <c r="A153" s="17">
        <v>150</v>
      </c>
      <c r="B153" s="106" t="s">
        <v>355</v>
      </c>
      <c r="C153" s="102" t="s">
        <v>356</v>
      </c>
      <c r="D153" s="108" t="s">
        <v>357</v>
      </c>
      <c r="E153" s="109"/>
      <c r="F153" s="110">
        <v>0.00386</v>
      </c>
      <c r="G153" s="111">
        <v>19</v>
      </c>
      <c r="H153" s="112">
        <v>0.95</v>
      </c>
      <c r="I153" s="111">
        <f t="shared" si="57"/>
        <v>0.0772</v>
      </c>
      <c r="J153" s="133" t="s">
        <v>65</v>
      </c>
      <c r="K153" s="134">
        <f t="shared" si="56"/>
        <v>65</v>
      </c>
      <c r="L153" s="134">
        <v>55.3846153846154</v>
      </c>
      <c r="M153" s="135">
        <v>2</v>
      </c>
      <c r="N153" s="133">
        <v>34</v>
      </c>
      <c r="O153" s="133">
        <v>0.76</v>
      </c>
      <c r="P153" s="133">
        <v>22.5</v>
      </c>
      <c r="Q153" s="111">
        <f t="shared" si="59"/>
        <v>0.173076923076923</v>
      </c>
      <c r="R153" s="133">
        <v>0</v>
      </c>
      <c r="S153" s="146">
        <v>0.01</v>
      </c>
      <c r="T153" s="146">
        <v>0.00666666666666667</v>
      </c>
      <c r="U153" s="133">
        <v>0.3</v>
      </c>
      <c r="V153" s="100">
        <f t="shared" si="58"/>
        <v>0.694790974358974</v>
      </c>
      <c r="W153" s="20">
        <v>0.95</v>
      </c>
      <c r="X153" s="62">
        <f t="shared" si="41"/>
        <v>-0.255209025641026</v>
      </c>
      <c r="Y153" s="75">
        <f t="shared" si="42"/>
        <v>0.00959521195970838</v>
      </c>
      <c r="Z153" s="76">
        <f t="shared" si="43"/>
        <v>0.249106464338583</v>
      </c>
      <c r="AA153" s="22">
        <f t="shared" si="44"/>
        <v>0.0993846153846154</v>
      </c>
      <c r="AB153" s="76">
        <f t="shared" si="45"/>
        <v>0.143042467522422</v>
      </c>
      <c r="AC153" s="77">
        <f t="shared" si="46"/>
        <v>0.0143928179395626</v>
      </c>
      <c r="AD153" s="77">
        <f t="shared" si="47"/>
        <v>0.431784538186877</v>
      </c>
      <c r="AE153" s="77">
        <f t="shared" si="48"/>
        <v>0.888887445506577</v>
      </c>
      <c r="AF153" s="78">
        <v>610</v>
      </c>
      <c r="AG153" s="83">
        <f t="shared" si="49"/>
        <v>0.841158974358974</v>
      </c>
      <c r="AH153" s="84">
        <f t="shared" si="50"/>
        <v>513.106974358974</v>
      </c>
      <c r="AI153" s="85">
        <f t="shared" si="51"/>
        <v>423.822494358974</v>
      </c>
      <c r="AJ153" s="85">
        <f t="shared" si="52"/>
        <v>579.5</v>
      </c>
      <c r="AK153" s="1">
        <f t="shared" si="54"/>
        <v>10.8958416367743</v>
      </c>
      <c r="AL153" s="49">
        <f t="shared" si="55"/>
        <v>-0.114569500674764</v>
      </c>
    </row>
    <row r="154" spans="1:38">
      <c r="A154" s="17">
        <v>151</v>
      </c>
      <c r="B154" s="94" t="s">
        <v>358</v>
      </c>
      <c r="C154" s="102" t="s">
        <v>359</v>
      </c>
      <c r="D154" s="108" t="s">
        <v>360</v>
      </c>
      <c r="E154" s="109"/>
      <c r="F154" s="110">
        <v>0.02158</v>
      </c>
      <c r="G154" s="111">
        <v>17.3</v>
      </c>
      <c r="H154" s="112">
        <v>0.96</v>
      </c>
      <c r="I154" s="111">
        <f t="shared" si="57"/>
        <v>0.388889583333333</v>
      </c>
      <c r="J154" s="130" t="s">
        <v>81</v>
      </c>
      <c r="K154" s="134">
        <f t="shared" si="56"/>
        <v>72</v>
      </c>
      <c r="L154" s="134">
        <v>50</v>
      </c>
      <c r="M154" s="135">
        <v>2</v>
      </c>
      <c r="N154" s="133">
        <v>39.75</v>
      </c>
      <c r="O154" s="133">
        <v>0.76</v>
      </c>
      <c r="P154" s="133">
        <v>22.5</v>
      </c>
      <c r="Q154" s="111">
        <f t="shared" si="59"/>
        <v>0.15625</v>
      </c>
      <c r="R154" s="133">
        <v>0</v>
      </c>
      <c r="S154" s="146">
        <v>0.0143116666666667</v>
      </c>
      <c r="T154" s="146">
        <v>0.0333333333333333</v>
      </c>
      <c r="U154" s="133">
        <v>0</v>
      </c>
      <c r="V154" s="100">
        <f t="shared" si="58"/>
        <v>0.754872645833333</v>
      </c>
      <c r="W154" s="20">
        <v>1.04</v>
      </c>
      <c r="X154" s="62">
        <f t="shared" si="41"/>
        <v>-0.285127354166667</v>
      </c>
      <c r="Y154" s="75">
        <f t="shared" si="42"/>
        <v>0.0441575589171539</v>
      </c>
      <c r="Z154" s="76">
        <f t="shared" si="43"/>
        <v>0.206988557424159</v>
      </c>
      <c r="AA154" s="22">
        <f t="shared" si="44"/>
        <v>0.104895833333333</v>
      </c>
      <c r="AB154" s="76">
        <f t="shared" si="45"/>
        <v>0.138958318217419</v>
      </c>
      <c r="AC154" s="77">
        <f t="shared" si="46"/>
        <v>0.0189590479210801</v>
      </c>
      <c r="AD154" s="77">
        <f t="shared" si="47"/>
        <v>0</v>
      </c>
      <c r="AE154" s="77">
        <f t="shared" si="48"/>
        <v>0.484827559350726</v>
      </c>
      <c r="AF154" s="78">
        <v>1960</v>
      </c>
      <c r="AG154" s="83">
        <f t="shared" si="49"/>
        <v>1.022698125</v>
      </c>
      <c r="AH154" s="84">
        <f t="shared" si="50"/>
        <v>2004.488325</v>
      </c>
      <c r="AI154" s="85">
        <f t="shared" si="51"/>
        <v>1479.55038583333</v>
      </c>
      <c r="AJ154" s="85">
        <f t="shared" si="52"/>
        <v>2038.4</v>
      </c>
      <c r="AK154" s="1">
        <f t="shared" si="54"/>
        <v>2.629790482517</v>
      </c>
      <c r="AL154" s="49">
        <f t="shared" si="55"/>
        <v>-0.0166364182692308</v>
      </c>
    </row>
    <row r="155" spans="1:38">
      <c r="A155" s="17">
        <v>152</v>
      </c>
      <c r="B155" s="94" t="s">
        <v>361</v>
      </c>
      <c r="C155" s="102" t="s">
        <v>119</v>
      </c>
      <c r="D155" s="108" t="s">
        <v>357</v>
      </c>
      <c r="E155" s="109"/>
      <c r="F155" s="110">
        <v>0.01536</v>
      </c>
      <c r="G155" s="111">
        <v>19</v>
      </c>
      <c r="H155" s="112">
        <v>0.96</v>
      </c>
      <c r="I155" s="111">
        <f t="shared" si="57"/>
        <v>0.304</v>
      </c>
      <c r="J155" s="133" t="s">
        <v>65</v>
      </c>
      <c r="K155" s="134">
        <f t="shared" si="56"/>
        <v>72</v>
      </c>
      <c r="L155" s="134">
        <v>50</v>
      </c>
      <c r="M155" s="135">
        <v>2</v>
      </c>
      <c r="N155" s="133">
        <v>34</v>
      </c>
      <c r="O155" s="133">
        <v>0.76</v>
      </c>
      <c r="P155" s="133">
        <v>22.5</v>
      </c>
      <c r="Q155" s="111">
        <f t="shared" si="59"/>
        <v>0.15625</v>
      </c>
      <c r="R155" s="133">
        <v>0</v>
      </c>
      <c r="S155" s="146">
        <v>0.0286233333333333</v>
      </c>
      <c r="T155" s="146">
        <v>0.0666666666666667</v>
      </c>
      <c r="U155" s="133">
        <v>0</v>
      </c>
      <c r="V155" s="100">
        <f t="shared" si="58"/>
        <v>0.677135833333333</v>
      </c>
      <c r="W155" s="20">
        <v>0.95</v>
      </c>
      <c r="X155" s="62">
        <f t="shared" si="41"/>
        <v>-0.272864166666667</v>
      </c>
      <c r="Y155" s="75">
        <f t="shared" si="42"/>
        <v>0.0984539044972513</v>
      </c>
      <c r="Z155" s="76">
        <f t="shared" si="43"/>
        <v>0.230751338665433</v>
      </c>
      <c r="AA155" s="22">
        <f t="shared" si="44"/>
        <v>0.0897222222222222</v>
      </c>
      <c r="AB155" s="76">
        <f t="shared" si="45"/>
        <v>0.132502546469217</v>
      </c>
      <c r="AC155" s="77">
        <f t="shared" si="46"/>
        <v>0.0422711838958948</v>
      </c>
      <c r="AD155" s="77">
        <f t="shared" si="47"/>
        <v>0</v>
      </c>
      <c r="AE155" s="77">
        <f t="shared" si="48"/>
        <v>0.551050195492534</v>
      </c>
      <c r="AF155" s="78">
        <v>300</v>
      </c>
      <c r="AG155" s="83">
        <f t="shared" si="49"/>
        <v>0.920248333333333</v>
      </c>
      <c r="AH155" s="84">
        <f t="shared" si="50"/>
        <v>276.0745</v>
      </c>
      <c r="AI155" s="85">
        <f t="shared" si="51"/>
        <v>203.14075</v>
      </c>
      <c r="AJ155" s="85">
        <f t="shared" si="52"/>
        <v>285</v>
      </c>
      <c r="AK155" s="1">
        <f t="shared" si="54"/>
        <v>3.0271326754386</v>
      </c>
      <c r="AL155" s="49">
        <f t="shared" si="55"/>
        <v>-0.0313175438596494</v>
      </c>
    </row>
    <row r="156" spans="1:38">
      <c r="A156" s="17">
        <v>153</v>
      </c>
      <c r="B156" s="94" t="s">
        <v>362</v>
      </c>
      <c r="C156" s="102" t="s">
        <v>363</v>
      </c>
      <c r="D156" s="108" t="s">
        <v>357</v>
      </c>
      <c r="E156" s="109"/>
      <c r="F156" s="110">
        <v>0.00306</v>
      </c>
      <c r="G156" s="111">
        <v>19</v>
      </c>
      <c r="H156" s="112">
        <v>0.98</v>
      </c>
      <c r="I156" s="111">
        <f t="shared" si="57"/>
        <v>0.0593265306122449</v>
      </c>
      <c r="J156" s="133" t="s">
        <v>65</v>
      </c>
      <c r="K156" s="134">
        <f t="shared" si="56"/>
        <v>80</v>
      </c>
      <c r="L156" s="134">
        <v>45</v>
      </c>
      <c r="M156" s="135">
        <v>2</v>
      </c>
      <c r="N156" s="133">
        <v>34</v>
      </c>
      <c r="O156" s="133">
        <v>0.76</v>
      </c>
      <c r="P156" s="133">
        <v>22.5</v>
      </c>
      <c r="Q156" s="111">
        <f t="shared" si="59"/>
        <v>0.140625</v>
      </c>
      <c r="R156" s="133">
        <v>0</v>
      </c>
      <c r="S156" s="146">
        <v>0.01</v>
      </c>
      <c r="T156" s="146">
        <v>0.01</v>
      </c>
      <c r="U156" s="133">
        <v>0.3</v>
      </c>
      <c r="V156" s="100">
        <f t="shared" si="58"/>
        <v>0.621578698979592</v>
      </c>
      <c r="W156" s="20">
        <v>0.83</v>
      </c>
      <c r="X156" s="62">
        <f t="shared" si="41"/>
        <v>-0.208421301020408</v>
      </c>
      <c r="Y156" s="75">
        <f t="shared" si="42"/>
        <v>0.0160880673942276</v>
      </c>
      <c r="Z156" s="76">
        <f t="shared" si="43"/>
        <v>0.226238447731326</v>
      </c>
      <c r="AA156" s="22">
        <f t="shared" si="44"/>
        <v>0.08075</v>
      </c>
      <c r="AB156" s="76">
        <f t="shared" si="45"/>
        <v>0.129911144208388</v>
      </c>
      <c r="AC156" s="77">
        <f t="shared" si="46"/>
        <v>0.0160880673942276</v>
      </c>
      <c r="AD156" s="77">
        <f t="shared" si="47"/>
        <v>0.482642021826829</v>
      </c>
      <c r="AE156" s="77">
        <f t="shared" si="48"/>
        <v>0.90455507772445</v>
      </c>
      <c r="AF156" s="78">
        <v>410</v>
      </c>
      <c r="AG156" s="83">
        <f t="shared" si="49"/>
        <v>0.741052295918367</v>
      </c>
      <c r="AH156" s="84">
        <f t="shared" si="50"/>
        <v>303.831441326531</v>
      </c>
      <c r="AI156" s="85">
        <f t="shared" si="51"/>
        <v>254.847266581633</v>
      </c>
      <c r="AJ156" s="85">
        <f t="shared" si="52"/>
        <v>340.3</v>
      </c>
      <c r="AK156" s="1">
        <f t="shared" si="54"/>
        <v>12.4910775713794</v>
      </c>
      <c r="AL156" s="49">
        <f t="shared" si="55"/>
        <v>-0.107165908532088</v>
      </c>
    </row>
    <row r="157" spans="1:36">
      <c r="A157" s="17">
        <v>154</v>
      </c>
      <c r="B157" s="94" t="s">
        <v>364</v>
      </c>
      <c r="C157" s="102" t="s">
        <v>365</v>
      </c>
      <c r="D157" s="108" t="s">
        <v>357</v>
      </c>
      <c r="E157" s="109"/>
      <c r="F157" s="110">
        <v>0.00306</v>
      </c>
      <c r="G157" s="111">
        <v>19</v>
      </c>
      <c r="H157" s="112">
        <v>0.98</v>
      </c>
      <c r="I157" s="111">
        <f t="shared" si="57"/>
        <v>0.0593265306122449</v>
      </c>
      <c r="J157" s="133" t="s">
        <v>65</v>
      </c>
      <c r="K157" s="134">
        <f t="shared" si="56"/>
        <v>80</v>
      </c>
      <c r="L157" s="134">
        <v>45</v>
      </c>
      <c r="M157" s="135">
        <v>2</v>
      </c>
      <c r="N157" s="133">
        <v>34</v>
      </c>
      <c r="O157" s="133">
        <v>0.76</v>
      </c>
      <c r="P157" s="133">
        <v>22.5</v>
      </c>
      <c r="Q157" s="111">
        <f t="shared" si="59"/>
        <v>0.140625</v>
      </c>
      <c r="R157" s="133">
        <v>0</v>
      </c>
      <c r="S157" s="146">
        <v>0.01</v>
      </c>
      <c r="T157" s="146">
        <v>0.01</v>
      </c>
      <c r="U157" s="133">
        <v>0.3</v>
      </c>
      <c r="V157" s="100">
        <f t="shared" si="58"/>
        <v>0.621578698979592</v>
      </c>
      <c r="W157" s="20">
        <v>0.83</v>
      </c>
      <c r="X157" s="62">
        <f t="shared" si="41"/>
        <v>-0.208421301020408</v>
      </c>
      <c r="Y157" s="75">
        <f t="shared" si="42"/>
        <v>0.0160880673942276</v>
      </c>
      <c r="Z157" s="76">
        <f t="shared" si="43"/>
        <v>0.226238447731326</v>
      </c>
      <c r="AA157" s="22">
        <f t="shared" si="44"/>
        <v>0.08075</v>
      </c>
      <c r="AB157" s="76">
        <f t="shared" si="45"/>
        <v>0.129911144208388</v>
      </c>
      <c r="AC157" s="77">
        <f t="shared" si="46"/>
        <v>0.0160880673942276</v>
      </c>
      <c r="AD157" s="77">
        <f t="shared" si="47"/>
        <v>0.482642021826829</v>
      </c>
      <c r="AE157" s="77">
        <f t="shared" si="48"/>
        <v>0.90455507772445</v>
      </c>
      <c r="AF157" s="78"/>
      <c r="AG157" s="83">
        <f t="shared" si="49"/>
        <v>0.741052295918367</v>
      </c>
      <c r="AH157" s="84">
        <f t="shared" si="50"/>
        <v>0</v>
      </c>
      <c r="AI157" s="85">
        <f t="shared" si="51"/>
        <v>0</v>
      </c>
      <c r="AJ157" s="85">
        <f t="shared" si="52"/>
        <v>0</v>
      </c>
    </row>
    <row r="158" spans="1:38">
      <c r="A158" s="17">
        <v>155</v>
      </c>
      <c r="B158" s="94" t="s">
        <v>366</v>
      </c>
      <c r="C158" s="102" t="s">
        <v>367</v>
      </c>
      <c r="D158" s="108" t="s">
        <v>357</v>
      </c>
      <c r="E158" s="109"/>
      <c r="F158" s="110">
        <v>0.00306</v>
      </c>
      <c r="G158" s="111">
        <v>19</v>
      </c>
      <c r="H158" s="112">
        <v>0.97</v>
      </c>
      <c r="I158" s="111">
        <f t="shared" si="57"/>
        <v>0.0599381443298969</v>
      </c>
      <c r="J158" s="133" t="s">
        <v>368</v>
      </c>
      <c r="K158" s="134">
        <f t="shared" si="56"/>
        <v>80</v>
      </c>
      <c r="L158" s="134">
        <v>45</v>
      </c>
      <c r="M158" s="135">
        <v>2</v>
      </c>
      <c r="N158" s="133">
        <v>34</v>
      </c>
      <c r="O158" s="133">
        <v>0.76</v>
      </c>
      <c r="P158" s="133">
        <v>22.5</v>
      </c>
      <c r="Q158" s="111">
        <f t="shared" si="59"/>
        <v>0.140625</v>
      </c>
      <c r="R158" s="133">
        <v>0</v>
      </c>
      <c r="S158" s="146">
        <v>0.01</v>
      </c>
      <c r="T158" s="146">
        <v>0.00666666666666667</v>
      </c>
      <c r="U158" s="133">
        <v>0.3</v>
      </c>
      <c r="V158" s="100">
        <f t="shared" si="58"/>
        <v>0.618924256872852</v>
      </c>
      <c r="W158" s="20">
        <v>0.83</v>
      </c>
      <c r="X158" s="62">
        <f t="shared" si="41"/>
        <v>-0.211075743127148</v>
      </c>
      <c r="Y158" s="75">
        <f t="shared" si="42"/>
        <v>0.0107713772608467</v>
      </c>
      <c r="Z158" s="76">
        <f t="shared" si="43"/>
        <v>0.227208739095985</v>
      </c>
      <c r="AA158" s="22">
        <f t="shared" si="44"/>
        <v>0.08075</v>
      </c>
      <c r="AB158" s="76">
        <f t="shared" si="45"/>
        <v>0.130468307072005</v>
      </c>
      <c r="AC158" s="77">
        <f t="shared" si="46"/>
        <v>0.01615706589127</v>
      </c>
      <c r="AD158" s="77">
        <f t="shared" si="47"/>
        <v>0.4847119767381</v>
      </c>
      <c r="AE158" s="77">
        <f t="shared" si="48"/>
        <v>0.90315754526614</v>
      </c>
      <c r="AF158" s="78">
        <v>370</v>
      </c>
      <c r="AG158" s="83">
        <f t="shared" si="49"/>
        <v>0.738636383161512</v>
      </c>
      <c r="AH158" s="84">
        <f t="shared" si="50"/>
        <v>273.295461769759</v>
      </c>
      <c r="AI158" s="85">
        <f t="shared" si="51"/>
        <v>229.001975042955</v>
      </c>
      <c r="AJ158" s="85">
        <f t="shared" si="52"/>
        <v>307.1</v>
      </c>
      <c r="AK158" s="1">
        <f t="shared" si="54"/>
        <v>12.32331083018</v>
      </c>
      <c r="AL158" s="49">
        <f t="shared" si="55"/>
        <v>-0.110076646793359</v>
      </c>
    </row>
    <row r="159" spans="1:38">
      <c r="A159" s="17">
        <v>156</v>
      </c>
      <c r="B159" s="94" t="s">
        <v>369</v>
      </c>
      <c r="C159" s="102" t="s">
        <v>370</v>
      </c>
      <c r="D159" s="98" t="s">
        <v>360</v>
      </c>
      <c r="E159" s="99"/>
      <c r="F159" s="99">
        <v>0.01663</v>
      </c>
      <c r="G159" s="100">
        <v>17.3</v>
      </c>
      <c r="H159" s="101">
        <v>0.96</v>
      </c>
      <c r="I159" s="136">
        <f t="shared" si="57"/>
        <v>0.299686458333333</v>
      </c>
      <c r="J159" s="131" t="s">
        <v>81</v>
      </c>
      <c r="K159" s="131">
        <v>60</v>
      </c>
      <c r="L159" s="110">
        <v>60</v>
      </c>
      <c r="M159" s="108">
        <v>1</v>
      </c>
      <c r="N159" s="110">
        <v>39.75</v>
      </c>
      <c r="O159" s="110">
        <v>0.76</v>
      </c>
      <c r="P159" s="110">
        <v>22.5</v>
      </c>
      <c r="Q159" s="111">
        <f t="shared" si="59"/>
        <v>0.375</v>
      </c>
      <c r="R159" s="100"/>
      <c r="S159" s="143"/>
      <c r="T159" s="100">
        <v>0.01</v>
      </c>
      <c r="U159" s="110"/>
      <c r="V159" s="100">
        <f t="shared" si="58"/>
        <v>1.03834446875</v>
      </c>
      <c r="W159" s="20">
        <v>1.35</v>
      </c>
      <c r="X159" s="62">
        <f t="shared" si="41"/>
        <v>-0.31165553125</v>
      </c>
      <c r="Y159" s="75">
        <f t="shared" si="42"/>
        <v>0.00963071533673059</v>
      </c>
      <c r="Z159" s="76">
        <f t="shared" si="43"/>
        <v>0.361151825127397</v>
      </c>
      <c r="AA159" s="22">
        <f t="shared" si="44"/>
        <v>0.25175</v>
      </c>
      <c r="AB159" s="76">
        <f t="shared" si="45"/>
        <v>0.242453258602193</v>
      </c>
      <c r="AC159" s="77">
        <f t="shared" si="46"/>
        <v>0</v>
      </c>
      <c r="AD159" s="77">
        <f t="shared" si="47"/>
        <v>0</v>
      </c>
      <c r="AE159" s="77">
        <f t="shared" si="48"/>
        <v>0.711380502951869</v>
      </c>
      <c r="AF159" s="78">
        <v>720</v>
      </c>
      <c r="AG159" s="83">
        <f t="shared" si="49"/>
        <v>1.3996546875</v>
      </c>
      <c r="AH159" s="84">
        <f t="shared" si="50"/>
        <v>1007.751375</v>
      </c>
      <c r="AI159" s="85">
        <f t="shared" si="51"/>
        <v>747.6080175</v>
      </c>
      <c r="AJ159" s="85">
        <f t="shared" si="52"/>
        <v>972</v>
      </c>
      <c r="AK159" s="1">
        <f t="shared" si="54"/>
        <v>4.67039683836232</v>
      </c>
      <c r="AL159" s="49">
        <f t="shared" si="55"/>
        <v>0.0367812499999999</v>
      </c>
    </row>
    <row r="160" spans="1:38">
      <c r="A160" s="17">
        <v>157</v>
      </c>
      <c r="B160" s="106" t="s">
        <v>371</v>
      </c>
      <c r="C160" s="107" t="s">
        <v>372</v>
      </c>
      <c r="D160" s="108" t="s">
        <v>43</v>
      </c>
      <c r="E160" s="99"/>
      <c r="F160" s="99">
        <v>0.0252</v>
      </c>
      <c r="G160" s="100">
        <v>17.3</v>
      </c>
      <c r="H160" s="101">
        <v>0.96</v>
      </c>
      <c r="I160" s="100">
        <f t="shared" si="57"/>
        <v>0.454125</v>
      </c>
      <c r="J160" s="130" t="s">
        <v>65</v>
      </c>
      <c r="K160" s="110">
        <v>55</v>
      </c>
      <c r="L160" s="131">
        <f>3600/K160</f>
        <v>65.4545454545455</v>
      </c>
      <c r="M160" s="108">
        <v>2</v>
      </c>
      <c r="N160" s="110">
        <v>34</v>
      </c>
      <c r="O160" s="110">
        <v>0.76</v>
      </c>
      <c r="P160" s="110">
        <v>22.5</v>
      </c>
      <c r="Q160" s="100">
        <f t="shared" si="59"/>
        <v>0.204545454545455</v>
      </c>
      <c r="R160" s="143"/>
      <c r="S160" s="144">
        <v>0.27</v>
      </c>
      <c r="T160" s="144">
        <v>0.01</v>
      </c>
      <c r="U160" s="144"/>
      <c r="V160" s="100">
        <f t="shared" ref="V160:V169" si="60">(I160+Q160+(N160*O160/K160/M160)/2)*1.11+R160*1.03+S160+T160+U160</f>
        <v>1.14149875</v>
      </c>
      <c r="W160" s="20">
        <v>1.48</v>
      </c>
      <c r="X160" s="62">
        <f t="shared" si="41"/>
        <v>-0.33850125</v>
      </c>
      <c r="Y160" s="75">
        <f t="shared" si="42"/>
        <v>0.00876041257163006</v>
      </c>
      <c r="Z160" s="76">
        <f t="shared" si="43"/>
        <v>0.179190257146979</v>
      </c>
      <c r="AA160" s="22">
        <f t="shared" si="44"/>
        <v>0.117454545454545</v>
      </c>
      <c r="AB160" s="76">
        <f t="shared" si="45"/>
        <v>0.102895027659509</v>
      </c>
      <c r="AC160" s="77">
        <f t="shared" si="46"/>
        <v>0.236531139434012</v>
      </c>
      <c r="AD160" s="77">
        <f t="shared" si="47"/>
        <v>0</v>
      </c>
      <c r="AE160" s="77">
        <f t="shared" si="48"/>
        <v>0.60216776409085</v>
      </c>
      <c r="AF160" s="78">
        <v>314</v>
      </c>
      <c r="AG160" s="83">
        <f t="shared" si="49"/>
        <v>1.4441875</v>
      </c>
      <c r="AH160" s="84">
        <f t="shared" si="50"/>
        <v>453.474875</v>
      </c>
      <c r="AI160" s="85">
        <f t="shared" si="51"/>
        <v>358.4306075</v>
      </c>
      <c r="AJ160" s="85">
        <f t="shared" si="52"/>
        <v>464.72</v>
      </c>
      <c r="AK160" s="1">
        <f t="shared" si="54"/>
        <v>3.18015414258189</v>
      </c>
      <c r="AL160" s="49">
        <f t="shared" si="55"/>
        <v>-0.0241976351351352</v>
      </c>
    </row>
    <row r="161" spans="1:38">
      <c r="A161" s="17">
        <v>158</v>
      </c>
      <c r="B161" s="106" t="s">
        <v>373</v>
      </c>
      <c r="C161" s="107" t="s">
        <v>374</v>
      </c>
      <c r="D161" s="108" t="s">
        <v>347</v>
      </c>
      <c r="E161" s="99"/>
      <c r="F161" s="99">
        <v>0.02</v>
      </c>
      <c r="G161" s="111">
        <v>17.4</v>
      </c>
      <c r="H161" s="101">
        <v>0.96</v>
      </c>
      <c r="I161" s="100">
        <f t="shared" si="57"/>
        <v>0.3625</v>
      </c>
      <c r="J161" s="130" t="s">
        <v>65</v>
      </c>
      <c r="K161" s="110">
        <v>65</v>
      </c>
      <c r="L161" s="131">
        <v>55</v>
      </c>
      <c r="M161" s="108">
        <v>2</v>
      </c>
      <c r="N161" s="110">
        <v>34</v>
      </c>
      <c r="O161" s="110">
        <v>0.76</v>
      </c>
      <c r="P161" s="110">
        <v>22.5</v>
      </c>
      <c r="Q161" s="100">
        <f t="shared" si="59"/>
        <v>0.173076923076923</v>
      </c>
      <c r="R161" s="143"/>
      <c r="S161" s="144">
        <f>0.1307/200</f>
        <v>0.0006535</v>
      </c>
      <c r="T161" s="144">
        <v>0.01</v>
      </c>
      <c r="U161" s="144"/>
      <c r="V161" s="100">
        <f t="shared" si="60"/>
        <v>0.715460807692308</v>
      </c>
      <c r="W161" s="20">
        <v>0.94</v>
      </c>
      <c r="X161" s="62">
        <f t="shared" si="41"/>
        <v>-0.224539192307692</v>
      </c>
      <c r="Y161" s="75">
        <f t="shared" si="42"/>
        <v>0.013977005997372</v>
      </c>
      <c r="Z161" s="76">
        <f t="shared" si="43"/>
        <v>0.241909719185285</v>
      </c>
      <c r="AA161" s="22">
        <f t="shared" si="44"/>
        <v>0.0993846153846154</v>
      </c>
      <c r="AB161" s="76">
        <f t="shared" si="45"/>
        <v>0.138909936527728</v>
      </c>
      <c r="AC161" s="77">
        <f t="shared" si="46"/>
        <v>0.00091339734192826</v>
      </c>
      <c r="AD161" s="77">
        <f t="shared" si="47"/>
        <v>0</v>
      </c>
      <c r="AE161" s="77">
        <f t="shared" si="48"/>
        <v>0.493333532595265</v>
      </c>
      <c r="AF161" s="78">
        <v>370</v>
      </c>
      <c r="AG161" s="83">
        <f t="shared" si="49"/>
        <v>0.963095807692308</v>
      </c>
      <c r="AH161" s="84">
        <f t="shared" si="50"/>
        <v>356.345448846154</v>
      </c>
      <c r="AI161" s="85">
        <f t="shared" si="51"/>
        <v>264.720498846154</v>
      </c>
      <c r="AJ161" s="85">
        <f t="shared" si="52"/>
        <v>347.8</v>
      </c>
      <c r="AK161" s="1">
        <f t="shared" si="54"/>
        <v>2.65681602122016</v>
      </c>
      <c r="AL161" s="49">
        <f t="shared" si="55"/>
        <v>0.0245700081833064</v>
      </c>
    </row>
    <row r="162" spans="1:38">
      <c r="A162" s="17">
        <v>159</v>
      </c>
      <c r="B162" s="106" t="s">
        <v>375</v>
      </c>
      <c r="C162" s="107" t="s">
        <v>376</v>
      </c>
      <c r="D162" s="108" t="s">
        <v>350</v>
      </c>
      <c r="E162" s="99"/>
      <c r="F162" s="99">
        <v>0.017</v>
      </c>
      <c r="G162" s="100">
        <v>19</v>
      </c>
      <c r="H162" s="101">
        <v>0.96</v>
      </c>
      <c r="I162" s="100">
        <f t="shared" si="57"/>
        <v>0.336458333333333</v>
      </c>
      <c r="J162" s="130" t="s">
        <v>65</v>
      </c>
      <c r="K162" s="110">
        <v>65</v>
      </c>
      <c r="L162" s="131">
        <v>55</v>
      </c>
      <c r="M162" s="108">
        <v>2</v>
      </c>
      <c r="N162" s="110">
        <v>34</v>
      </c>
      <c r="O162" s="110">
        <v>0.76</v>
      </c>
      <c r="P162" s="110">
        <v>22.5</v>
      </c>
      <c r="Q162" s="100">
        <f t="shared" si="59"/>
        <v>0.173076923076923</v>
      </c>
      <c r="R162" s="143"/>
      <c r="S162" s="144">
        <f>0.1307/200</f>
        <v>0.0006535</v>
      </c>
      <c r="T162" s="144">
        <v>0.01</v>
      </c>
      <c r="U162" s="144">
        <v>0.5</v>
      </c>
      <c r="V162" s="100">
        <f t="shared" si="60"/>
        <v>1.18655455769231</v>
      </c>
      <c r="W162" s="20">
        <v>1.55</v>
      </c>
      <c r="X162" s="62">
        <f t="shared" si="41"/>
        <v>-0.363445442307692</v>
      </c>
      <c r="Y162" s="75">
        <f t="shared" si="42"/>
        <v>0.00842776249534508</v>
      </c>
      <c r="Z162" s="76">
        <f t="shared" si="43"/>
        <v>0.145865120111742</v>
      </c>
      <c r="AA162" s="22">
        <f t="shared" si="44"/>
        <v>0.0993846153846154</v>
      </c>
      <c r="AB162" s="76">
        <f t="shared" si="45"/>
        <v>0.0837589934152757</v>
      </c>
      <c r="AC162" s="77">
        <f t="shared" si="46"/>
        <v>0.000550754279070801</v>
      </c>
      <c r="AD162" s="77">
        <f t="shared" si="47"/>
        <v>0.421388124767254</v>
      </c>
      <c r="AE162" s="77">
        <f t="shared" si="48"/>
        <v>0.716440907708702</v>
      </c>
      <c r="AF162" s="78">
        <v>400</v>
      </c>
      <c r="AG162" s="83">
        <f t="shared" si="49"/>
        <v>1.42403330769231</v>
      </c>
      <c r="AH162" s="84">
        <f t="shared" si="50"/>
        <v>569.613323076923</v>
      </c>
      <c r="AI162" s="85">
        <f t="shared" si="51"/>
        <v>474.621823076923</v>
      </c>
      <c r="AJ162" s="85">
        <f t="shared" si="52"/>
        <v>620</v>
      </c>
      <c r="AK162" s="1">
        <f t="shared" si="54"/>
        <v>4.23242097642297</v>
      </c>
      <c r="AL162" s="49">
        <f t="shared" si="55"/>
        <v>-0.0812688337468968</v>
      </c>
    </row>
    <row r="163" spans="1:38">
      <c r="A163" s="17">
        <v>160</v>
      </c>
      <c r="B163" s="106" t="s">
        <v>377</v>
      </c>
      <c r="C163" s="107" t="s">
        <v>378</v>
      </c>
      <c r="D163" s="108" t="s">
        <v>347</v>
      </c>
      <c r="E163" s="99"/>
      <c r="F163" s="99">
        <v>0.076</v>
      </c>
      <c r="G163" s="111">
        <v>17.4</v>
      </c>
      <c r="H163" s="101">
        <v>0.96</v>
      </c>
      <c r="I163" s="100">
        <f t="shared" si="57"/>
        <v>1.3775</v>
      </c>
      <c r="J163" s="130" t="s">
        <v>65</v>
      </c>
      <c r="K163" s="110">
        <v>65</v>
      </c>
      <c r="L163" s="131">
        <f>3600/K163</f>
        <v>55.3846153846154</v>
      </c>
      <c r="M163" s="108">
        <v>2</v>
      </c>
      <c r="N163" s="110">
        <v>34</v>
      </c>
      <c r="O163" s="110">
        <v>0.76</v>
      </c>
      <c r="P163" s="110">
        <v>22.5</v>
      </c>
      <c r="Q163" s="100">
        <f t="shared" si="59"/>
        <v>0.173076923076923</v>
      </c>
      <c r="R163" s="143"/>
      <c r="S163" s="144">
        <f>0.0131+0.1307/100</f>
        <v>0.014407</v>
      </c>
      <c r="T163" s="144">
        <v>0.01</v>
      </c>
      <c r="U163" s="144">
        <v>0.5</v>
      </c>
      <c r="V163" s="100">
        <f t="shared" si="60"/>
        <v>2.35586430769231</v>
      </c>
      <c r="W163" s="20">
        <v>3.07</v>
      </c>
      <c r="X163" s="62">
        <f t="shared" si="41"/>
        <v>-0.714135692307692</v>
      </c>
      <c r="Y163" s="75">
        <f t="shared" si="42"/>
        <v>0.00424472664548134</v>
      </c>
      <c r="Z163" s="76">
        <f t="shared" si="43"/>
        <v>0.073466422710254</v>
      </c>
      <c r="AA163" s="22">
        <f t="shared" si="44"/>
        <v>0.0993846153846154</v>
      </c>
      <c r="AB163" s="76">
        <f t="shared" si="45"/>
        <v>0.0421860525073992</v>
      </c>
      <c r="AC163" s="77">
        <f t="shared" si="46"/>
        <v>0.00611537767814497</v>
      </c>
      <c r="AD163" s="77">
        <f t="shared" si="47"/>
        <v>0.212236332274067</v>
      </c>
      <c r="AE163" s="77">
        <f t="shared" si="48"/>
        <v>0.415288904584945</v>
      </c>
      <c r="AF163" s="78">
        <v>320</v>
      </c>
      <c r="AG163" s="83">
        <f t="shared" si="49"/>
        <v>2.99934930769231</v>
      </c>
      <c r="AH163" s="84">
        <f t="shared" si="50"/>
        <v>959.791778461538</v>
      </c>
      <c r="AI163" s="85">
        <f t="shared" si="51"/>
        <v>753.876578461539</v>
      </c>
      <c r="AJ163" s="85">
        <f t="shared" si="52"/>
        <v>982.4</v>
      </c>
      <c r="AK163" s="1">
        <f t="shared" si="54"/>
        <v>2.17738606729024</v>
      </c>
      <c r="AL163" s="49">
        <f t="shared" si="55"/>
        <v>-0.0230132548233518</v>
      </c>
    </row>
    <row r="164" spans="1:38">
      <c r="A164" s="17">
        <v>161</v>
      </c>
      <c r="B164" s="106" t="s">
        <v>379</v>
      </c>
      <c r="C164" s="107" t="s">
        <v>380</v>
      </c>
      <c r="D164" s="108" t="s">
        <v>381</v>
      </c>
      <c r="E164" s="99"/>
      <c r="F164" s="99">
        <v>0.006</v>
      </c>
      <c r="G164" s="100">
        <v>17.3</v>
      </c>
      <c r="H164" s="101">
        <v>0.96</v>
      </c>
      <c r="I164" s="100">
        <f t="shared" si="57"/>
        <v>0.108125</v>
      </c>
      <c r="J164" s="130" t="s">
        <v>120</v>
      </c>
      <c r="K164" s="110">
        <v>72</v>
      </c>
      <c r="L164" s="131">
        <v>50</v>
      </c>
      <c r="M164" s="108">
        <v>2</v>
      </c>
      <c r="N164" s="110">
        <v>32.75</v>
      </c>
      <c r="O164" s="110">
        <v>0.76</v>
      </c>
      <c r="P164" s="110">
        <v>22.5</v>
      </c>
      <c r="Q164" s="100">
        <f t="shared" si="59"/>
        <v>0.15625</v>
      </c>
      <c r="R164" s="143"/>
      <c r="S164" s="144">
        <v>0.001</v>
      </c>
      <c r="T164" s="144">
        <v>0.001</v>
      </c>
      <c r="U164" s="144"/>
      <c r="V164" s="100">
        <f t="shared" si="60"/>
        <v>0.391386458333333</v>
      </c>
      <c r="W164" s="20">
        <v>1</v>
      </c>
      <c r="X164" s="62">
        <f t="shared" si="41"/>
        <v>-0.608613541666667</v>
      </c>
      <c r="Y164" s="75">
        <f t="shared" si="42"/>
        <v>0.00255501941548608</v>
      </c>
      <c r="Z164" s="76">
        <f t="shared" si="43"/>
        <v>0.3992217836697</v>
      </c>
      <c r="AA164" s="22">
        <f t="shared" si="44"/>
        <v>0.0864236111111111</v>
      </c>
      <c r="AB164" s="76">
        <f t="shared" si="45"/>
        <v>0.220814004345307</v>
      </c>
      <c r="AC164" s="77">
        <f t="shared" si="46"/>
        <v>0.00255501941548608</v>
      </c>
      <c r="AD164" s="77">
        <f t="shared" si="47"/>
        <v>0</v>
      </c>
      <c r="AE164" s="77">
        <f t="shared" si="48"/>
        <v>0.723738525700568</v>
      </c>
      <c r="AF164" s="78">
        <v>17359</v>
      </c>
      <c r="AG164" s="83">
        <f t="shared" si="49"/>
        <v>0.528197916666667</v>
      </c>
      <c r="AH164" s="84">
        <f t="shared" si="50"/>
        <v>9168.98763541667</v>
      </c>
      <c r="AI164" s="85">
        <f t="shared" si="51"/>
        <v>6794.07753020833</v>
      </c>
      <c r="AJ164" s="85">
        <f t="shared" si="52"/>
        <v>17359</v>
      </c>
      <c r="AK164" s="1">
        <f t="shared" si="54"/>
        <v>4.88506743737958</v>
      </c>
      <c r="AL164" s="49">
        <f t="shared" si="55"/>
        <v>-0.471802083333333</v>
      </c>
    </row>
    <row r="165" spans="1:38">
      <c r="A165" s="17">
        <v>162</v>
      </c>
      <c r="B165" s="106" t="s">
        <v>382</v>
      </c>
      <c r="C165" s="107" t="s">
        <v>383</v>
      </c>
      <c r="D165" s="108" t="s">
        <v>381</v>
      </c>
      <c r="E165" s="99"/>
      <c r="F165" s="99">
        <v>0.0238</v>
      </c>
      <c r="G165" s="100">
        <v>17.3</v>
      </c>
      <c r="H165" s="101">
        <v>0.96</v>
      </c>
      <c r="I165" s="100">
        <f t="shared" si="57"/>
        <v>0.428895833333333</v>
      </c>
      <c r="J165" s="130" t="s">
        <v>384</v>
      </c>
      <c r="K165" s="110">
        <v>65</v>
      </c>
      <c r="L165" s="131">
        <v>55</v>
      </c>
      <c r="M165" s="108">
        <v>2</v>
      </c>
      <c r="N165" s="110">
        <v>32.75</v>
      </c>
      <c r="O165" s="110">
        <v>0.76</v>
      </c>
      <c r="P165" s="110">
        <v>22.5</v>
      </c>
      <c r="Q165" s="100">
        <f t="shared" si="59"/>
        <v>0.173076923076923</v>
      </c>
      <c r="R165" s="143"/>
      <c r="S165" s="144">
        <v>0.001</v>
      </c>
      <c r="T165" s="144">
        <v>0.01</v>
      </c>
      <c r="U165" s="144"/>
      <c r="V165" s="100">
        <f t="shared" si="60"/>
        <v>0.785450913461539</v>
      </c>
      <c r="W165" s="20">
        <v>1.26</v>
      </c>
      <c r="X165" s="62">
        <f t="shared" si="41"/>
        <v>-0.474549086538461</v>
      </c>
      <c r="Y165" s="75">
        <f t="shared" si="42"/>
        <v>0.0127315403529538</v>
      </c>
      <c r="Z165" s="76">
        <f t="shared" si="43"/>
        <v>0.220353583031893</v>
      </c>
      <c r="AA165" s="22">
        <f t="shared" si="44"/>
        <v>0.0957307692307692</v>
      </c>
      <c r="AB165" s="76">
        <f t="shared" si="45"/>
        <v>0.121880015148085</v>
      </c>
      <c r="AC165" s="77">
        <f t="shared" si="46"/>
        <v>0.00127315403529538</v>
      </c>
      <c r="AD165" s="77">
        <f t="shared" si="47"/>
        <v>0</v>
      </c>
      <c r="AE165" s="77">
        <f t="shared" si="48"/>
        <v>0.453949539070292</v>
      </c>
      <c r="AF165" s="78">
        <v>54840</v>
      </c>
      <c r="AG165" s="83">
        <f t="shared" si="49"/>
        <v>1.05755528846154</v>
      </c>
      <c r="AH165" s="84">
        <f t="shared" si="50"/>
        <v>57996.3320192308</v>
      </c>
      <c r="AI165" s="85">
        <f t="shared" si="51"/>
        <v>43074.1280942308</v>
      </c>
      <c r="AJ165" s="85">
        <f t="shared" si="52"/>
        <v>69098.4</v>
      </c>
      <c r="AK165" s="1">
        <f t="shared" si="54"/>
        <v>2.46576256113829</v>
      </c>
      <c r="AL165" s="49">
        <f t="shared" si="55"/>
        <v>-0.160670405982905</v>
      </c>
    </row>
    <row r="166" spans="1:38">
      <c r="A166" s="17">
        <v>163</v>
      </c>
      <c r="B166" s="94" t="s">
        <v>385</v>
      </c>
      <c r="C166" s="102" t="s">
        <v>386</v>
      </c>
      <c r="D166" s="98" t="s">
        <v>387</v>
      </c>
      <c r="E166" s="99"/>
      <c r="F166" s="99">
        <v>0.0033</v>
      </c>
      <c r="G166" s="113">
        <v>24</v>
      </c>
      <c r="H166" s="105">
        <v>0.98</v>
      </c>
      <c r="I166" s="100">
        <f t="shared" si="57"/>
        <v>0.0808163265306122</v>
      </c>
      <c r="J166" s="130" t="s">
        <v>44</v>
      </c>
      <c r="K166" s="131">
        <v>65</v>
      </c>
      <c r="L166" s="131">
        <v>55</v>
      </c>
      <c r="M166" s="132">
        <v>3</v>
      </c>
      <c r="N166" s="110">
        <v>27.15</v>
      </c>
      <c r="O166" s="110">
        <v>0.76</v>
      </c>
      <c r="P166" s="110">
        <v>22.5</v>
      </c>
      <c r="Q166" s="100">
        <f t="shared" si="59"/>
        <v>0.115384615384615</v>
      </c>
      <c r="R166" s="145"/>
      <c r="S166" s="144">
        <f>0.0291/300+8.4124/1800</f>
        <v>0.00477055555555556</v>
      </c>
      <c r="T166" s="144">
        <v>0.0111111111111111</v>
      </c>
      <c r="U166" s="144">
        <v>0.2</v>
      </c>
      <c r="V166" s="100">
        <f t="shared" si="60"/>
        <v>0.492392250654108</v>
      </c>
      <c r="W166" s="20">
        <v>0.47</v>
      </c>
      <c r="X166" s="62">
        <f t="shared" si="41"/>
        <v>0.0223922506541078</v>
      </c>
      <c r="Y166" s="75">
        <f t="shared" si="42"/>
        <v>0.0225655686017617</v>
      </c>
      <c r="Z166" s="76">
        <f t="shared" si="43"/>
        <v>0.234334750864448</v>
      </c>
      <c r="AA166" s="22">
        <f t="shared" si="44"/>
        <v>0.0529076923076923</v>
      </c>
      <c r="AB166" s="76">
        <f t="shared" si="45"/>
        <v>0.107450294429712</v>
      </c>
      <c r="AC166" s="77">
        <f t="shared" si="46"/>
        <v>0.00968852687916638</v>
      </c>
      <c r="AD166" s="77">
        <f t="shared" si="47"/>
        <v>0.406180234831711</v>
      </c>
      <c r="AE166" s="77">
        <f t="shared" si="48"/>
        <v>0.835870027557799</v>
      </c>
      <c r="AF166" s="78">
        <v>14695</v>
      </c>
      <c r="AG166" s="83">
        <f t="shared" si="49"/>
        <v>0.589544618001047</v>
      </c>
      <c r="AH166" s="84">
        <f t="shared" si="50"/>
        <v>8663.35816152538</v>
      </c>
      <c r="AI166" s="85">
        <f t="shared" si="51"/>
        <v>7235.70412336211</v>
      </c>
      <c r="AJ166" s="85">
        <f t="shared" si="52"/>
        <v>6906.65</v>
      </c>
      <c r="AK166" s="1">
        <f t="shared" si="54"/>
        <v>7.29487027324528</v>
      </c>
      <c r="AL166" s="49">
        <f t="shared" si="55"/>
        <v>0.254350251066057</v>
      </c>
    </row>
    <row r="167" spans="1:38">
      <c r="A167" s="17">
        <v>164</v>
      </c>
      <c r="B167" s="94" t="s">
        <v>388</v>
      </c>
      <c r="C167" s="102" t="s">
        <v>386</v>
      </c>
      <c r="D167" s="98" t="s">
        <v>387</v>
      </c>
      <c r="E167" s="99"/>
      <c r="F167" s="99">
        <v>0.0033</v>
      </c>
      <c r="G167" s="113">
        <v>24</v>
      </c>
      <c r="H167" s="105">
        <v>0.98</v>
      </c>
      <c r="I167" s="100">
        <f t="shared" si="57"/>
        <v>0.0808163265306122</v>
      </c>
      <c r="J167" s="130" t="s">
        <v>44</v>
      </c>
      <c r="K167" s="131">
        <v>65</v>
      </c>
      <c r="L167" s="131">
        <v>55</v>
      </c>
      <c r="M167" s="132">
        <v>3</v>
      </c>
      <c r="N167" s="110">
        <v>27.15</v>
      </c>
      <c r="O167" s="110">
        <v>0.76</v>
      </c>
      <c r="P167" s="110">
        <v>22.5</v>
      </c>
      <c r="Q167" s="100">
        <f t="shared" si="59"/>
        <v>0.115384615384615</v>
      </c>
      <c r="R167" s="145"/>
      <c r="S167" s="144">
        <f>0.0291/300+8.4124/1800</f>
        <v>0.00477055555555556</v>
      </c>
      <c r="T167" s="144">
        <v>0.0111111111111111</v>
      </c>
      <c r="U167" s="144">
        <v>0.2</v>
      </c>
      <c r="V167" s="100">
        <f t="shared" si="60"/>
        <v>0.492392250654108</v>
      </c>
      <c r="W167" s="20">
        <v>0.47</v>
      </c>
      <c r="X167" s="62">
        <f t="shared" si="41"/>
        <v>0.0223922506541078</v>
      </c>
      <c r="Y167" s="75">
        <f t="shared" si="42"/>
        <v>0.0225655686017617</v>
      </c>
      <c r="Z167" s="76">
        <f t="shared" si="43"/>
        <v>0.234334750864448</v>
      </c>
      <c r="AA167" s="22">
        <f t="shared" si="44"/>
        <v>0.0529076923076923</v>
      </c>
      <c r="AB167" s="76">
        <f t="shared" si="45"/>
        <v>0.107450294429712</v>
      </c>
      <c r="AC167" s="77">
        <f t="shared" si="46"/>
        <v>0.00968852687916638</v>
      </c>
      <c r="AD167" s="77">
        <f t="shared" si="47"/>
        <v>0.406180234831711</v>
      </c>
      <c r="AE167" s="77">
        <f t="shared" si="48"/>
        <v>0.835870027557799</v>
      </c>
      <c r="AF167" s="78">
        <v>14699</v>
      </c>
      <c r="AG167" s="83">
        <f t="shared" si="49"/>
        <v>0.589544618001047</v>
      </c>
      <c r="AH167" s="84">
        <f t="shared" si="50"/>
        <v>8665.71633999739</v>
      </c>
      <c r="AI167" s="85">
        <f t="shared" si="51"/>
        <v>7237.67369236473</v>
      </c>
      <c r="AJ167" s="85">
        <f t="shared" si="52"/>
        <v>6908.53</v>
      </c>
      <c r="AK167" s="1">
        <f t="shared" si="54"/>
        <v>7.29487027324528</v>
      </c>
      <c r="AL167" s="49">
        <f t="shared" si="55"/>
        <v>0.254350251066057</v>
      </c>
    </row>
    <row r="168" spans="1:38">
      <c r="A168" s="17">
        <v>165</v>
      </c>
      <c r="B168" s="114" t="s">
        <v>389</v>
      </c>
      <c r="C168" s="115" t="s">
        <v>390</v>
      </c>
      <c r="D168" s="108" t="s">
        <v>391</v>
      </c>
      <c r="E168" s="99"/>
      <c r="F168" s="99">
        <v>0.004</v>
      </c>
      <c r="G168" s="99">
        <f>40/1.13</f>
        <v>35.3982300884956</v>
      </c>
      <c r="H168" s="101">
        <v>0.98</v>
      </c>
      <c r="I168" s="100">
        <f t="shared" si="57"/>
        <v>0.144482571789778</v>
      </c>
      <c r="J168" s="130" t="s">
        <v>47</v>
      </c>
      <c r="K168" s="110">
        <v>72</v>
      </c>
      <c r="L168" s="131">
        <v>50</v>
      </c>
      <c r="M168" s="108">
        <v>4</v>
      </c>
      <c r="N168" s="110">
        <v>27.5</v>
      </c>
      <c r="O168" s="110">
        <v>0.76</v>
      </c>
      <c r="P168" s="110">
        <v>22.5</v>
      </c>
      <c r="Q168" s="100">
        <f t="shared" si="59"/>
        <v>0.078125</v>
      </c>
      <c r="R168" s="143"/>
      <c r="S168" s="144">
        <v>0.01</v>
      </c>
      <c r="T168" s="144">
        <v>0.02</v>
      </c>
      <c r="U168" s="144"/>
      <c r="V168" s="100">
        <f t="shared" si="60"/>
        <v>0.31737044635332</v>
      </c>
      <c r="W168" s="20">
        <v>0.9</v>
      </c>
      <c r="X168" s="62">
        <f t="shared" si="41"/>
        <v>-0.58262955364668</v>
      </c>
      <c r="Y168" s="75">
        <f t="shared" si="42"/>
        <v>0.0630178399715723</v>
      </c>
      <c r="Z168" s="76">
        <f t="shared" si="43"/>
        <v>0.246163437388954</v>
      </c>
      <c r="AA168" s="22">
        <f t="shared" si="44"/>
        <v>0.0362847222222222</v>
      </c>
      <c r="AB168" s="76">
        <f t="shared" si="45"/>
        <v>0.114329240920648</v>
      </c>
      <c r="AC168" s="77">
        <f t="shared" si="46"/>
        <v>0.0315089199857861</v>
      </c>
      <c r="AD168" s="77">
        <f t="shared" si="47"/>
        <v>0</v>
      </c>
      <c r="AE168" s="77">
        <f t="shared" si="48"/>
        <v>0.544751020613529</v>
      </c>
      <c r="AF168" s="78">
        <v>19300</v>
      </c>
      <c r="AG168" s="83">
        <f t="shared" si="49"/>
        <v>0.418338441018</v>
      </c>
      <c r="AH168" s="84">
        <f t="shared" si="50"/>
        <v>8073.9319116474</v>
      </c>
      <c r="AI168" s="85">
        <f t="shared" si="51"/>
        <v>6125.24961461908</v>
      </c>
      <c r="AJ168" s="85">
        <f t="shared" si="52"/>
        <v>17370</v>
      </c>
      <c r="AK168" s="1">
        <f t="shared" si="54"/>
        <v>2.89542493489583</v>
      </c>
      <c r="AL168" s="49">
        <f t="shared" si="55"/>
        <v>-0.53517950998</v>
      </c>
    </row>
    <row r="169" spans="1:38">
      <c r="A169" s="116">
        <v>166</v>
      </c>
      <c r="B169" s="117" t="s">
        <v>392</v>
      </c>
      <c r="C169" s="118" t="s">
        <v>393</v>
      </c>
      <c r="D169" s="119" t="s">
        <v>381</v>
      </c>
      <c r="E169" s="120"/>
      <c r="F169" s="120">
        <v>0.0013</v>
      </c>
      <c r="G169" s="121">
        <v>17.3</v>
      </c>
      <c r="H169" s="122">
        <v>0.98</v>
      </c>
      <c r="I169" s="121">
        <f t="shared" si="57"/>
        <v>0.0229489795918367</v>
      </c>
      <c r="J169" s="137" t="s">
        <v>394</v>
      </c>
      <c r="K169" s="138">
        <v>51</v>
      </c>
      <c r="L169" s="139">
        <v>70</v>
      </c>
      <c r="M169" s="119">
        <v>4</v>
      </c>
      <c r="N169" s="138">
        <v>27.5</v>
      </c>
      <c r="O169" s="138">
        <v>0.76</v>
      </c>
      <c r="P169" s="138">
        <v>22.5</v>
      </c>
      <c r="Q169" s="121">
        <f t="shared" si="59"/>
        <v>0.110294117647059</v>
      </c>
      <c r="R169" s="147"/>
      <c r="S169" s="148">
        <v>0.00715583333333333</v>
      </c>
      <c r="T169" s="148">
        <v>0.0166666666666667</v>
      </c>
      <c r="U169" s="148"/>
      <c r="V169" s="121">
        <f t="shared" si="60"/>
        <v>0.228582632052821</v>
      </c>
      <c r="W169" s="149">
        <v>0.5</v>
      </c>
      <c r="X169" s="150">
        <f t="shared" si="41"/>
        <v>-0.271417367947179</v>
      </c>
      <c r="Y169" s="151">
        <f t="shared" si="42"/>
        <v>0.0729130928145728</v>
      </c>
      <c r="Z169" s="152">
        <f t="shared" si="43"/>
        <v>0.482513114214084</v>
      </c>
      <c r="AA169" s="153">
        <f t="shared" si="44"/>
        <v>0.0512254901960784</v>
      </c>
      <c r="AB169" s="152">
        <f t="shared" si="45"/>
        <v>0.224100535268319</v>
      </c>
      <c r="AC169" s="154">
        <f t="shared" si="46"/>
        <v>0.0313052363999368</v>
      </c>
      <c r="AD169" s="154">
        <f t="shared" si="47"/>
        <v>0</v>
      </c>
      <c r="AE169" s="154">
        <f t="shared" si="48"/>
        <v>0.89960313526124</v>
      </c>
      <c r="AF169" s="155">
        <v>19364</v>
      </c>
      <c r="AG169" s="83">
        <f t="shared" si="49"/>
        <v>0.300525381152461</v>
      </c>
      <c r="AH169" s="84">
        <f t="shared" si="50"/>
        <v>5819.37348063625</v>
      </c>
      <c r="AI169" s="160">
        <f t="shared" si="51"/>
        <v>4426.27408707083</v>
      </c>
      <c r="AJ169" s="160">
        <f t="shared" si="52"/>
        <v>9682</v>
      </c>
      <c r="AK169" s="1">
        <f t="shared" si="54"/>
        <v>13.095370099129</v>
      </c>
      <c r="AL169" s="49">
        <f t="shared" si="55"/>
        <v>-0.398949237695078</v>
      </c>
    </row>
    <row r="170" spans="1:38">
      <c r="A170" s="20"/>
      <c r="B170" s="17"/>
      <c r="C170" s="91"/>
      <c r="D170" s="20"/>
      <c r="E170" s="55"/>
      <c r="F170" s="55"/>
      <c r="G170" s="21"/>
      <c r="H170" s="56"/>
      <c r="I170" s="31"/>
      <c r="J170" s="20"/>
      <c r="K170" s="21"/>
      <c r="L170" s="20"/>
      <c r="M170" s="20"/>
      <c r="N170" s="20"/>
      <c r="O170" s="20"/>
      <c r="P170" s="20"/>
      <c r="Q170" s="20"/>
      <c r="R170" s="21"/>
      <c r="S170" s="31"/>
      <c r="T170" s="31"/>
      <c r="U170" s="20"/>
      <c r="V170" s="20"/>
      <c r="W170" s="20"/>
      <c r="X170" s="20"/>
      <c r="Y170" s="156">
        <v>0.065</v>
      </c>
      <c r="Z170" s="157">
        <v>0.26</v>
      </c>
      <c r="AA170" s="21">
        <v>0.142</v>
      </c>
      <c r="AB170" s="158">
        <v>0.15</v>
      </c>
      <c r="AC170" s="158">
        <v>0.031</v>
      </c>
      <c r="AD170" s="158">
        <v>0.082</v>
      </c>
      <c r="AE170" s="158">
        <v>0.72</v>
      </c>
      <c r="AF170" s="39"/>
      <c r="AG170" s="83"/>
      <c r="AH170" s="161">
        <f>SUM(AH5:AH169)</f>
        <v>4929441.64217256</v>
      </c>
      <c r="AI170" s="161">
        <f t="shared" ref="AH170:AL170" si="61">SUM(AI5:AI169)</f>
        <v>4074835.80582948</v>
      </c>
      <c r="AJ170" s="161">
        <f t="shared" si="61"/>
        <v>5193715.76</v>
      </c>
      <c r="AK170" s="161"/>
      <c r="AL170" s="161"/>
    </row>
    <row r="172" spans="35:36">
      <c r="AI172" s="24">
        <f>AH170-AI170</f>
        <v>854605.836343084</v>
      </c>
      <c r="AJ172" s="48">
        <f>AJ170-AH170</f>
        <v>264274.11782744</v>
      </c>
    </row>
    <row r="173" spans="33:36">
      <c r="AG173" s="162"/>
      <c r="AH173" s="162"/>
      <c r="AI173" s="49"/>
      <c r="AJ173" s="48">
        <f>AI172+AJ172</f>
        <v>1118879.95417052</v>
      </c>
    </row>
    <row r="174" s="43" customFormat="1" ht="17.5" spans="2:38">
      <c r="B174" s="64" t="s">
        <v>395</v>
      </c>
      <c r="C174" s="123" t="s">
        <v>396</v>
      </c>
      <c r="E174" s="124"/>
      <c r="F174" s="124"/>
      <c r="G174" s="125"/>
      <c r="H174" s="126"/>
      <c r="I174" s="140"/>
      <c r="K174" s="125"/>
      <c r="R174" s="125"/>
      <c r="S174" s="140"/>
      <c r="T174" s="140"/>
      <c r="AA174" s="125"/>
      <c r="AF174" s="159"/>
      <c r="AG174" s="163"/>
      <c r="AH174" s="164"/>
      <c r="AI174" s="165"/>
      <c r="AJ174" s="165"/>
      <c r="AL174" s="166"/>
    </row>
    <row r="175" s="43" customFormat="1" ht="17.5" spans="2:38">
      <c r="B175" s="64"/>
      <c r="C175" s="123" t="s">
        <v>397</v>
      </c>
      <c r="E175" s="124"/>
      <c r="F175" s="124"/>
      <c r="G175" s="125"/>
      <c r="H175" s="126"/>
      <c r="I175" s="140"/>
      <c r="K175" s="125"/>
      <c r="R175" s="125"/>
      <c r="S175" s="140"/>
      <c r="T175" s="140"/>
      <c r="AA175" s="125"/>
      <c r="AF175" s="159"/>
      <c r="AG175" s="163"/>
      <c r="AH175" s="164"/>
      <c r="AI175" s="165"/>
      <c r="AJ175" s="165"/>
      <c r="AL175" s="166"/>
    </row>
    <row r="176" s="43" customFormat="1" ht="17.5" spans="2:38">
      <c r="B176" s="64"/>
      <c r="C176" s="123" t="s">
        <v>398</v>
      </c>
      <c r="E176" s="124"/>
      <c r="F176" s="124"/>
      <c r="G176" s="125"/>
      <c r="H176" s="126"/>
      <c r="I176" s="140"/>
      <c r="K176" s="125"/>
      <c r="R176" s="125"/>
      <c r="S176" s="140"/>
      <c r="T176" s="140"/>
      <c r="AA176" s="125"/>
      <c r="AF176" s="159"/>
      <c r="AG176" s="163"/>
      <c r="AH176" s="164"/>
      <c r="AI176" s="165"/>
      <c r="AJ176" s="165"/>
      <c r="AL176" s="166"/>
    </row>
    <row r="177" s="43" customFormat="1" ht="17.5" spans="2:38">
      <c r="B177" s="64"/>
      <c r="C177" s="123" t="s">
        <v>399</v>
      </c>
      <c r="E177" s="124"/>
      <c r="F177" s="124"/>
      <c r="G177" s="125"/>
      <c r="H177" s="126"/>
      <c r="I177" s="140"/>
      <c r="K177" s="125"/>
      <c r="R177" s="125"/>
      <c r="S177" s="140"/>
      <c r="T177" s="140"/>
      <c r="AA177" s="125"/>
      <c r="AF177" s="159"/>
      <c r="AG177" s="163"/>
      <c r="AH177" s="164"/>
      <c r="AI177" s="165"/>
      <c r="AJ177" s="165"/>
      <c r="AL177" s="166"/>
    </row>
  </sheetData>
  <autoFilter xmlns:etc="http://www.wps.cn/officeDocument/2017/etCustomData" ref="A4:AL170" etc:filterBottomFollowUsedRange="0">
    <extLst/>
  </autoFilter>
  <mergeCells count="36">
    <mergeCell ref="A2:X2"/>
    <mergeCell ref="Y2:AE2"/>
    <mergeCell ref="AG2:AH2"/>
    <mergeCell ref="E3:F3"/>
    <mergeCell ref="AG3:AH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C3:AC4"/>
    <mergeCell ref="AD3:AD4"/>
    <mergeCell ref="AE3:AE4"/>
    <mergeCell ref="AF3:AF4"/>
    <mergeCell ref="AI3:AI4"/>
    <mergeCell ref="AJ3:AJ4"/>
    <mergeCell ref="AA3:AB4"/>
  </mergeCells>
  <conditionalFormatting sqref="B16">
    <cfRule type="duplicateValues" dxfId="0" priority="21"/>
  </conditionalFormatting>
  <conditionalFormatting sqref="B18">
    <cfRule type="duplicateValues" dxfId="0" priority="43"/>
  </conditionalFormatting>
  <conditionalFormatting sqref="B30">
    <cfRule type="duplicateValues" dxfId="0" priority="17"/>
  </conditionalFormatting>
  <conditionalFormatting sqref="B31">
    <cfRule type="duplicateValues" dxfId="0" priority="11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34">
    <cfRule type="duplicateValues" dxfId="0" priority="14"/>
  </conditionalFormatting>
  <conditionalFormatting sqref="B35">
    <cfRule type="duplicateValues" dxfId="0" priority="13"/>
  </conditionalFormatting>
  <conditionalFormatting sqref="B36">
    <cfRule type="duplicateValues" dxfId="0" priority="12"/>
  </conditionalFormatting>
  <conditionalFormatting sqref="B38">
    <cfRule type="duplicateValues" dxfId="0" priority="40"/>
  </conditionalFormatting>
  <conditionalFormatting sqref="B39">
    <cfRule type="duplicateValues" dxfId="0" priority="39"/>
  </conditionalFormatting>
  <conditionalFormatting sqref="B40">
    <cfRule type="duplicateValues" dxfId="0" priority="38"/>
  </conditionalFormatting>
  <conditionalFormatting sqref="B41">
    <cfRule type="duplicateValues" dxfId="0" priority="37"/>
  </conditionalFormatting>
  <conditionalFormatting sqref="B42">
    <cfRule type="duplicateValues" dxfId="0" priority="36"/>
  </conditionalFormatting>
  <conditionalFormatting sqref="B46">
    <cfRule type="duplicateValues" dxfId="0" priority="19"/>
  </conditionalFormatting>
  <conditionalFormatting sqref="B52">
    <cfRule type="duplicateValues" dxfId="0" priority="18"/>
  </conditionalFormatting>
  <conditionalFormatting sqref="B55">
    <cfRule type="duplicateValues" dxfId="0" priority="28"/>
  </conditionalFormatting>
  <conditionalFormatting sqref="B57">
    <cfRule type="duplicateValues" dxfId="0" priority="27"/>
  </conditionalFormatting>
  <conditionalFormatting sqref="B58">
    <cfRule type="duplicateValues" dxfId="0" priority="33"/>
  </conditionalFormatting>
  <conditionalFormatting sqref="B59">
    <cfRule type="duplicateValues" dxfId="0" priority="26"/>
  </conditionalFormatting>
  <conditionalFormatting sqref="B60">
    <cfRule type="duplicateValues" dxfId="0" priority="34"/>
  </conditionalFormatting>
  <conditionalFormatting sqref="B61">
    <cfRule type="duplicateValues" dxfId="0" priority="22"/>
  </conditionalFormatting>
  <conditionalFormatting sqref="B62">
    <cfRule type="duplicateValues" dxfId="0" priority="35"/>
  </conditionalFormatting>
  <conditionalFormatting sqref="B63">
    <cfRule type="duplicateValues" dxfId="0" priority="32"/>
  </conditionalFormatting>
  <conditionalFormatting sqref="B64">
    <cfRule type="duplicateValues" dxfId="0" priority="31"/>
  </conditionalFormatting>
  <conditionalFormatting sqref="B65">
    <cfRule type="duplicateValues" dxfId="0" priority="30"/>
  </conditionalFormatting>
  <conditionalFormatting sqref="B66">
    <cfRule type="duplicateValues" dxfId="0" priority="29"/>
  </conditionalFormatting>
  <conditionalFormatting sqref="B71">
    <cfRule type="duplicateValues" dxfId="0" priority="20"/>
  </conditionalFormatting>
  <conditionalFormatting sqref="B78">
    <cfRule type="duplicateValues" dxfId="0" priority="25"/>
  </conditionalFormatting>
  <conditionalFormatting sqref="B79">
    <cfRule type="duplicateValues" dxfId="0" priority="24"/>
  </conditionalFormatting>
  <conditionalFormatting sqref="B80">
    <cfRule type="duplicateValues" dxfId="0" priority="23"/>
  </conditionalFormatting>
  <conditionalFormatting sqref="B92">
    <cfRule type="duplicateValues" dxfId="0" priority="8"/>
  </conditionalFormatting>
  <conditionalFormatting sqref="B93">
    <cfRule type="duplicateValues" dxfId="0" priority="50"/>
  </conditionalFormatting>
  <conditionalFormatting sqref="B94">
    <cfRule type="duplicateValues" dxfId="0" priority="48"/>
  </conditionalFormatting>
  <conditionalFormatting sqref="B95">
    <cfRule type="duplicateValues" dxfId="0" priority="49"/>
  </conditionalFormatting>
  <conditionalFormatting sqref="B103">
    <cfRule type="duplicateValues" dxfId="0" priority="59"/>
  </conditionalFormatting>
  <conditionalFormatting sqref="B106">
    <cfRule type="duplicateValues" dxfId="0" priority="56"/>
  </conditionalFormatting>
  <conditionalFormatting sqref="B107">
    <cfRule type="duplicateValues" dxfId="0" priority="55"/>
  </conditionalFormatting>
  <conditionalFormatting sqref="B108">
    <cfRule type="duplicateValues" dxfId="0" priority="54"/>
  </conditionalFormatting>
  <conditionalFormatting sqref="B109">
    <cfRule type="duplicateValues" dxfId="0" priority="53"/>
  </conditionalFormatting>
  <conditionalFormatting sqref="B110">
    <cfRule type="duplicateValues" dxfId="0" priority="52"/>
  </conditionalFormatting>
  <conditionalFormatting sqref="B111">
    <cfRule type="duplicateValues" dxfId="0" priority="51"/>
  </conditionalFormatting>
  <conditionalFormatting sqref="B112">
    <cfRule type="duplicateValues" dxfId="0" priority="47"/>
  </conditionalFormatting>
  <conditionalFormatting sqref="B113">
    <cfRule type="duplicateValues" dxfId="0" priority="46"/>
  </conditionalFormatting>
  <conditionalFormatting sqref="B114">
    <cfRule type="duplicateValues" dxfId="0" priority="45"/>
  </conditionalFormatting>
  <conditionalFormatting sqref="B115">
    <cfRule type="duplicateValues" dxfId="0" priority="44"/>
  </conditionalFormatting>
  <conditionalFormatting sqref="B116">
    <cfRule type="duplicateValues" dxfId="0" priority="42"/>
  </conditionalFormatting>
  <conditionalFormatting sqref="B117">
    <cfRule type="duplicateValues" dxfId="0" priority="41"/>
  </conditionalFormatting>
  <conditionalFormatting sqref="B122">
    <cfRule type="duplicateValues" dxfId="0" priority="7"/>
  </conditionalFormatting>
  <conditionalFormatting sqref="B123">
    <cfRule type="duplicateValues" dxfId="0" priority="10"/>
  </conditionalFormatting>
  <conditionalFormatting sqref="B124">
    <cfRule type="duplicateValues" dxfId="0" priority="9"/>
  </conditionalFormatting>
  <conditionalFormatting sqref="B127">
    <cfRule type="duplicateValues" dxfId="0" priority="6"/>
  </conditionalFormatting>
  <conditionalFormatting sqref="B158">
    <cfRule type="duplicateValues" dxfId="0" priority="5"/>
  </conditionalFormatting>
  <conditionalFormatting sqref="B$1:B$1048576">
    <cfRule type="duplicateValues" dxfId="0" priority="1"/>
  </conditionalFormatting>
  <conditionalFormatting sqref="B83:B84">
    <cfRule type="duplicateValues" dxfId="0" priority="58"/>
  </conditionalFormatting>
  <conditionalFormatting sqref="B146:B169">
    <cfRule type="duplicateValues" dxfId="0" priority="2"/>
  </conditionalFormatting>
  <conditionalFormatting sqref="B149:B157">
    <cfRule type="duplicateValues" dxfId="0" priority="4"/>
  </conditionalFormatting>
  <conditionalFormatting sqref="B149:B158">
    <cfRule type="duplicateValues" dxfId="0" priority="3"/>
  </conditionalFormatting>
  <conditionalFormatting sqref="B19:B22 B43 B102 B104:B105 B72 B67:B68 B100 B5:B14">
    <cfRule type="duplicateValues" dxfId="0" priority="61"/>
  </conditionalFormatting>
  <conditionalFormatting sqref="B19:B29 B56 B43:B45 B53:B54 B47:B51 B67:B68 B81:B82 B72:B77 B96:B102 B85:B91 B118:B121 B104:B105 B125:B126 B37 B5:B15 B17">
    <cfRule type="duplicateValues" dxfId="0" priority="60"/>
  </conditionalFormatting>
  <conditionalFormatting sqref="B17 B118:B121 B56 B53:B54 B47:B51 B43:B45 B67:B70 B81:B91 B72:B77 B96:B105 B125:B126 B37 B5:B15 B19:B29">
    <cfRule type="duplicateValues" dxfId="0" priority="57"/>
  </conditionalFormatting>
  <conditionalFormatting sqref="B15 B85:B91 B96:B99 B44:B45 B81:B82 B73:B77 B101 B23:B29 B37 B17">
    <cfRule type="duplicateValues" dxfId="0" priority="62"/>
  </conditionalFormatting>
  <conditionalFormatting sqref="B125:B126 B47:B51 B53:B54 B56 B69:B70 B118:B121">
    <cfRule type="duplicateValues" dxfId="0" priority="63"/>
  </conditionalFormatting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opLeftCell="I1" workbookViewId="0">
      <selection activeCell="O5" sqref="O5:O23"/>
    </sheetView>
  </sheetViews>
  <sheetFormatPr defaultColWidth="8.71818181818182" defaultRowHeight="14"/>
  <cols>
    <col min="1" max="1" width="5.71818181818182" customWidth="1"/>
    <col min="2" max="2" width="13" customWidth="1"/>
    <col min="3" max="3" width="22.9090909090909" customWidth="1"/>
    <col min="9" max="11" width="8.71818181818182" style="3"/>
    <col min="12" max="12" width="10.8181818181818" style="4" customWidth="1"/>
    <col min="13" max="13" width="15" style="4" customWidth="1"/>
    <col min="14" max="19" width="10.8181818181818" style="4" customWidth="1"/>
    <col min="23" max="23" width="12.9090909090909" style="5" customWidth="1"/>
    <col min="24" max="24" width="15.1818181818182"/>
    <col min="25" max="25" width="12.8181818181818"/>
  </cols>
  <sheetData>
    <row r="1" s="1" customFormat="1" spans="2:23">
      <c r="B1" s="6"/>
      <c r="C1" s="7"/>
      <c r="E1" s="8"/>
      <c r="H1" s="9"/>
      <c r="I1" s="8"/>
      <c r="J1" s="8"/>
      <c r="K1" s="1"/>
      <c r="L1" s="24"/>
      <c r="M1" s="24"/>
      <c r="N1" s="24"/>
      <c r="O1" s="24"/>
      <c r="P1" s="24"/>
      <c r="Q1" s="24"/>
      <c r="R1" s="24"/>
      <c r="S1" s="24"/>
      <c r="W1" s="24"/>
    </row>
    <row r="2" s="1" customFormat="1" ht="21" spans="1:2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5"/>
      <c r="M2" s="25"/>
      <c r="N2" s="25"/>
      <c r="O2" s="25"/>
      <c r="P2" s="25"/>
      <c r="Q2" s="25"/>
      <c r="R2" s="25"/>
      <c r="S2" s="25"/>
      <c r="T2" s="10"/>
      <c r="U2" s="10"/>
      <c r="V2" s="10"/>
      <c r="W2" s="24"/>
    </row>
    <row r="3" s="2" customFormat="1" spans="1:24">
      <c r="A3" s="11" t="s">
        <v>3</v>
      </c>
      <c r="B3" s="11" t="s">
        <v>4</v>
      </c>
      <c r="C3" s="12" t="s">
        <v>5</v>
      </c>
      <c r="D3" s="11" t="s">
        <v>6</v>
      </c>
      <c r="E3" s="13" t="s">
        <v>10</v>
      </c>
      <c r="F3" s="14" t="s">
        <v>28</v>
      </c>
      <c r="G3" s="15" t="s">
        <v>18</v>
      </c>
      <c r="H3" s="16" t="s">
        <v>19</v>
      </c>
      <c r="I3" s="26" t="s">
        <v>20</v>
      </c>
      <c r="J3" s="26" t="s">
        <v>21</v>
      </c>
      <c r="K3" s="27" t="s">
        <v>22</v>
      </c>
      <c r="L3" s="28" t="s">
        <v>402</v>
      </c>
      <c r="M3" s="28"/>
      <c r="N3" s="28"/>
      <c r="O3" s="28"/>
      <c r="P3" s="28"/>
      <c r="Q3" s="28"/>
      <c r="R3" s="28"/>
      <c r="S3" s="28"/>
      <c r="T3" s="36" t="s">
        <v>23</v>
      </c>
      <c r="U3" s="36" t="s">
        <v>24</v>
      </c>
      <c r="V3" s="37" t="s">
        <v>25</v>
      </c>
      <c r="W3" s="38" t="s">
        <v>403</v>
      </c>
      <c r="X3" s="11" t="s">
        <v>404</v>
      </c>
    </row>
    <row r="4" s="2" customFormat="1" spans="1:24">
      <c r="A4" s="11"/>
      <c r="B4" s="11"/>
      <c r="C4" s="12"/>
      <c r="D4" s="11"/>
      <c r="E4" s="13"/>
      <c r="F4" s="14"/>
      <c r="G4" s="15"/>
      <c r="H4" s="16"/>
      <c r="I4" s="29"/>
      <c r="J4" s="29"/>
      <c r="K4" s="27"/>
      <c r="L4" s="30" t="s">
        <v>405</v>
      </c>
      <c r="M4" s="28" t="s">
        <v>406</v>
      </c>
      <c r="N4" s="28" t="s">
        <v>407</v>
      </c>
      <c r="O4" s="28" t="s">
        <v>408</v>
      </c>
      <c r="P4" s="28" t="s">
        <v>409</v>
      </c>
      <c r="Q4" s="28" t="s">
        <v>410</v>
      </c>
      <c r="R4" s="28"/>
      <c r="S4" s="28"/>
      <c r="T4" s="36"/>
      <c r="U4" s="36"/>
      <c r="V4" s="37"/>
      <c r="W4" s="38"/>
      <c r="X4" s="11"/>
    </row>
    <row r="5" s="1" customFormat="1" spans="1:24">
      <c r="A5" s="17">
        <v>16</v>
      </c>
      <c r="B5" s="18" t="s">
        <v>79</v>
      </c>
      <c r="C5" s="19" t="s">
        <v>80</v>
      </c>
      <c r="D5" s="20" t="s">
        <v>59</v>
      </c>
      <c r="E5" s="21">
        <v>0.704088324742268</v>
      </c>
      <c r="F5" s="22">
        <v>0.187581818181818</v>
      </c>
      <c r="G5" s="21">
        <f>VLOOKUP(B:B,安路普产品报价!B:Q,16,0)</f>
        <v>0.267857142857143</v>
      </c>
      <c r="H5" s="21">
        <f>VLOOKUP(B:B,安路普产品报价!B:R,17,0)</f>
        <v>0</v>
      </c>
      <c r="I5" s="31">
        <f>VLOOKUP(B:B,安路普产品报价!B:S,18,0)</f>
        <v>0.0947811111111111</v>
      </c>
      <c r="J5" s="31">
        <f>VLOOKUP(B:B,安路普产品报价!B:T,19,0)</f>
        <v>0.222222222222222</v>
      </c>
      <c r="K5" s="20">
        <f>VLOOKUP(B:B,安路普产品报价!B:U,20,0)</f>
        <v>0.3</v>
      </c>
      <c r="L5" s="32">
        <v>0.158474007775093</v>
      </c>
      <c r="M5" s="33">
        <v>0.0166</v>
      </c>
      <c r="N5" s="33">
        <v>0.0656</v>
      </c>
      <c r="O5" s="33">
        <v>0.1001</v>
      </c>
      <c r="P5" s="33">
        <v>0.015</v>
      </c>
      <c r="Q5" s="33"/>
      <c r="R5" s="39"/>
      <c r="S5" s="39"/>
      <c r="T5" s="40">
        <f>VLOOKUP(B:B,安路普产品报价!B:V,21,0)</f>
        <v>1.93500462688965</v>
      </c>
      <c r="U5" s="41">
        <v>2.79</v>
      </c>
      <c r="V5" s="42">
        <v>-0.854995373110346</v>
      </c>
      <c r="W5" s="39">
        <v>6550</v>
      </c>
      <c r="X5" s="39">
        <f t="shared" ref="X5:X23" si="0">W5*V5</f>
        <v>-5600.21969387277</v>
      </c>
    </row>
    <row r="6" s="1" customFormat="1" spans="1:24">
      <c r="A6" s="17">
        <v>18</v>
      </c>
      <c r="B6" s="18" t="s">
        <v>84</v>
      </c>
      <c r="C6" s="23" t="s">
        <v>85</v>
      </c>
      <c r="D6" s="20" t="s">
        <v>86</v>
      </c>
      <c r="E6" s="21">
        <v>0.65373685106383</v>
      </c>
      <c r="F6" s="22">
        <v>0.363638888888889</v>
      </c>
      <c r="G6" s="21">
        <f>VLOOKUP(B:B,安路普产品报价!B:Q,16,0)</f>
        <v>0.3125</v>
      </c>
      <c r="H6" s="21">
        <f>VLOOKUP(B:B,安路普产品报价!B:R,17,0)</f>
        <v>0.9</v>
      </c>
      <c r="I6" s="31">
        <f>VLOOKUP(B:B,安路普产品报价!B:S,18,0)</f>
        <v>0.036575652173913</v>
      </c>
      <c r="J6" s="31">
        <f>VLOOKUP(B:B,安路普产品报价!B:T,19,0)</f>
        <v>0.0869565217391304</v>
      </c>
      <c r="K6" s="20">
        <f>VLOOKUP(B:B,安路普产品报价!B:U,20,0)</f>
        <v>0</v>
      </c>
      <c r="L6" s="32">
        <v>0.267509442331878</v>
      </c>
      <c r="M6" s="34"/>
      <c r="N6" s="34"/>
      <c r="O6" s="34"/>
      <c r="P6" s="34"/>
      <c r="Q6" s="34"/>
      <c r="R6" s="39"/>
      <c r="S6" s="39"/>
      <c r="T6" s="40">
        <f>VLOOKUP(B:B,安路普产品报价!B:V,21,0)</f>
        <v>2.62091735619764</v>
      </c>
      <c r="U6" s="41">
        <v>4.59</v>
      </c>
      <c r="V6" s="42">
        <v>-1.96908264380236</v>
      </c>
      <c r="W6" s="39">
        <v>43454</v>
      </c>
      <c r="X6" s="39">
        <f t="shared" si="0"/>
        <v>-85564.5172037877</v>
      </c>
    </row>
    <row r="7" s="1" customFormat="1" spans="1:24">
      <c r="A7" s="17">
        <v>40</v>
      </c>
      <c r="B7" s="18" t="s">
        <v>131</v>
      </c>
      <c r="C7" s="23" t="s">
        <v>132</v>
      </c>
      <c r="D7" s="20" t="s">
        <v>86</v>
      </c>
      <c r="E7" s="21">
        <v>1.22440488421053</v>
      </c>
      <c r="F7" s="22">
        <v>0.4206125</v>
      </c>
      <c r="G7" s="21">
        <f>VLOOKUP(B:B,安路普产品报价!B:Q,16,0)</f>
        <v>0.328125</v>
      </c>
      <c r="H7" s="21">
        <f>VLOOKUP(B:B,安路普产品报价!B:R,17,0)</f>
        <v>0</v>
      </c>
      <c r="I7" s="31">
        <f>VLOOKUP(B:B,安路普产品报价!B:S,18,0)</f>
        <v>0.0560826666666667</v>
      </c>
      <c r="J7" s="31">
        <f>VLOOKUP(B:B,安路普产品报价!B:T,19,0)</f>
        <v>0.133333333333333</v>
      </c>
      <c r="K7" s="20">
        <f>VLOOKUP(B:B,安路普产品报价!B:U,20,0)</f>
        <v>0</v>
      </c>
      <c r="L7" s="32">
        <v>0.33231871734072</v>
      </c>
      <c r="M7" s="34"/>
      <c r="N7" s="34"/>
      <c r="O7" s="34"/>
      <c r="P7" s="34"/>
      <c r="Q7" s="34"/>
      <c r="R7" s="39"/>
      <c r="S7" s="39"/>
      <c r="T7" s="40">
        <f>VLOOKUP(B:B,安路普产品报价!B:V,21,0)</f>
        <v>2.49487710155125</v>
      </c>
      <c r="U7" s="41">
        <v>3.65</v>
      </c>
      <c r="V7" s="42">
        <v>-1.15512289844875</v>
      </c>
      <c r="W7" s="39">
        <v>8451</v>
      </c>
      <c r="X7" s="39">
        <f t="shared" si="0"/>
        <v>-9761.94361479039</v>
      </c>
    </row>
    <row r="8" s="1" customFormat="1" spans="1:24">
      <c r="A8" s="17">
        <v>41</v>
      </c>
      <c r="B8" s="18" t="s">
        <v>133</v>
      </c>
      <c r="C8" s="23" t="s">
        <v>134</v>
      </c>
      <c r="D8" s="20" t="s">
        <v>86</v>
      </c>
      <c r="E8" s="21">
        <v>3.45894379789474</v>
      </c>
      <c r="F8" s="22">
        <v>0.4206125</v>
      </c>
      <c r="G8" s="21">
        <f>VLOOKUP(B:B,安路普产品报价!B:Q,16,0)</f>
        <v>0.328125</v>
      </c>
      <c r="H8" s="21">
        <f>VLOOKUP(B:B,安路普产品报价!B:R,17,0)</f>
        <v>0</v>
      </c>
      <c r="I8" s="31">
        <f>VLOOKUP(B:B,安路普产品报价!B:S,18,0)</f>
        <v>0.084124</v>
      </c>
      <c r="J8" s="31">
        <f>VLOOKUP(B:B,安路普产品报价!B:T,19,0)</f>
        <v>0.2</v>
      </c>
      <c r="K8" s="20">
        <f>VLOOKUP(B:B,安路普产品报价!B:U,20,0)</f>
        <v>0</v>
      </c>
      <c r="L8" s="32">
        <v>0.708662113329639</v>
      </c>
      <c r="M8" s="34"/>
      <c r="N8" s="34"/>
      <c r="O8" s="34"/>
      <c r="P8" s="34"/>
      <c r="Q8" s="34"/>
      <c r="R8" s="39"/>
      <c r="S8" s="39"/>
      <c r="T8" s="40">
        <f>VLOOKUP(B:B,安路普产品报价!B:V,21,0)</f>
        <v>5.20046741122438</v>
      </c>
      <c r="U8" s="41">
        <v>8.87</v>
      </c>
      <c r="V8" s="42">
        <v>-3.66953258877562</v>
      </c>
      <c r="W8" s="39">
        <v>3710</v>
      </c>
      <c r="X8" s="39">
        <f t="shared" si="0"/>
        <v>-13613.9659043576</v>
      </c>
    </row>
    <row r="9" s="1" customFormat="1" spans="1:24">
      <c r="A9" s="17">
        <v>43</v>
      </c>
      <c r="B9" s="18" t="s">
        <v>137</v>
      </c>
      <c r="C9" s="19" t="s">
        <v>138</v>
      </c>
      <c r="D9" s="20" t="s">
        <v>86</v>
      </c>
      <c r="E9" s="21">
        <v>1.28865726315789</v>
      </c>
      <c r="F9" s="22">
        <v>0.3004375</v>
      </c>
      <c r="G9" s="21">
        <f>VLOOKUP(B:B,安路普产品报价!B:Q,16,0)</f>
        <v>0.234375</v>
      </c>
      <c r="H9" s="21">
        <f>VLOOKUP(B:B,安路普产品报价!B:R,17,0)</f>
        <v>0</v>
      </c>
      <c r="I9" s="31">
        <f>VLOOKUP(B:B,安路普产品报价!B:S,18,0)</f>
        <v>0.0947811111111111</v>
      </c>
      <c r="J9" s="31">
        <f>VLOOKUP(B:B,安路普产品报价!B:T,19,0)</f>
        <v>0.222222222222222</v>
      </c>
      <c r="K9" s="20">
        <f>VLOOKUP(B:B,安路普产品报价!B:U,20,0)</f>
        <v>0</v>
      </c>
      <c r="L9" s="32">
        <v>0.307110696952917</v>
      </c>
      <c r="M9" s="34"/>
      <c r="N9" s="34"/>
      <c r="O9" s="34"/>
      <c r="P9" s="34"/>
      <c r="Q9" s="34"/>
      <c r="R9" s="39"/>
      <c r="S9" s="39"/>
      <c r="T9" s="40">
        <f>VLOOKUP(B:B,安路普产品报价!B:V,21,0)</f>
        <v>2.44758379344414</v>
      </c>
      <c r="U9" s="41">
        <v>3.45</v>
      </c>
      <c r="V9" s="42">
        <v>-1.00241620655586</v>
      </c>
      <c r="W9" s="39">
        <v>6550</v>
      </c>
      <c r="X9" s="39">
        <f t="shared" si="0"/>
        <v>-6565.82615294088</v>
      </c>
    </row>
    <row r="10" s="1" customFormat="1" spans="1:24">
      <c r="A10" s="17">
        <v>50</v>
      </c>
      <c r="B10" s="18" t="s">
        <v>152</v>
      </c>
      <c r="C10" s="19" t="s">
        <v>153</v>
      </c>
      <c r="D10" s="20" t="s">
        <v>86</v>
      </c>
      <c r="E10" s="21">
        <v>0.786056620408163</v>
      </c>
      <c r="F10" s="22">
        <v>0.3004375</v>
      </c>
      <c r="G10" s="21">
        <f>VLOOKUP(B:B,安路普产品报价!B:Q,16,0)</f>
        <v>0.234375</v>
      </c>
      <c r="H10" s="21">
        <f>VLOOKUP(B:B,安路普产品报价!B:R,17,0)</f>
        <v>0</v>
      </c>
      <c r="I10" s="31">
        <f>VLOOKUP(B:B,安路普产品报价!B:S,18,0)</f>
        <v>0.097224</v>
      </c>
      <c r="J10" s="31">
        <f>VLOOKUP(B:B,安路普产品报价!B:T,19,0)</f>
        <v>0.2</v>
      </c>
      <c r="K10" s="20">
        <f>VLOOKUP(B:B,安路普产品报价!B:U,20,0)</f>
        <v>0.3</v>
      </c>
      <c r="L10" s="32">
        <v>0.175217332299047</v>
      </c>
      <c r="M10" s="34"/>
      <c r="N10" s="34"/>
      <c r="O10" s="34"/>
      <c r="P10" s="34"/>
      <c r="Q10" s="34"/>
      <c r="R10" s="39"/>
      <c r="S10" s="39"/>
      <c r="T10" s="40">
        <f>VLOOKUP(B:B,安路普产品报价!B:V,21,0)</f>
        <v>2.09331045270721</v>
      </c>
      <c r="U10" s="41">
        <v>3.15</v>
      </c>
      <c r="V10" s="42">
        <v>-1.05668954729279</v>
      </c>
      <c r="W10" s="39">
        <v>13771</v>
      </c>
      <c r="X10" s="39">
        <f t="shared" si="0"/>
        <v>-14551.671755769</v>
      </c>
    </row>
    <row r="11" s="1" customFormat="1" spans="1:24">
      <c r="A11" s="17">
        <v>52</v>
      </c>
      <c r="B11" s="18" t="s">
        <v>156</v>
      </c>
      <c r="C11" s="19" t="s">
        <v>157</v>
      </c>
      <c r="D11" s="20" t="s">
        <v>86</v>
      </c>
      <c r="E11" s="21">
        <v>1.1702145</v>
      </c>
      <c r="F11" s="22">
        <v>0.320466666666667</v>
      </c>
      <c r="G11" s="21">
        <f>VLOOKUP(B:B,安路普产品报价!B:Q,16,0)</f>
        <v>0.25</v>
      </c>
      <c r="H11" s="21">
        <f>VLOOKUP(B:B,安路普产品报价!B:R,17,0)</f>
        <v>0</v>
      </c>
      <c r="I11" s="31">
        <f>VLOOKUP(B:B,安路普产品报价!B:S,18,0)</f>
        <v>0.084124</v>
      </c>
      <c r="J11" s="31">
        <f>VLOOKUP(B:B,安路普产品报价!B:T,19,0)</f>
        <v>0.2</v>
      </c>
      <c r="K11" s="20">
        <f>VLOOKUP(B:B,安路普产品报价!B:U,20,0)</f>
        <v>0</v>
      </c>
      <c r="L11" s="32">
        <v>0.271981432291663</v>
      </c>
      <c r="M11" s="34"/>
      <c r="N11" s="34"/>
      <c r="O11" s="34"/>
      <c r="P11" s="34"/>
      <c r="Q11" s="34"/>
      <c r="R11" s="39"/>
      <c r="S11" s="39"/>
      <c r="T11" s="40">
        <f>VLOOKUP(B:B,安路普产品报价!B:V,21,0)</f>
        <v>2.29678659895833</v>
      </c>
      <c r="U11" s="41">
        <v>3.31</v>
      </c>
      <c r="V11" s="42">
        <v>-1.01321340104167</v>
      </c>
      <c r="W11" s="39">
        <v>37820</v>
      </c>
      <c r="X11" s="39">
        <f t="shared" si="0"/>
        <v>-38319.730827396</v>
      </c>
    </row>
    <row r="12" s="1" customFormat="1" spans="1:24">
      <c r="A12" s="17">
        <v>63</v>
      </c>
      <c r="B12" s="18" t="s">
        <v>177</v>
      </c>
      <c r="C12" s="23" t="s">
        <v>178</v>
      </c>
      <c r="D12" s="20" t="s">
        <v>59</v>
      </c>
      <c r="E12" s="21">
        <v>1.0569706875</v>
      </c>
      <c r="F12" s="22">
        <v>0.268770833333333</v>
      </c>
      <c r="G12" s="21">
        <f>VLOOKUP(B:B,安路普产品报价!B:Q,16,0)</f>
        <v>0.234375</v>
      </c>
      <c r="H12" s="21">
        <f>VLOOKUP(B:B,安路普产品报价!B:R,17,0)</f>
        <v>0</v>
      </c>
      <c r="I12" s="31">
        <f>VLOOKUP(B:B,安路普产品报价!B:S,18,0)</f>
        <v>0.106571111111111</v>
      </c>
      <c r="J12" s="31">
        <f>VLOOKUP(B:B,安路普产品报价!B:T,19,0)</f>
        <v>0.222222222222222</v>
      </c>
      <c r="K12" s="20">
        <f>VLOOKUP(B:B,安路普产品报价!B:U,20,0)</f>
        <v>0.3</v>
      </c>
      <c r="L12" s="32">
        <v>0.243768206380204</v>
      </c>
      <c r="M12" s="34"/>
      <c r="N12" s="34"/>
      <c r="O12" s="34"/>
      <c r="P12" s="34"/>
      <c r="Q12" s="34"/>
      <c r="R12" s="39"/>
      <c r="S12" s="39"/>
      <c r="T12" s="40">
        <f>VLOOKUP(B:B,安路普产品报价!B:V,21,0)</f>
        <v>2.43267806054687</v>
      </c>
      <c r="U12" s="41">
        <v>3.44</v>
      </c>
      <c r="V12" s="42">
        <v>-1.00732193945313</v>
      </c>
      <c r="W12" s="39">
        <v>3730</v>
      </c>
      <c r="X12" s="39">
        <f t="shared" si="0"/>
        <v>-3757.31083416018</v>
      </c>
    </row>
    <row r="13" s="1" customFormat="1" spans="1:24">
      <c r="A13" s="17">
        <v>67</v>
      </c>
      <c r="B13" s="18" t="s">
        <v>184</v>
      </c>
      <c r="C13" s="19" t="s">
        <v>185</v>
      </c>
      <c r="D13" s="20" t="s">
        <v>59</v>
      </c>
      <c r="E13" s="21">
        <v>0.75885075</v>
      </c>
      <c r="F13" s="22">
        <v>0.15734375</v>
      </c>
      <c r="G13" s="21">
        <f>VLOOKUP(B:B,安路普产品报价!B:Q,16,0)</f>
        <v>0.234375</v>
      </c>
      <c r="H13" s="21">
        <f>VLOOKUP(B:B,安路普产品报价!B:R,17,0)</f>
        <v>0</v>
      </c>
      <c r="I13" s="31">
        <f>VLOOKUP(B:B,安路普产品报价!B:S,18,0)</f>
        <v>0.106571111111111</v>
      </c>
      <c r="J13" s="31">
        <f>VLOOKUP(B:B,安路普产品报价!B:T,19,0)</f>
        <v>0.222222222222222</v>
      </c>
      <c r="K13" s="20">
        <f>VLOOKUP(B:B,安路普产品报价!B:U,20,0)</f>
        <v>0.3</v>
      </c>
      <c r="L13" s="32">
        <v>0.268466216666667</v>
      </c>
      <c r="M13" s="34"/>
      <c r="N13" s="34"/>
      <c r="O13" s="34"/>
      <c r="P13" s="34"/>
      <c r="Q13" s="34"/>
      <c r="R13" s="39"/>
      <c r="S13" s="39"/>
      <c r="T13" s="40">
        <f>VLOOKUP(B:B,安路普产品报价!B:V,21,0)</f>
        <v>2.04782905</v>
      </c>
      <c r="U13" s="41">
        <v>3.27</v>
      </c>
      <c r="V13" s="42">
        <v>-1.22217095</v>
      </c>
      <c r="W13" s="39">
        <v>4961</v>
      </c>
      <c r="X13" s="39">
        <f t="shared" si="0"/>
        <v>-6063.19008295</v>
      </c>
    </row>
    <row r="14" s="1" customFormat="1" spans="1:24">
      <c r="A14" s="17">
        <v>68</v>
      </c>
      <c r="B14" s="18" t="s">
        <v>186</v>
      </c>
      <c r="C14" s="23" t="s">
        <v>178</v>
      </c>
      <c r="D14" s="20" t="s">
        <v>59</v>
      </c>
      <c r="E14" s="21">
        <v>0.76442598</v>
      </c>
      <c r="F14" s="22">
        <v>0.137318181818182</v>
      </c>
      <c r="G14" s="21">
        <f>VLOOKUP(B:B,安路普产品报价!B:Q,16,0)</f>
        <v>0.204545454545455</v>
      </c>
      <c r="H14" s="21">
        <f>VLOOKUP(B:B,安路普产品报价!B:R,17,0)</f>
        <v>0</v>
      </c>
      <c r="I14" s="31">
        <f>VLOOKUP(B:B,安路普产品报价!B:S,18,0)</f>
        <v>0.106571111111111</v>
      </c>
      <c r="J14" s="31">
        <f>VLOOKUP(B:B,安路普产品报价!B:T,19,0)</f>
        <v>0.222222222222222</v>
      </c>
      <c r="K14" s="20">
        <f>VLOOKUP(B:B,安路普产品报价!B:U,20,0)</f>
        <v>0.3</v>
      </c>
      <c r="L14" s="32">
        <v>0.25813424381818</v>
      </c>
      <c r="M14" s="34"/>
      <c r="N14" s="34"/>
      <c r="O14" s="34"/>
      <c r="P14" s="34"/>
      <c r="Q14" s="34"/>
      <c r="R14" s="39"/>
      <c r="S14" s="39"/>
      <c r="T14" s="40">
        <f>VLOOKUP(B:B,安路普产品报价!B:V,21,0)</f>
        <v>1.99321719351515</v>
      </c>
      <c r="U14" s="41">
        <v>2.79</v>
      </c>
      <c r="V14" s="42">
        <v>-0.796782806484849</v>
      </c>
      <c r="W14" s="39">
        <v>2500</v>
      </c>
      <c r="X14" s="39">
        <f t="shared" si="0"/>
        <v>-1991.95701621212</v>
      </c>
    </row>
    <row r="15" s="1" customFormat="1" spans="1:24">
      <c r="A15" s="17">
        <v>69</v>
      </c>
      <c r="B15" s="18" t="s">
        <v>187</v>
      </c>
      <c r="C15" s="23" t="s">
        <v>188</v>
      </c>
      <c r="D15" s="20" t="s">
        <v>86</v>
      </c>
      <c r="E15" s="21">
        <v>0.727712336842105</v>
      </c>
      <c r="F15" s="22">
        <v>0.178322916666667</v>
      </c>
      <c r="G15" s="21">
        <f>VLOOKUP(B:B,安路普产品报价!B:Q,16,0)</f>
        <v>0.265625000000001</v>
      </c>
      <c r="H15" s="21">
        <f>VLOOKUP(B:B,安路普产品报价!B:R,17,0)</f>
        <v>0</v>
      </c>
      <c r="I15" s="31">
        <f>VLOOKUP(B:B,安路普产品报价!B:S,18,0)</f>
        <v>0.042062</v>
      </c>
      <c r="J15" s="31">
        <f>VLOOKUP(B:B,安路普产品报价!B:T,19,0)</f>
        <v>0.1</v>
      </c>
      <c r="K15" s="20">
        <f>VLOOKUP(B:B,安路普产品报价!B:U,20,0)</f>
        <v>0</v>
      </c>
      <c r="L15" s="32">
        <v>0.197332253222527</v>
      </c>
      <c r="M15" s="34"/>
      <c r="N15" s="34"/>
      <c r="O15" s="34"/>
      <c r="P15" s="34"/>
      <c r="Q15" s="34"/>
      <c r="R15" s="39"/>
      <c r="S15" s="39"/>
      <c r="T15" s="40">
        <f>VLOOKUP(B:B,安路普产品报价!B:V,21,0)</f>
        <v>1.5110545067313</v>
      </c>
      <c r="U15" s="41">
        <v>2.48</v>
      </c>
      <c r="V15" s="42">
        <v>-0.968945493268697</v>
      </c>
      <c r="W15" s="39">
        <v>6500</v>
      </c>
      <c r="X15" s="39">
        <f t="shared" si="0"/>
        <v>-6298.14570624653</v>
      </c>
    </row>
    <row r="16" s="1" customFormat="1" spans="1:24">
      <c r="A16" s="17">
        <v>77</v>
      </c>
      <c r="B16" s="18" t="s">
        <v>203</v>
      </c>
      <c r="C16" s="23" t="s">
        <v>204</v>
      </c>
      <c r="D16" s="20" t="s">
        <v>86</v>
      </c>
      <c r="E16" s="21">
        <v>1.79040336842105</v>
      </c>
      <c r="F16" s="22">
        <v>0.320466666666667</v>
      </c>
      <c r="G16" s="21">
        <f>VLOOKUP(B:B,安路普产品报价!B:Q,16,0)</f>
        <v>0.25</v>
      </c>
      <c r="H16" s="21">
        <f>VLOOKUP(B:B,安路普产品报价!B:R,17,0)</f>
        <v>0</v>
      </c>
      <c r="I16" s="31">
        <f>VLOOKUP(B:B,安路普产品报价!B:S,18,0)</f>
        <v>0.0560826666666667</v>
      </c>
      <c r="J16" s="31">
        <f>VLOOKUP(B:B,安路普产品报价!B:T,19,0)</f>
        <v>0.133333333333333</v>
      </c>
      <c r="K16" s="20">
        <f>VLOOKUP(B:B,安路普产品报价!B:U,20,0)</f>
        <v>0</v>
      </c>
      <c r="L16" s="32">
        <v>0.397620216435833</v>
      </c>
      <c r="M16" s="34"/>
      <c r="N16" s="34"/>
      <c r="O16" s="34"/>
      <c r="P16" s="34"/>
      <c r="Q16" s="34"/>
      <c r="R16" s="39"/>
      <c r="S16" s="39"/>
      <c r="T16" s="40">
        <f>VLOOKUP(B:B,安路普产品报价!B:V,21,0)</f>
        <v>2.94790625152355</v>
      </c>
      <c r="U16" s="41">
        <v>5</v>
      </c>
      <c r="V16" s="42">
        <v>-2.05209374847645</v>
      </c>
      <c r="W16" s="39">
        <v>42052</v>
      </c>
      <c r="X16" s="39">
        <f t="shared" si="0"/>
        <v>-86294.6463109317</v>
      </c>
    </row>
    <row r="17" s="1" customFormat="1" spans="1:24">
      <c r="A17" s="17">
        <v>78</v>
      </c>
      <c r="B17" s="18" t="s">
        <v>205</v>
      </c>
      <c r="C17" s="23" t="s">
        <v>206</v>
      </c>
      <c r="D17" s="20" t="s">
        <v>86</v>
      </c>
      <c r="E17" s="21">
        <v>1.36807031578947</v>
      </c>
      <c r="F17" s="22">
        <v>0.320466666666667</v>
      </c>
      <c r="G17" s="21">
        <f>VLOOKUP(B:B,安路普产品报价!B:Q,16,0)</f>
        <v>0.25</v>
      </c>
      <c r="H17" s="21">
        <f>VLOOKUP(B:B,安路普产品报价!B:R,17,0)</f>
        <v>0</v>
      </c>
      <c r="I17" s="31">
        <f>VLOOKUP(B:B,安路普产品报价!B:S,18,0)</f>
        <v>0.0560826666666667</v>
      </c>
      <c r="J17" s="31">
        <f>VLOOKUP(B:B,安路普产品报价!B:T,19,0)</f>
        <v>0.133333333333333</v>
      </c>
      <c r="K17" s="20">
        <f>VLOOKUP(B:B,安路普产品报价!B:U,20,0)</f>
        <v>0</v>
      </c>
      <c r="L17" s="32">
        <v>0.326490439150513</v>
      </c>
      <c r="M17" s="34"/>
      <c r="N17" s="34"/>
      <c r="O17" s="34"/>
      <c r="P17" s="34"/>
      <c r="Q17" s="34"/>
      <c r="R17" s="39"/>
      <c r="S17" s="39"/>
      <c r="T17" s="40">
        <f>VLOOKUP(B:B,安路普产品报价!B:V,21,0)</f>
        <v>2.45444342160665</v>
      </c>
      <c r="U17" s="41">
        <v>4.46</v>
      </c>
      <c r="V17" s="42">
        <v>-2.00555657839335</v>
      </c>
      <c r="W17" s="39">
        <v>43930</v>
      </c>
      <c r="X17" s="39">
        <f t="shared" si="0"/>
        <v>-88104.1004888199</v>
      </c>
    </row>
    <row r="18" s="1" customFormat="1" spans="1:24">
      <c r="A18" s="17">
        <v>79</v>
      </c>
      <c r="B18" s="18" t="s">
        <v>207</v>
      </c>
      <c r="C18" s="23" t="s">
        <v>134</v>
      </c>
      <c r="D18" s="20" t="s">
        <v>86</v>
      </c>
      <c r="E18" s="21">
        <v>3.67321465263158</v>
      </c>
      <c r="F18" s="22">
        <v>0.489408333333334</v>
      </c>
      <c r="G18" s="21">
        <f>VLOOKUP(B:B,安路普产品报价!B:Q,16,0)</f>
        <v>0.34375</v>
      </c>
      <c r="H18" s="21">
        <f>VLOOKUP(B:B,安路普产品报价!B:R,17,0)</f>
        <v>0</v>
      </c>
      <c r="I18" s="31">
        <f>VLOOKUP(B:B,安路普产品报价!B:S,18,0)</f>
        <v>0.0560826666666667</v>
      </c>
      <c r="J18" s="31">
        <f>VLOOKUP(B:B,安路普产品报价!B:T,19,0)</f>
        <v>0.133333333333333</v>
      </c>
      <c r="K18" s="20">
        <f>VLOOKUP(B:B,安路普产品报价!B:U,20,0)</f>
        <v>0</v>
      </c>
      <c r="L18" s="32">
        <v>0.758968081846726</v>
      </c>
      <c r="M18" s="34"/>
      <c r="N18" s="34"/>
      <c r="O18" s="34"/>
      <c r="P18" s="34"/>
      <c r="Q18" s="34"/>
      <c r="R18" s="39"/>
      <c r="S18" s="39"/>
      <c r="T18" s="40">
        <f>VLOOKUP(B:B,安路普产品报价!B:V,21,0)</f>
        <v>5.45475706781164</v>
      </c>
      <c r="U18" s="41">
        <v>8.91</v>
      </c>
      <c r="V18" s="42">
        <v>-3.45524293218836</v>
      </c>
      <c r="W18" s="39">
        <v>3841</v>
      </c>
      <c r="X18" s="39">
        <f t="shared" si="0"/>
        <v>-13271.5881025355</v>
      </c>
    </row>
    <row r="19" s="1" customFormat="1" spans="1:24">
      <c r="A19" s="17">
        <v>81</v>
      </c>
      <c r="B19" s="18" t="s">
        <v>211</v>
      </c>
      <c r="C19" s="23" t="s">
        <v>212</v>
      </c>
      <c r="D19" s="20" t="s">
        <v>86</v>
      </c>
      <c r="E19" s="21">
        <v>1.98099469473684</v>
      </c>
      <c r="F19" s="22">
        <v>0.219766666666667</v>
      </c>
      <c r="G19" s="21">
        <f>VLOOKUP(B:B,安路普产品报价!B:Q,16,0)</f>
        <v>0.25</v>
      </c>
      <c r="H19" s="21">
        <f>VLOOKUP(B:B,安路普产品报价!B:R,17,0)</f>
        <v>1.05</v>
      </c>
      <c r="I19" s="31">
        <f>VLOOKUP(B:B,安路普产品报价!B:S,18,0)</f>
        <v>0.0560826666666667</v>
      </c>
      <c r="J19" s="31">
        <f>VLOOKUP(B:B,安路普产品报价!B:T,19,0)</f>
        <v>0.133333333333333</v>
      </c>
      <c r="K19" s="20">
        <f>VLOOKUP(B:B,安路普产品报价!B:U,20,0)</f>
        <v>0</v>
      </c>
      <c r="L19" s="32">
        <v>0.444259808236383</v>
      </c>
      <c r="M19" s="34"/>
      <c r="N19" s="34"/>
      <c r="O19" s="34"/>
      <c r="P19" s="34"/>
      <c r="Q19" s="34"/>
      <c r="R19" s="39"/>
      <c r="S19" s="39"/>
      <c r="T19" s="40">
        <f>VLOOKUP(B:B,安路普产品报价!B:V,21,0)</f>
        <v>4.13443716963989</v>
      </c>
      <c r="U19" s="41">
        <v>5.45</v>
      </c>
      <c r="V19" s="42">
        <v>-1.31556283036011</v>
      </c>
      <c r="W19" s="39">
        <v>99252</v>
      </c>
      <c r="X19" s="39">
        <f t="shared" si="0"/>
        <v>-130572.242038902</v>
      </c>
    </row>
    <row r="20" s="1" customFormat="1" spans="1:24">
      <c r="A20" s="17">
        <v>83</v>
      </c>
      <c r="B20" s="18" t="s">
        <v>216</v>
      </c>
      <c r="C20" s="23" t="s">
        <v>217</v>
      </c>
      <c r="D20" s="20" t="s">
        <v>43</v>
      </c>
      <c r="E20" s="21">
        <v>0.196474483333333</v>
      </c>
      <c r="F20" s="22">
        <v>0.123938461538462</v>
      </c>
      <c r="G20" s="21">
        <f>VLOOKUP(B:B,安路普产品报价!B:Q,16,0)</f>
        <v>0.346153846153846</v>
      </c>
      <c r="H20" s="21">
        <f>VLOOKUP(B:B,安路普产品报价!B:R,17,0)</f>
        <v>0</v>
      </c>
      <c r="I20" s="31">
        <f>VLOOKUP(B:B,安路普产品报价!B:S,18,0)</f>
        <v>0.0168248</v>
      </c>
      <c r="J20" s="31">
        <f>VLOOKUP(B:B,安路普产品报价!B:T,19,0)</f>
        <v>0.04</v>
      </c>
      <c r="K20" s="20">
        <f>VLOOKUP(B:B,安路普产品报价!B:U,20,0)</f>
        <v>0</v>
      </c>
      <c r="L20" s="32">
        <v>0.155532251239316</v>
      </c>
      <c r="M20" s="34"/>
      <c r="N20" s="34"/>
      <c r="O20" s="34"/>
      <c r="P20" s="34"/>
      <c r="Q20" s="34"/>
      <c r="R20" s="39"/>
      <c r="S20" s="39"/>
      <c r="T20" s="40">
        <f>VLOOKUP(B:B,安路普产品报价!B:V,21,0)</f>
        <v>0.878923842264957</v>
      </c>
      <c r="U20" s="41">
        <v>2.06</v>
      </c>
      <c r="V20" s="42">
        <v>-1.18107615773504</v>
      </c>
      <c r="W20" s="39">
        <v>60497</v>
      </c>
      <c r="X20" s="39">
        <f t="shared" si="0"/>
        <v>-71451.5643144967</v>
      </c>
    </row>
    <row r="21" s="1" customFormat="1" spans="1:24">
      <c r="A21" s="17">
        <v>97</v>
      </c>
      <c r="B21" s="18" t="s">
        <v>244</v>
      </c>
      <c r="C21" s="23" t="s">
        <v>245</v>
      </c>
      <c r="D21" s="20" t="s">
        <v>43</v>
      </c>
      <c r="E21" s="21">
        <v>0.222877001052632</v>
      </c>
      <c r="F21" s="22">
        <v>0.0429875</v>
      </c>
      <c r="G21" s="21">
        <f>VLOOKUP(B:B,安路普产品报价!B:Q,16,0)</f>
        <v>0.09375</v>
      </c>
      <c r="H21" s="21">
        <f>VLOOKUP(B:B,安路普产品报价!B:R,17,0)</f>
        <v>0.45</v>
      </c>
      <c r="I21" s="31">
        <f>VLOOKUP(B:B,安路普产品报价!B:S,18,0)</f>
        <v>0.0143116666666667</v>
      </c>
      <c r="J21" s="31">
        <f>VLOOKUP(B:B,安路普产品报价!B:T,19,0)</f>
        <v>0.0333333333333333</v>
      </c>
      <c r="K21" s="20">
        <f>VLOOKUP(B:B,安路普产品报价!B:U,20,0)</f>
        <v>0</v>
      </c>
      <c r="L21" s="32">
        <v>0.074066652808864</v>
      </c>
      <c r="M21" s="34"/>
      <c r="N21" s="34"/>
      <c r="O21" s="34"/>
      <c r="P21" s="34"/>
      <c r="Q21" s="34"/>
      <c r="R21" s="39"/>
      <c r="S21" s="39"/>
      <c r="T21" s="40">
        <f>VLOOKUP(B:B,安路普产品报价!B:V,21,0)</f>
        <v>0.931326153861496</v>
      </c>
      <c r="U21" s="41">
        <v>1.81</v>
      </c>
      <c r="V21" s="42">
        <v>-0.878673846138504</v>
      </c>
      <c r="W21" s="39">
        <v>44468</v>
      </c>
      <c r="X21" s="39">
        <f t="shared" si="0"/>
        <v>-39072.868590087</v>
      </c>
    </row>
    <row r="22" s="1" customFormat="1" ht="28" spans="1:24">
      <c r="A22" s="17">
        <v>110</v>
      </c>
      <c r="B22" s="18" t="s">
        <v>273</v>
      </c>
      <c r="C22" s="19" t="s">
        <v>274</v>
      </c>
      <c r="D22" s="20" t="s">
        <v>59</v>
      </c>
      <c r="E22" s="21">
        <v>0.4769919</v>
      </c>
      <c r="F22" s="22">
        <v>0.15734375</v>
      </c>
      <c r="G22" s="21">
        <f>VLOOKUP(B:B,安路普产品报价!B:Q,16,0)</f>
        <v>0.234375</v>
      </c>
      <c r="H22" s="21">
        <f>VLOOKUP(B:B,安路普产品报价!B:R,17,0)</f>
        <v>0</v>
      </c>
      <c r="I22" s="31">
        <f>VLOOKUP(B:B,安路普产品报价!B:S,18,0)</f>
        <v>0.106571111111111</v>
      </c>
      <c r="J22" s="31">
        <f>VLOOKUP(B:B,安路普产品报价!B:T,19,0)</f>
        <v>0.222222222222222</v>
      </c>
      <c r="K22" s="20">
        <f>VLOOKUP(B:B,安路普产品报价!B:U,20,0)</f>
        <v>0.3</v>
      </c>
      <c r="L22" s="32">
        <v>0.202699151666667</v>
      </c>
      <c r="M22" s="34"/>
      <c r="N22" s="34"/>
      <c r="O22" s="34"/>
      <c r="P22" s="34"/>
      <c r="Q22" s="34"/>
      <c r="R22" s="39"/>
      <c r="S22" s="39"/>
      <c r="T22" s="40">
        <f>VLOOKUP(B:B,安路普产品报价!B:V,21,0)</f>
        <v>1.700203135</v>
      </c>
      <c r="U22" s="41">
        <v>3.29</v>
      </c>
      <c r="V22" s="42">
        <v>-1.589796865</v>
      </c>
      <c r="W22" s="39">
        <v>1982</v>
      </c>
      <c r="X22" s="39">
        <f t="shared" si="0"/>
        <v>-3150.97738643</v>
      </c>
    </row>
    <row r="23" s="1" customFormat="1" ht="28" spans="1:24">
      <c r="A23" s="17">
        <v>111</v>
      </c>
      <c r="B23" s="18" t="s">
        <v>275</v>
      </c>
      <c r="C23" s="19" t="s">
        <v>276</v>
      </c>
      <c r="D23" s="20" t="s">
        <v>59</v>
      </c>
      <c r="E23" s="21">
        <v>0.940025076</v>
      </c>
      <c r="F23" s="22">
        <v>0.125875</v>
      </c>
      <c r="G23" s="21">
        <f>VLOOKUP(B:B,安路普产品报价!B:Q,16,0)</f>
        <v>0.1875</v>
      </c>
      <c r="H23" s="21">
        <f>VLOOKUP(B:B,安路普产品报价!B:R,17,0)</f>
        <v>0</v>
      </c>
      <c r="I23" s="31">
        <f>VLOOKUP(B:B,安路普产品报价!B:S,18,0)</f>
        <v>0.106571111111111</v>
      </c>
      <c r="J23" s="31">
        <f>VLOOKUP(B:B,安路普产品报价!B:T,19,0)</f>
        <v>0.222222222222222</v>
      </c>
      <c r="K23" s="20">
        <f>VLOOKUP(B:B,安路普产品报价!B:U,20,0)</f>
        <v>0.3</v>
      </c>
      <c r="L23" s="32">
        <v>0.292460017733337</v>
      </c>
      <c r="M23" s="35"/>
      <c r="N23" s="35"/>
      <c r="O23" s="35"/>
      <c r="P23" s="35"/>
      <c r="Q23" s="35"/>
      <c r="R23" s="39"/>
      <c r="S23" s="39"/>
      <c r="T23" s="40">
        <f>VLOOKUP(B:B,安路普产品报价!B:V,21,0)</f>
        <v>2.17465342706667</v>
      </c>
      <c r="U23" s="41">
        <v>3.27</v>
      </c>
      <c r="V23" s="42">
        <v>-1.09534657293333</v>
      </c>
      <c r="W23" s="39">
        <v>14433</v>
      </c>
      <c r="X23" s="39">
        <f t="shared" si="0"/>
        <v>-15809.1370871468</v>
      </c>
    </row>
    <row r="24" spans="23:24">
      <c r="W24" s="5">
        <f>SUM(W5:W23)</f>
        <v>448452</v>
      </c>
      <c r="X24" s="5">
        <f>SUM(X5:X23)</f>
        <v>-639815.603111832</v>
      </c>
    </row>
  </sheetData>
  <autoFilter xmlns:etc="http://www.wps.cn/officeDocument/2017/etCustomData" ref="A4:W24" etc:filterBottomFollowUsedRange="0">
    <extLst/>
  </autoFilter>
  <mergeCells count="23">
    <mergeCell ref="A2:V2"/>
    <mergeCell ref="L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5:M23"/>
    <mergeCell ref="N5:N23"/>
    <mergeCell ref="O5:O23"/>
    <mergeCell ref="P5:P23"/>
    <mergeCell ref="Q5:Q23"/>
    <mergeCell ref="T3:T4"/>
    <mergeCell ref="U3:U4"/>
    <mergeCell ref="V3:V4"/>
    <mergeCell ref="W3:W4"/>
    <mergeCell ref="X3:X4"/>
  </mergeCells>
  <conditionalFormatting sqref="B13">
    <cfRule type="duplicateValues" dxfId="0" priority="10"/>
  </conditionalFormatting>
  <conditionalFormatting sqref="B18">
    <cfRule type="duplicateValues" dxfId="0" priority="20"/>
  </conditionalFormatting>
  <conditionalFormatting sqref="B22">
    <cfRule type="duplicateValues" dxfId="0" priority="14"/>
  </conditionalFormatting>
  <conditionalFormatting sqref="B23">
    <cfRule type="duplicateValues" dxfId="0" priority="13"/>
  </conditionalFormatting>
  <conditionalFormatting sqref="B9:B11">
    <cfRule type="duplicateValues" dxfId="0" priority="24"/>
  </conditionalFormatting>
  <conditionalFormatting sqref="B5:B6 B12 B14">
    <cfRule type="duplicateValues" dxfId="0" priority="22"/>
  </conditionalFormatting>
  <conditionalFormatting sqref="B5:B12 B14:B17 B19:B21">
    <cfRule type="duplicateValues" dxfId="0" priority="21"/>
  </conditionalFormatting>
  <conditionalFormatting sqref="B5:B12 B14:B21">
    <cfRule type="duplicateValues" dxfId="0" priority="19"/>
  </conditionalFormatting>
  <conditionalFormatting sqref="B7:B8 B15:B17 B19:B21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安路普产品报价</vt:lpstr>
      <vt:lpstr>安路普产品报价 （不考虑合格率）</vt:lpstr>
      <vt:lpstr>重点产品核算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2023-05-12T11:15:00Z</dcterms:created>
  <dcterms:modified xsi:type="dcterms:W3CDTF">2025-03-11T06:54:41Z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2D8F75BA0E7642AE8259EC4D331325F6_13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